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60" windowWidth="15360" windowHeight="8085" tabRatio="497"/>
  </bookViews>
  <sheets>
    <sheet name="CIFRAS EEFF" sheetId="2" r:id="rId1"/>
    <sheet name="MENSUAL" sheetId="4" r:id="rId2"/>
    <sheet name="CIFRAS CATY (MENSUAL)" sheetId="5" state="hidden" r:id="rId3"/>
    <sheet name="ACUMULADO" sheetId="3" r:id="rId4"/>
    <sheet name="GRAFICAS" sheetId="6" r:id="rId5"/>
    <sheet name="EJEC. PRES." sheetId="7" r:id="rId6"/>
    <sheet name="COMPT. 2014 vs 2015" sheetId="8" r:id="rId7"/>
  </sheets>
  <externalReferences>
    <externalReference r:id="rId8"/>
    <externalReference r:id="rId9"/>
    <externalReference r:id="rId10"/>
  </externalReferences>
  <definedNames>
    <definedName name="_xlnm.Print_Area" localSheetId="3">ACUMULADO!$G$89:$G$156</definedName>
    <definedName name="_xlnm.Print_Area" localSheetId="2">'CIFRAS CATY (MENSUAL)'!$B$1:$E$52</definedName>
    <definedName name="_xlnm.Print_Area" localSheetId="0">'CIFRAS EEFF'!$B$1:$E$53</definedName>
    <definedName name="_xlnm.Print_Area" localSheetId="1">MENSUAL!$G$88:$G$155</definedName>
    <definedName name="CINCO">[1]BalMay10!$A$1357:$F$1935</definedName>
    <definedName name="CUATRO">[1]BalAbr10!$A$1344:$F$1901</definedName>
    <definedName name="DOS">[1]BalFeb10!$A$1284:$F$1779</definedName>
    <definedName name="SEIS">[1]BalJun10!$A$1366:$F$1958</definedName>
    <definedName name="_xlnm.Print_Titles" localSheetId="3">ACUMULADO!$D:$E,ACUMULADO!$86:$88</definedName>
    <definedName name="_xlnm.Print_Titles" localSheetId="1">MENSUAL!$D:$E,MENSUAL!$85:$87</definedName>
    <definedName name="TRES">[1]BalMzo10!$A$1179:$F$2000</definedName>
    <definedName name="UNO">[1]BalEne10!$A$10:$F$1656</definedName>
  </definedNames>
  <calcPr calcId="144525"/>
</workbook>
</file>

<file path=xl/calcChain.xml><?xml version="1.0" encoding="utf-8"?>
<calcChain xmlns="http://schemas.openxmlformats.org/spreadsheetml/2006/main">
  <c r="C34" i="8" l="1"/>
  <c r="C31" i="8"/>
  <c r="C29" i="8"/>
  <c r="C26" i="8"/>
  <c r="C25" i="8"/>
  <c r="C21" i="8"/>
  <c r="C20" i="8"/>
  <c r="C27" i="8" s="1"/>
  <c r="C13" i="8"/>
  <c r="C8" i="8"/>
  <c r="P51" i="7"/>
  <c r="P48" i="7"/>
  <c r="P46" i="7"/>
  <c r="P44" i="7"/>
  <c r="P29" i="7"/>
  <c r="P10" i="7"/>
  <c r="P8" i="7"/>
  <c r="K51" i="7"/>
  <c r="K46" i="7"/>
  <c r="K10" i="7"/>
  <c r="N8" i="7"/>
  <c r="M8" i="7"/>
  <c r="L8" i="7"/>
  <c r="K8" i="7"/>
  <c r="R14" i="4" l="1"/>
  <c r="R198" i="3" l="1"/>
  <c r="R178" i="3"/>
  <c r="R168" i="3"/>
  <c r="R158" i="3"/>
  <c r="R159" i="3" s="1"/>
  <c r="R214" i="3" s="1"/>
  <c r="R152" i="3"/>
  <c r="R150" i="3"/>
  <c r="R154" i="3" s="1"/>
  <c r="R211" i="3" s="1"/>
  <c r="R137" i="3"/>
  <c r="R136" i="3"/>
  <c r="R133" i="3"/>
  <c r="R135" i="3" s="1"/>
  <c r="R122" i="3"/>
  <c r="R119" i="3"/>
  <c r="R127" i="3" s="1"/>
  <c r="R115" i="3"/>
  <c r="R116" i="3" s="1"/>
  <c r="R112" i="3"/>
  <c r="R114" i="3" s="1"/>
  <c r="R99" i="3"/>
  <c r="R104" i="3" s="1"/>
  <c r="R92" i="3"/>
  <c r="R200" i="3" s="1"/>
  <c r="R89" i="3"/>
  <c r="R87" i="3"/>
  <c r="R78" i="3"/>
  <c r="R77" i="3"/>
  <c r="R76" i="3"/>
  <c r="R75" i="3"/>
  <c r="R79" i="3" s="1"/>
  <c r="R64" i="3"/>
  <c r="R65" i="3" s="1"/>
  <c r="R189" i="3" s="1"/>
  <c r="R61" i="3"/>
  <c r="R60" i="3"/>
  <c r="R58" i="3"/>
  <c r="R57" i="3"/>
  <c r="R62" i="3" s="1"/>
  <c r="R42" i="3"/>
  <c r="R41" i="3"/>
  <c r="R40" i="3"/>
  <c r="R39" i="3"/>
  <c r="R43" i="3" s="1"/>
  <c r="R35" i="3"/>
  <c r="R32" i="3"/>
  <c r="R31" i="3"/>
  <c r="R30" i="3"/>
  <c r="R34" i="3" s="1"/>
  <c r="R21" i="3"/>
  <c r="R23" i="3" s="1"/>
  <c r="R13" i="3"/>
  <c r="R12" i="3"/>
  <c r="R11" i="3"/>
  <c r="R10" i="3"/>
  <c r="R9" i="3"/>
  <c r="R8" i="3"/>
  <c r="R19" i="3" s="1"/>
  <c r="R3" i="3"/>
  <c r="R70" i="3" s="1"/>
  <c r="R1" i="3"/>
  <c r="R103" i="3" s="1"/>
  <c r="Q11" i="4"/>
  <c r="R182" i="3" l="1"/>
  <c r="R36" i="3"/>
  <c r="R184" i="3"/>
  <c r="R188" i="3"/>
  <c r="R66" i="3"/>
  <c r="R106" i="3"/>
  <c r="R202" i="3"/>
  <c r="R105" i="3"/>
  <c r="R180" i="3"/>
  <c r="R52" i="3"/>
  <c r="R24" i="3"/>
  <c r="R80" i="3"/>
  <c r="R193" i="3"/>
  <c r="R72" i="3"/>
  <c r="R93" i="3"/>
  <c r="R95" i="3"/>
  <c r="R71" i="3" s="1"/>
  <c r="R97" i="3"/>
  <c r="R100" i="3"/>
  <c r="R107" i="3"/>
  <c r="R113" i="3"/>
  <c r="R117" i="3"/>
  <c r="R120" i="3"/>
  <c r="R124" i="3"/>
  <c r="R126" i="3"/>
  <c r="R134" i="3"/>
  <c r="R138" i="3"/>
  <c r="R94" i="3"/>
  <c r="R96" i="3"/>
  <c r="R102" i="3"/>
  <c r="R109" i="3"/>
  <c r="R121" i="3"/>
  <c r="R123" i="3"/>
  <c r="R76" i="4"/>
  <c r="R75" i="4"/>
  <c r="R74" i="4"/>
  <c r="R63" i="4"/>
  <c r="R62" i="4"/>
  <c r="R64" i="4" s="1"/>
  <c r="R59" i="4"/>
  <c r="R58" i="4"/>
  <c r="R56" i="4"/>
  <c r="R55" i="4"/>
  <c r="R38" i="4"/>
  <c r="R32" i="4"/>
  <c r="R29" i="4"/>
  <c r="R28" i="4"/>
  <c r="R27" i="4"/>
  <c r="R18" i="4"/>
  <c r="R10" i="4"/>
  <c r="R9" i="4"/>
  <c r="R8" i="4"/>
  <c r="J126" i="6"/>
  <c r="J87" i="6"/>
  <c r="J46" i="6"/>
  <c r="O110" i="2"/>
  <c r="O106" i="2"/>
  <c r="O83" i="2"/>
  <c r="O69" i="2"/>
  <c r="O61" i="2"/>
  <c r="O57" i="2"/>
  <c r="O33" i="2"/>
  <c r="O42" i="2" s="1"/>
  <c r="O16" i="2"/>
  <c r="O4" i="2"/>
  <c r="R206" i="3" l="1"/>
  <c r="R125" i="3"/>
  <c r="R205" i="3"/>
  <c r="R129" i="3"/>
  <c r="R203" i="3"/>
  <c r="R110" i="3"/>
  <c r="J67" i="6" s="1"/>
  <c r="R139" i="3"/>
  <c r="R207" i="3"/>
  <c r="R22" i="3"/>
  <c r="J147" i="6" s="1"/>
  <c r="R15" i="3"/>
  <c r="R51" i="3"/>
  <c r="J106" i="6" s="1"/>
  <c r="R46" i="3"/>
  <c r="R25" i="3" s="1"/>
  <c r="R181" i="3"/>
  <c r="R47" i="3"/>
  <c r="R190" i="3"/>
  <c r="R195" i="3" s="1"/>
  <c r="R83" i="3"/>
  <c r="R69" i="3" s="1"/>
  <c r="R73" i="3"/>
  <c r="R67" i="3"/>
  <c r="R68" i="3"/>
  <c r="R183" i="3"/>
  <c r="R37" i="3"/>
  <c r="O65" i="2"/>
  <c r="O98" i="2"/>
  <c r="O100" i="2" s="1"/>
  <c r="O108" i="2" s="1"/>
  <c r="O112" i="2" s="1"/>
  <c r="O48" i="2" s="1"/>
  <c r="R60" i="4"/>
  <c r="O29" i="2"/>
  <c r="R16" i="4"/>
  <c r="R21" i="4" s="1"/>
  <c r="O67" i="2"/>
  <c r="I214" i="6"/>
  <c r="H214" i="6"/>
  <c r="G214" i="6"/>
  <c r="F214" i="6"/>
  <c r="E214" i="6"/>
  <c r="D214" i="6"/>
  <c r="C214" i="6"/>
  <c r="B214" i="6"/>
  <c r="I192" i="6"/>
  <c r="H192" i="6"/>
  <c r="G192" i="6"/>
  <c r="F192" i="6"/>
  <c r="E192" i="6"/>
  <c r="D192" i="6"/>
  <c r="C192" i="6"/>
  <c r="B192" i="6"/>
  <c r="R48" i="3" l="1"/>
  <c r="J26" i="6"/>
  <c r="R17" i="3"/>
  <c r="R50" i="3"/>
  <c r="R130" i="3"/>
  <c r="R140" i="3"/>
  <c r="R131" i="3"/>
  <c r="R185" i="3"/>
  <c r="R84" i="3"/>
  <c r="R44" i="3"/>
  <c r="R16" i="3"/>
  <c r="R81" i="3"/>
  <c r="R208" i="3"/>
  <c r="R209" i="3" s="1"/>
  <c r="R212" i="3" s="1"/>
  <c r="R215" i="3" s="1"/>
  <c r="O44" i="2"/>
  <c r="O51" i="2" s="1"/>
  <c r="O53" i="2" s="1"/>
  <c r="O54" i="2" s="1"/>
  <c r="R77" i="4"/>
  <c r="R78" i="4" s="1"/>
  <c r="R45" i="4"/>
  <c r="R65" i="4"/>
  <c r="I170" i="6"/>
  <c r="H170" i="6"/>
  <c r="G170" i="6"/>
  <c r="F170" i="6"/>
  <c r="E170" i="6"/>
  <c r="D170" i="6"/>
  <c r="C170" i="6"/>
  <c r="I169" i="6"/>
  <c r="H169" i="6"/>
  <c r="G169" i="6"/>
  <c r="F169" i="6"/>
  <c r="E169" i="6"/>
  <c r="D169" i="6"/>
  <c r="C169" i="6"/>
  <c r="I171" i="6"/>
  <c r="H171" i="6"/>
  <c r="G171" i="6"/>
  <c r="F171" i="6"/>
  <c r="E171" i="6"/>
  <c r="D171" i="6"/>
  <c r="C171" i="6"/>
  <c r="I168" i="6"/>
  <c r="H168" i="6"/>
  <c r="G168" i="6"/>
  <c r="F168" i="6"/>
  <c r="E168" i="6"/>
  <c r="D168" i="6"/>
  <c r="C168" i="6"/>
  <c r="B170" i="6"/>
  <c r="B169" i="6"/>
  <c r="B171" i="6"/>
  <c r="B168" i="6"/>
  <c r="I147" i="6"/>
  <c r="H147" i="6"/>
  <c r="G147" i="6"/>
  <c r="F147" i="6"/>
  <c r="E147" i="6"/>
  <c r="D147" i="6"/>
  <c r="C147" i="6"/>
  <c r="B147" i="6"/>
  <c r="R141" i="3" l="1"/>
  <c r="R142" i="3"/>
  <c r="R144" i="3"/>
  <c r="R79" i="4"/>
  <c r="R82" i="4"/>
  <c r="R67" i="4"/>
  <c r="N106" i="2"/>
  <c r="Q122" i="4"/>
  <c r="Q120" i="4"/>
  <c r="Q112" i="4"/>
  <c r="Q106" i="3"/>
  <c r="Q95" i="3"/>
  <c r="Q94" i="3"/>
  <c r="Q92" i="4"/>
  <c r="Q73" i="3"/>
  <c r="Q72" i="3"/>
  <c r="Q71" i="3"/>
  <c r="R210" i="3" l="1"/>
  <c r="R156" i="3"/>
  <c r="R161" i="3" s="1"/>
  <c r="R148" i="3"/>
  <c r="R146" i="3"/>
  <c r="R170" i="3"/>
  <c r="R147" i="3"/>
  <c r="R145" i="3"/>
  <c r="O41" i="7"/>
  <c r="O38" i="7"/>
  <c r="O30" i="7"/>
  <c r="O26" i="7"/>
  <c r="O25" i="7"/>
  <c r="O24" i="7"/>
  <c r="O22" i="7"/>
  <c r="O19" i="7"/>
  <c r="O18" i="7"/>
  <c r="O17" i="7"/>
  <c r="O16" i="7"/>
  <c r="O15" i="7"/>
  <c r="O14" i="7"/>
  <c r="O13" i="7"/>
  <c r="O12" i="7"/>
  <c r="O11" i="7"/>
  <c r="I126" i="6"/>
  <c r="I46" i="6"/>
  <c r="R171" i="3" l="1"/>
  <c r="R172" i="3"/>
  <c r="R216" i="3"/>
  <c r="R164" i="3"/>
  <c r="R162" i="3"/>
  <c r="R165" i="3"/>
  <c r="R163" i="3"/>
  <c r="N61" i="2"/>
  <c r="M57" i="2"/>
  <c r="N57" i="2"/>
  <c r="N65" i="2" s="1"/>
  <c r="N83" i="2"/>
  <c r="N69" i="2"/>
  <c r="M69" i="2"/>
  <c r="N33" i="2"/>
  <c r="N42" i="2" s="1"/>
  <c r="N16" i="2"/>
  <c r="N4" i="2"/>
  <c r="R175" i="3" l="1"/>
  <c r="R173" i="3"/>
  <c r="R174" i="3"/>
  <c r="N98" i="2"/>
  <c r="N100" i="2" s="1"/>
  <c r="N108" i="2" s="1"/>
  <c r="O49" i="7" l="1"/>
  <c r="J29" i="7" l="1"/>
  <c r="J10" i="7"/>
  <c r="J34" i="7"/>
  <c r="I10" i="7"/>
  <c r="J44" i="7" l="1"/>
  <c r="J51" i="7"/>
  <c r="J48" i="7"/>
  <c r="J46" i="7"/>
  <c r="J8" i="7"/>
  <c r="J196" i="4" l="1"/>
  <c r="P152" i="3" l="1"/>
  <c r="P21" i="3"/>
  <c r="H46" i="6" s="1"/>
  <c r="P99" i="3"/>
  <c r="P104" i="3" s="1"/>
  <c r="M106" i="2"/>
  <c r="M61" i="2"/>
  <c r="M65" i="2" s="1"/>
  <c r="M83" i="2"/>
  <c r="E16" i="8"/>
  <c r="F16" i="8" s="1"/>
  <c r="Q49" i="7"/>
  <c r="O42" i="7"/>
  <c r="Q42" i="7" s="1"/>
  <c r="R42" i="7" s="1"/>
  <c r="D25" i="8"/>
  <c r="E25" i="8" s="1"/>
  <c r="F25" i="8" s="1"/>
  <c r="Q38" i="7"/>
  <c r="R38" i="7" s="1"/>
  <c r="O33" i="7"/>
  <c r="D18" i="8" s="1"/>
  <c r="E18" i="8" s="1"/>
  <c r="F18" i="8" s="1"/>
  <c r="D14" i="8"/>
  <c r="E14" i="8" s="1"/>
  <c r="F14" i="8" s="1"/>
  <c r="Q26" i="7"/>
  <c r="R26" i="7" s="1"/>
  <c r="Q25" i="7"/>
  <c r="R25" i="7" s="1"/>
  <c r="Q24" i="7"/>
  <c r="R24" i="7" s="1"/>
  <c r="Q22" i="7"/>
  <c r="R22" i="7" s="1"/>
  <c r="Q19" i="7"/>
  <c r="R19" i="7" s="1"/>
  <c r="Q18" i="7"/>
  <c r="R18" i="7" s="1"/>
  <c r="Q16" i="7"/>
  <c r="R16" i="7" s="1"/>
  <c r="Q14" i="7"/>
  <c r="R14" i="7" s="1"/>
  <c r="Q13" i="7"/>
  <c r="R13" i="7" s="1"/>
  <c r="Q11" i="7"/>
  <c r="R11" i="7" s="1"/>
  <c r="I46" i="7"/>
  <c r="I51" i="7"/>
  <c r="I48" i="7"/>
  <c r="K48" i="7"/>
  <c r="L48" i="7"/>
  <c r="M48" i="7"/>
  <c r="N48" i="7"/>
  <c r="I44" i="7"/>
  <c r="I8" i="7"/>
  <c r="Q15" i="7"/>
  <c r="R15" i="7" s="1"/>
  <c r="C7" i="7"/>
  <c r="F7" i="7"/>
  <c r="G7" i="7"/>
  <c r="H7" i="7"/>
  <c r="C6" i="7"/>
  <c r="C27" i="7"/>
  <c r="D27" i="7"/>
  <c r="E27" i="7"/>
  <c r="F27" i="7"/>
  <c r="G27" i="7"/>
  <c r="H27" i="7"/>
  <c r="C28" i="7"/>
  <c r="D28" i="7"/>
  <c r="G28" i="7"/>
  <c r="H28" i="7"/>
  <c r="C29" i="7"/>
  <c r="D29" i="7"/>
  <c r="E29" i="7"/>
  <c r="F29" i="7"/>
  <c r="G29" i="7"/>
  <c r="H29" i="7"/>
  <c r="C31" i="7"/>
  <c r="D31" i="7"/>
  <c r="E31" i="7"/>
  <c r="F31" i="7"/>
  <c r="G31" i="7"/>
  <c r="H31" i="7"/>
  <c r="C32" i="7"/>
  <c r="D32" i="7"/>
  <c r="G32" i="7"/>
  <c r="H32" i="7"/>
  <c r="C34" i="7"/>
  <c r="D34" i="7"/>
  <c r="E34" i="7"/>
  <c r="F34" i="7"/>
  <c r="G34" i="7"/>
  <c r="H34" i="7"/>
  <c r="C35" i="7"/>
  <c r="D35" i="7"/>
  <c r="E35" i="7"/>
  <c r="F35" i="7"/>
  <c r="G35" i="7"/>
  <c r="H35" i="7"/>
  <c r="C36" i="7"/>
  <c r="D36" i="7"/>
  <c r="E36" i="7"/>
  <c r="F36" i="7"/>
  <c r="G36" i="7"/>
  <c r="H36" i="7"/>
  <c r="C37" i="7"/>
  <c r="D37" i="7"/>
  <c r="E37" i="7"/>
  <c r="F37" i="7"/>
  <c r="G37" i="7"/>
  <c r="H37" i="7"/>
  <c r="C39" i="7"/>
  <c r="D39" i="7"/>
  <c r="E39" i="7"/>
  <c r="F39" i="7"/>
  <c r="G39" i="7"/>
  <c r="H39" i="7"/>
  <c r="C40" i="7"/>
  <c r="D40" i="7"/>
  <c r="G40" i="7"/>
  <c r="H40" i="7"/>
  <c r="C43" i="7"/>
  <c r="D43" i="7"/>
  <c r="E43" i="7"/>
  <c r="F43" i="7"/>
  <c r="G43" i="7"/>
  <c r="H43" i="7"/>
  <c r="C50" i="7"/>
  <c r="D50" i="7"/>
  <c r="E50" i="7"/>
  <c r="F50" i="7"/>
  <c r="G50" i="7"/>
  <c r="H50" i="7"/>
  <c r="H51" i="7" s="1"/>
  <c r="Q41" i="7"/>
  <c r="R41" i="7" s="1"/>
  <c r="K44" i="7"/>
  <c r="L44" i="7"/>
  <c r="M44" i="7"/>
  <c r="N44" i="7"/>
  <c r="H47" i="7"/>
  <c r="H48" i="7" s="1"/>
  <c r="G47" i="7"/>
  <c r="G48" i="7" s="1"/>
  <c r="F47" i="7"/>
  <c r="E47" i="7"/>
  <c r="D47" i="7"/>
  <c r="C47" i="7"/>
  <c r="H45" i="7"/>
  <c r="G45" i="7"/>
  <c r="G46" i="7" s="1"/>
  <c r="F45" i="7"/>
  <c r="E45" i="7"/>
  <c r="E46" i="7" s="1"/>
  <c r="D45" i="7"/>
  <c r="D46" i="7" s="1"/>
  <c r="C45" i="7"/>
  <c r="G23" i="7"/>
  <c r="F23" i="7"/>
  <c r="D23" i="7"/>
  <c r="C23" i="7"/>
  <c r="Q12" i="7"/>
  <c r="R12" i="7" s="1"/>
  <c r="H46" i="7"/>
  <c r="L106" i="2"/>
  <c r="L83" i="2"/>
  <c r="L69" i="2"/>
  <c r="L61" i="2"/>
  <c r="L65" i="2" s="1"/>
  <c r="L67" i="2" s="1"/>
  <c r="L57" i="2"/>
  <c r="L33" i="2"/>
  <c r="L42" i="2" s="1"/>
  <c r="L16" i="2"/>
  <c r="L4" i="2"/>
  <c r="G51" i="7"/>
  <c r="F51" i="7"/>
  <c r="E51" i="7"/>
  <c r="D51" i="7"/>
  <c r="C51" i="7"/>
  <c r="F48" i="7"/>
  <c r="E48" i="7"/>
  <c r="D48" i="7"/>
  <c r="C48" i="7"/>
  <c r="F46" i="7"/>
  <c r="G21" i="7"/>
  <c r="F21" i="7"/>
  <c r="E21" i="7"/>
  <c r="D21" i="7"/>
  <c r="C20" i="7"/>
  <c r="Q17" i="7"/>
  <c r="R17" i="7" s="1"/>
  <c r="Q30" i="7"/>
  <c r="R30" i="7" s="1"/>
  <c r="R48" i="7"/>
  <c r="K84" i="2"/>
  <c r="K85" i="2"/>
  <c r="K89" i="2"/>
  <c r="N122" i="3" s="1"/>
  <c r="AG122" i="3" s="1"/>
  <c r="K86" i="2"/>
  <c r="K61" i="2"/>
  <c r="K65" i="2" s="1"/>
  <c r="K67" i="2" s="1"/>
  <c r="K57" i="2"/>
  <c r="K33" i="2"/>
  <c r="K42" i="2" s="1"/>
  <c r="K4" i="2"/>
  <c r="K16" i="2"/>
  <c r="K29" i="2" s="1"/>
  <c r="K106" i="2"/>
  <c r="J106" i="2"/>
  <c r="J69" i="2"/>
  <c r="J11" i="2"/>
  <c r="M10" i="4" s="1"/>
  <c r="J10" i="2"/>
  <c r="I92" i="2"/>
  <c r="H16" i="2"/>
  <c r="I90" i="2"/>
  <c r="E32" i="7" s="1"/>
  <c r="I73" i="2"/>
  <c r="E28" i="7" s="1"/>
  <c r="I69" i="2"/>
  <c r="I89" i="2"/>
  <c r="I87" i="2"/>
  <c r="H86" i="2"/>
  <c r="I86" i="2" s="1"/>
  <c r="G84" i="2"/>
  <c r="I44" i="2"/>
  <c r="I51" i="2" s="1"/>
  <c r="I16" i="2"/>
  <c r="I4" i="2"/>
  <c r="I106" i="2"/>
  <c r="H106" i="2"/>
  <c r="U9" i="3"/>
  <c r="T9" i="3"/>
  <c r="S9" i="3"/>
  <c r="AC9" i="3" s="1"/>
  <c r="Q9" i="3"/>
  <c r="P9" i="3"/>
  <c r="O9" i="3"/>
  <c r="AA9" i="3" s="1"/>
  <c r="N9" i="3"/>
  <c r="M9" i="3"/>
  <c r="L9" i="3"/>
  <c r="K9" i="3"/>
  <c r="U76" i="3"/>
  <c r="AC76" i="3" s="1"/>
  <c r="T76" i="3"/>
  <c r="S76" i="3"/>
  <c r="AB76" i="3"/>
  <c r="Q76" i="3"/>
  <c r="P76" i="3"/>
  <c r="O76" i="3"/>
  <c r="AA76" i="3" s="1"/>
  <c r="N76" i="3"/>
  <c r="M76" i="3"/>
  <c r="L76" i="3"/>
  <c r="Z76" i="3" s="1"/>
  <c r="K76" i="3"/>
  <c r="U64" i="3"/>
  <c r="U65" i="3" s="1"/>
  <c r="U189" i="3" s="1"/>
  <c r="T64" i="3"/>
  <c r="T65" i="3" s="1"/>
  <c r="T189" i="3" s="1"/>
  <c r="S64" i="3"/>
  <c r="Q64" i="3"/>
  <c r="P64" i="3"/>
  <c r="P65" i="3" s="1"/>
  <c r="O64" i="3"/>
  <c r="N64" i="3"/>
  <c r="M64" i="3"/>
  <c r="L64" i="3"/>
  <c r="K64" i="3"/>
  <c r="H102" i="2"/>
  <c r="E7" i="7" s="1"/>
  <c r="U75" i="4"/>
  <c r="T75" i="4"/>
  <c r="S75" i="4"/>
  <c r="Q75" i="4"/>
  <c r="P75" i="4"/>
  <c r="O75" i="4"/>
  <c r="N75" i="4"/>
  <c r="Y75" i="4" s="1"/>
  <c r="M75" i="4"/>
  <c r="L75" i="4"/>
  <c r="K75" i="4"/>
  <c r="J75" i="4"/>
  <c r="H69" i="2"/>
  <c r="H4" i="2"/>
  <c r="K9" i="4"/>
  <c r="H85" i="2"/>
  <c r="H68" i="2"/>
  <c r="H57" i="2"/>
  <c r="H33" i="2"/>
  <c r="H42" i="2" s="1"/>
  <c r="K8" i="4"/>
  <c r="H65" i="2"/>
  <c r="I85" i="2"/>
  <c r="H67" i="2"/>
  <c r="P92" i="2"/>
  <c r="J83" i="2"/>
  <c r="J76" i="3"/>
  <c r="J64" i="3"/>
  <c r="J9" i="3"/>
  <c r="U9" i="4"/>
  <c r="T9" i="4"/>
  <c r="S9" i="4"/>
  <c r="Q9" i="4"/>
  <c r="P9" i="4"/>
  <c r="O9" i="4"/>
  <c r="N9" i="4"/>
  <c r="Y9" i="4" s="1"/>
  <c r="M9" i="4"/>
  <c r="L9" i="4"/>
  <c r="J9" i="4"/>
  <c r="J10" i="4"/>
  <c r="G16" i="2"/>
  <c r="G106" i="2"/>
  <c r="G69" i="2"/>
  <c r="G6" i="2"/>
  <c r="G4" i="2" s="1"/>
  <c r="G29" i="2" s="1"/>
  <c r="G33" i="2"/>
  <c r="G42" i="2" s="1"/>
  <c r="G61" i="2"/>
  <c r="U152" i="3"/>
  <c r="U150" i="3"/>
  <c r="U137" i="3"/>
  <c r="U136" i="3"/>
  <c r="U133" i="3"/>
  <c r="U122" i="3"/>
  <c r="U115" i="3"/>
  <c r="U101" i="3"/>
  <c r="U99" i="3"/>
  <c r="U104" i="3" s="1"/>
  <c r="U89" i="3"/>
  <c r="U92" i="3" s="1"/>
  <c r="U200" i="3" s="1"/>
  <c r="U77" i="3"/>
  <c r="U75" i="3"/>
  <c r="U79" i="3" s="1"/>
  <c r="U97" i="3" s="1"/>
  <c r="U61" i="3"/>
  <c r="U60" i="3"/>
  <c r="U58" i="3"/>
  <c r="U57" i="3"/>
  <c r="U42" i="3"/>
  <c r="U41" i="3"/>
  <c r="U40" i="3"/>
  <c r="U39" i="3"/>
  <c r="U35" i="3"/>
  <c r="U32" i="3"/>
  <c r="U31" i="3"/>
  <c r="U30" i="3"/>
  <c r="U21" i="3"/>
  <c r="U13" i="3"/>
  <c r="U12" i="3"/>
  <c r="U11" i="3"/>
  <c r="U10" i="3"/>
  <c r="V10" i="3"/>
  <c r="U8" i="3"/>
  <c r="U19" i="3" s="1"/>
  <c r="U180" i="3" s="1"/>
  <c r="V91" i="4"/>
  <c r="AD23" i="3"/>
  <c r="AD181" i="3"/>
  <c r="AC101" i="3"/>
  <c r="AD15" i="3"/>
  <c r="AB20" i="3"/>
  <c r="U76" i="4"/>
  <c r="U74" i="4"/>
  <c r="U63" i="4"/>
  <c r="U62" i="4"/>
  <c r="U59" i="4"/>
  <c r="U58" i="4"/>
  <c r="U56" i="4"/>
  <c r="U55" i="4"/>
  <c r="U18" i="4"/>
  <c r="U38" i="4"/>
  <c r="U41" i="4" s="1"/>
  <c r="U183" i="4" s="1"/>
  <c r="U32" i="4"/>
  <c r="U29" i="4"/>
  <c r="U28" i="4"/>
  <c r="U27" i="4"/>
  <c r="U10" i="4"/>
  <c r="U8" i="4"/>
  <c r="U112" i="3"/>
  <c r="U113" i="3" s="1"/>
  <c r="U119" i="3"/>
  <c r="T76" i="4"/>
  <c r="T74" i="4"/>
  <c r="T63" i="4"/>
  <c r="T62" i="4"/>
  <c r="T59" i="4"/>
  <c r="T58" i="4"/>
  <c r="T32" i="4"/>
  <c r="T112" i="3"/>
  <c r="S18" i="4"/>
  <c r="S76" i="4"/>
  <c r="S63" i="4"/>
  <c r="S64" i="4" s="1"/>
  <c r="S188" i="4" s="1"/>
  <c r="S62" i="4"/>
  <c r="S59" i="4"/>
  <c r="S58" i="4"/>
  <c r="S32" i="4"/>
  <c r="S10" i="4"/>
  <c r="S8" i="3"/>
  <c r="AC8" i="3" s="1"/>
  <c r="T8" i="3"/>
  <c r="T19" i="3" s="1"/>
  <c r="S119" i="3"/>
  <c r="AC119" i="3" s="1"/>
  <c r="S112" i="3"/>
  <c r="K69" i="2"/>
  <c r="U198" i="3"/>
  <c r="T198" i="3"/>
  <c r="S198" i="3"/>
  <c r="U178" i="3"/>
  <c r="T178" i="3"/>
  <c r="S178" i="3"/>
  <c r="U168" i="3"/>
  <c r="T168" i="3"/>
  <c r="S168" i="3"/>
  <c r="T152" i="3"/>
  <c r="S152" i="3"/>
  <c r="AC152" i="3" s="1"/>
  <c r="T150" i="3"/>
  <c r="S150" i="3"/>
  <c r="S154" i="3" s="1"/>
  <c r="S211" i="3" s="1"/>
  <c r="T137" i="3"/>
  <c r="S137" i="3"/>
  <c r="T136" i="3"/>
  <c r="S136" i="3"/>
  <c r="T133" i="3"/>
  <c r="T138" i="3" s="1"/>
  <c r="T207" i="3" s="1"/>
  <c r="S133" i="3"/>
  <c r="T122" i="3"/>
  <c r="T119" i="3"/>
  <c r="T115" i="3"/>
  <c r="T101" i="3"/>
  <c r="T99" i="3"/>
  <c r="T104" i="3" s="1"/>
  <c r="S99" i="3"/>
  <c r="T89" i="3"/>
  <c r="U87" i="3"/>
  <c r="T87" i="3"/>
  <c r="S87" i="3"/>
  <c r="T77" i="3"/>
  <c r="S77" i="3"/>
  <c r="AC77" i="3" s="1"/>
  <c r="T75" i="3"/>
  <c r="S75" i="3"/>
  <c r="AC75" i="3" s="1"/>
  <c r="AC79" i="3" s="1"/>
  <c r="T61" i="3"/>
  <c r="AD61" i="3" s="1"/>
  <c r="S61" i="3"/>
  <c r="AC61" i="3" s="1"/>
  <c r="T60" i="3"/>
  <c r="S60" i="3"/>
  <c r="AC60" i="3" s="1"/>
  <c r="T58" i="3"/>
  <c r="S58" i="3"/>
  <c r="AC58" i="3" s="1"/>
  <c r="T57" i="3"/>
  <c r="S57" i="3"/>
  <c r="T42" i="3"/>
  <c r="S42" i="3"/>
  <c r="AC42" i="3" s="1"/>
  <c r="T41" i="3"/>
  <c r="S41" i="3"/>
  <c r="AC41" i="3" s="1"/>
  <c r="T40" i="3"/>
  <c r="S40" i="3"/>
  <c r="T39" i="3"/>
  <c r="S39" i="3"/>
  <c r="AC39" i="3" s="1"/>
  <c r="T35" i="3"/>
  <c r="S35" i="3"/>
  <c r="AC35" i="3" s="1"/>
  <c r="T32" i="3"/>
  <c r="S32" i="3"/>
  <c r="AC32" i="3" s="1"/>
  <c r="T31" i="3"/>
  <c r="S31" i="3"/>
  <c r="AC31" i="3" s="1"/>
  <c r="T30" i="3"/>
  <c r="S30" i="3"/>
  <c r="AC30" i="3" s="1"/>
  <c r="T21" i="3"/>
  <c r="S21" i="3"/>
  <c r="AC21" i="3" s="1"/>
  <c r="T13" i="3"/>
  <c r="S13" i="3"/>
  <c r="T12" i="3"/>
  <c r="S12" i="3"/>
  <c r="T11" i="3"/>
  <c r="S11" i="3"/>
  <c r="T10" i="3"/>
  <c r="S10" i="3"/>
  <c r="AC10" i="3" s="1"/>
  <c r="S115" i="3"/>
  <c r="U23" i="3"/>
  <c r="S89" i="3"/>
  <c r="T117" i="3"/>
  <c r="T154" i="3"/>
  <c r="T211" i="3" s="1"/>
  <c r="U123" i="3"/>
  <c r="T62" i="3"/>
  <c r="U121" i="3"/>
  <c r="P10" i="4"/>
  <c r="O10" i="4"/>
  <c r="N10" i="4"/>
  <c r="Y10" i="4" s="1"/>
  <c r="L10" i="4"/>
  <c r="K10" i="4"/>
  <c r="Q10" i="4"/>
  <c r="T56" i="4"/>
  <c r="S56" i="4"/>
  <c r="T55" i="4"/>
  <c r="S55" i="4"/>
  <c r="Q55" i="4"/>
  <c r="T38" i="4"/>
  <c r="T41" i="4" s="1"/>
  <c r="S38" i="4"/>
  <c r="S41" i="4" s="1"/>
  <c r="S183" i="4" s="1"/>
  <c r="T29" i="4"/>
  <c r="S29" i="4"/>
  <c r="T28" i="4"/>
  <c r="S28" i="4"/>
  <c r="T27" i="4"/>
  <c r="S27" i="4"/>
  <c r="T18" i="4"/>
  <c r="T8" i="4"/>
  <c r="S8" i="4"/>
  <c r="T10" i="4"/>
  <c r="AB8" i="3"/>
  <c r="Q42" i="3"/>
  <c r="AB10" i="3"/>
  <c r="Q10" i="3"/>
  <c r="S92" i="3"/>
  <c r="AC89" i="3"/>
  <c r="T188" i="3"/>
  <c r="AB133" i="3"/>
  <c r="Q133" i="3"/>
  <c r="AB137" i="3"/>
  <c r="Q137" i="3"/>
  <c r="Q61" i="3"/>
  <c r="AB60" i="3"/>
  <c r="Q60" i="3"/>
  <c r="AB58" i="3"/>
  <c r="Q58" i="3"/>
  <c r="Q57" i="3"/>
  <c r="AB21" i="3"/>
  <c r="Q21" i="3"/>
  <c r="Q13" i="3"/>
  <c r="Q12" i="3"/>
  <c r="Q11" i="3"/>
  <c r="S200" i="3"/>
  <c r="S102" i="3"/>
  <c r="V108" i="5"/>
  <c r="X108" i="5" s="1"/>
  <c r="P108" i="5"/>
  <c r="R108" i="5" s="1"/>
  <c r="X104" i="5"/>
  <c r="V104" i="5"/>
  <c r="T104" i="5"/>
  <c r="R104" i="5"/>
  <c r="P104" i="5"/>
  <c r="N104" i="5"/>
  <c r="L104" i="5"/>
  <c r="J104" i="5"/>
  <c r="H104" i="5"/>
  <c r="G104" i="5"/>
  <c r="F104" i="5"/>
  <c r="E104" i="5"/>
  <c r="D104" i="5"/>
  <c r="V100" i="5"/>
  <c r="X96" i="5"/>
  <c r="V96" i="5"/>
  <c r="T96" i="5"/>
  <c r="R96" i="5"/>
  <c r="P96" i="5"/>
  <c r="N96" i="5"/>
  <c r="L96" i="5"/>
  <c r="J96" i="5"/>
  <c r="H96" i="5"/>
  <c r="G96" i="5"/>
  <c r="F96" i="5"/>
  <c r="E96" i="5"/>
  <c r="D96" i="5"/>
  <c r="X86" i="5"/>
  <c r="R85" i="5"/>
  <c r="H83" i="5"/>
  <c r="T80" i="5"/>
  <c r="T67" i="5" s="1"/>
  <c r="N80" i="5"/>
  <c r="N75" i="5"/>
  <c r="X67" i="5"/>
  <c r="V67" i="5"/>
  <c r="R67" i="5"/>
  <c r="P67" i="5"/>
  <c r="L67" i="5"/>
  <c r="J67" i="5"/>
  <c r="H67" i="5"/>
  <c r="X60" i="5"/>
  <c r="V60" i="5"/>
  <c r="T60" i="5"/>
  <c r="R60" i="5"/>
  <c r="P60" i="5"/>
  <c r="N60" i="5"/>
  <c r="L60" i="5"/>
  <c r="J60" i="5"/>
  <c r="H60" i="5"/>
  <c r="G60" i="5"/>
  <c r="F60" i="5"/>
  <c r="E60" i="5"/>
  <c r="D60" i="5"/>
  <c r="X56" i="5"/>
  <c r="V56" i="5"/>
  <c r="T56" i="5"/>
  <c r="R56" i="5"/>
  <c r="P56" i="5"/>
  <c r="N56" i="5"/>
  <c r="L56" i="5"/>
  <c r="J56" i="5"/>
  <c r="H56" i="5"/>
  <c r="G56" i="5"/>
  <c r="F56" i="5"/>
  <c r="E56" i="5"/>
  <c r="D56" i="5"/>
  <c r="X47" i="5"/>
  <c r="X44" i="5"/>
  <c r="X50" i="5" s="1"/>
  <c r="V44" i="5"/>
  <c r="V50" i="5" s="1"/>
  <c r="G44" i="5"/>
  <c r="G50" i="5" s="1"/>
  <c r="G52" i="5" s="1"/>
  <c r="F44" i="5"/>
  <c r="F50" i="5" s="1"/>
  <c r="F52" i="5" s="1"/>
  <c r="E44" i="5"/>
  <c r="E50" i="5" s="1"/>
  <c r="E52" i="5" s="1"/>
  <c r="D44" i="5"/>
  <c r="D50" i="5" s="1"/>
  <c r="D52" i="5" s="1"/>
  <c r="X33" i="5"/>
  <c r="X42" i="5" s="1"/>
  <c r="V33" i="5"/>
  <c r="V42" i="5" s="1"/>
  <c r="V52" i="5" s="1"/>
  <c r="T33" i="5"/>
  <c r="T42" i="5"/>
  <c r="R33" i="5"/>
  <c r="R42" i="5"/>
  <c r="P33" i="5"/>
  <c r="P42" i="5"/>
  <c r="N33" i="5"/>
  <c r="N42" i="5"/>
  <c r="L33" i="5"/>
  <c r="L42" i="5"/>
  <c r="J33" i="5"/>
  <c r="J42" i="5"/>
  <c r="H33" i="5"/>
  <c r="H42" i="5"/>
  <c r="G33" i="5"/>
  <c r="G42" i="5"/>
  <c r="F33" i="5"/>
  <c r="F42" i="5"/>
  <c r="E33" i="5"/>
  <c r="E42" i="5"/>
  <c r="D33" i="5"/>
  <c r="D42" i="5"/>
  <c r="T22" i="5"/>
  <c r="R22" i="5"/>
  <c r="P22" i="5"/>
  <c r="N22" i="5"/>
  <c r="L22" i="5"/>
  <c r="J22" i="5"/>
  <c r="H22" i="5"/>
  <c r="T21" i="5"/>
  <c r="R21" i="5"/>
  <c r="P21" i="5"/>
  <c r="P15" i="5" s="1"/>
  <c r="P29" i="5" s="1"/>
  <c r="N21" i="5"/>
  <c r="L21" i="5"/>
  <c r="J21" i="5"/>
  <c r="H21" i="5"/>
  <c r="T20" i="5"/>
  <c r="R20" i="5"/>
  <c r="P20" i="5"/>
  <c r="N20" i="5"/>
  <c r="L20" i="5"/>
  <c r="J20" i="5"/>
  <c r="H20" i="5"/>
  <c r="X15" i="5"/>
  <c r="V15" i="5"/>
  <c r="G15" i="5"/>
  <c r="F15" i="5"/>
  <c r="E15" i="5"/>
  <c r="D15" i="5"/>
  <c r="X4" i="5"/>
  <c r="V4" i="5"/>
  <c r="T4" i="5"/>
  <c r="R4" i="5"/>
  <c r="P4" i="5"/>
  <c r="N4" i="5"/>
  <c r="L4" i="5"/>
  <c r="J4" i="5"/>
  <c r="H4" i="5"/>
  <c r="H29" i="5" s="1"/>
  <c r="G4" i="5"/>
  <c r="F4" i="5"/>
  <c r="E4" i="5"/>
  <c r="D4" i="5"/>
  <c r="V29" i="5"/>
  <c r="V112" i="5" s="1"/>
  <c r="H15" i="5"/>
  <c r="N67" i="5"/>
  <c r="E29" i="5"/>
  <c r="G29" i="5"/>
  <c r="L15" i="5"/>
  <c r="L29" i="5" s="1"/>
  <c r="T15" i="5"/>
  <c r="T29" i="5" s="1"/>
  <c r="J15" i="5"/>
  <c r="J29" i="5" s="1"/>
  <c r="J112" i="5" s="1"/>
  <c r="N15" i="5"/>
  <c r="N29" i="5" s="1"/>
  <c r="R15" i="5"/>
  <c r="R29" i="5" s="1"/>
  <c r="T64" i="5"/>
  <c r="T98" i="5" s="1"/>
  <c r="T106" i="5" s="1"/>
  <c r="T110" i="5" s="1"/>
  <c r="T47" i="5" s="1"/>
  <c r="T44" i="5" s="1"/>
  <c r="T50" i="5" s="1"/>
  <c r="T52" i="5" s="1"/>
  <c r="X64" i="5"/>
  <c r="X66" i="5"/>
  <c r="X29" i="5"/>
  <c r="X112" i="5" s="1"/>
  <c r="E64" i="5"/>
  <c r="E98" i="5" s="1"/>
  <c r="E106" i="5" s="1"/>
  <c r="E110" i="5" s="1"/>
  <c r="G64" i="5"/>
  <c r="G66" i="5" s="1"/>
  <c r="J64" i="5"/>
  <c r="J98" i="5" s="1"/>
  <c r="J106" i="5" s="1"/>
  <c r="J110" i="5" s="1"/>
  <c r="J47" i="5" s="1"/>
  <c r="J44" i="5" s="1"/>
  <c r="J50" i="5" s="1"/>
  <c r="J52" i="5" s="1"/>
  <c r="N64" i="5"/>
  <c r="N98" i="5"/>
  <c r="N106" i="5" s="1"/>
  <c r="N110" i="5" s="1"/>
  <c r="N47" i="5" s="1"/>
  <c r="N44" i="5" s="1"/>
  <c r="N50" i="5" s="1"/>
  <c r="N52" i="5" s="1"/>
  <c r="R64" i="5"/>
  <c r="R98" i="5"/>
  <c r="R106" i="5" s="1"/>
  <c r="V64" i="5"/>
  <c r="V66" i="5" s="1"/>
  <c r="D29" i="5"/>
  <c r="F29" i="5"/>
  <c r="D64" i="5"/>
  <c r="D98" i="5" s="1"/>
  <c r="D106" i="5" s="1"/>
  <c r="D110" i="5" s="1"/>
  <c r="F64" i="5"/>
  <c r="F98" i="5" s="1"/>
  <c r="F106" i="5" s="1"/>
  <c r="F110" i="5" s="1"/>
  <c r="H64" i="5"/>
  <c r="H66" i="5" s="1"/>
  <c r="L64" i="5"/>
  <c r="L66" i="5" s="1"/>
  <c r="P64" i="5"/>
  <c r="P66" i="5"/>
  <c r="J66" i="5"/>
  <c r="R66" i="5"/>
  <c r="E66" i="5"/>
  <c r="T66" i="5"/>
  <c r="F66" i="5"/>
  <c r="N66" i="5"/>
  <c r="X98" i="5"/>
  <c r="X106" i="5"/>
  <c r="X110" i="5" s="1"/>
  <c r="H98" i="5"/>
  <c r="H106" i="5" s="1"/>
  <c r="H110" i="5" s="1"/>
  <c r="H47" i="5" s="1"/>
  <c r="H44" i="5" s="1"/>
  <c r="H50" i="5" s="1"/>
  <c r="H52" i="5" s="1"/>
  <c r="G98" i="5"/>
  <c r="G106" i="5" s="1"/>
  <c r="G110" i="5" s="1"/>
  <c r="P98" i="5"/>
  <c r="P106" i="5" s="1"/>
  <c r="P110" i="5" s="1"/>
  <c r="P47" i="5" s="1"/>
  <c r="P44" i="5" s="1"/>
  <c r="P50" i="5" s="1"/>
  <c r="P52" i="5" s="1"/>
  <c r="S122" i="3"/>
  <c r="N110" i="2"/>
  <c r="P158" i="3"/>
  <c r="M158" i="3"/>
  <c r="V19" i="3"/>
  <c r="J150" i="3"/>
  <c r="O133" i="3"/>
  <c r="N133" i="3"/>
  <c r="K133" i="3"/>
  <c r="J133" i="3"/>
  <c r="V136" i="3"/>
  <c r="Q136" i="3"/>
  <c r="P136" i="3"/>
  <c r="O136" i="3"/>
  <c r="P135" i="4" s="1"/>
  <c r="N136" i="3"/>
  <c r="M136" i="3"/>
  <c r="L136" i="3"/>
  <c r="K136" i="3"/>
  <c r="J136" i="3"/>
  <c r="P137" i="3"/>
  <c r="O137" i="3"/>
  <c r="N137" i="3"/>
  <c r="O136" i="4" s="1"/>
  <c r="M137" i="3"/>
  <c r="L137" i="3"/>
  <c r="K137" i="3"/>
  <c r="J137" i="3"/>
  <c r="V122" i="3"/>
  <c r="Q122" i="3"/>
  <c r="O122" i="3"/>
  <c r="O121" i="4" s="1"/>
  <c r="M122" i="3"/>
  <c r="K122" i="3"/>
  <c r="V119" i="3"/>
  <c r="Q119" i="3"/>
  <c r="O119" i="3"/>
  <c r="AA119" i="3" s="1"/>
  <c r="N119" i="3"/>
  <c r="M119" i="3"/>
  <c r="L119" i="3"/>
  <c r="K119" i="3"/>
  <c r="V115" i="3"/>
  <c r="Q115" i="3"/>
  <c r="N115" i="3"/>
  <c r="M115" i="3"/>
  <c r="L115" i="3"/>
  <c r="K115" i="3"/>
  <c r="V112" i="3"/>
  <c r="Q112" i="3"/>
  <c r="O112" i="3"/>
  <c r="AA112" i="3" s="1"/>
  <c r="N112" i="3"/>
  <c r="M112" i="3"/>
  <c r="J122" i="3"/>
  <c r="J115" i="3"/>
  <c r="L99" i="3"/>
  <c r="Z99" i="3" s="1"/>
  <c r="K99" i="3"/>
  <c r="J119" i="3"/>
  <c r="P42" i="3"/>
  <c r="O42" i="3"/>
  <c r="AA42" i="3" s="1"/>
  <c r="N42" i="3"/>
  <c r="AG42" i="3" s="1"/>
  <c r="M42" i="3"/>
  <c r="L42" i="3"/>
  <c r="K42" i="3"/>
  <c r="Q41" i="3"/>
  <c r="P41" i="3"/>
  <c r="O41" i="3"/>
  <c r="N41" i="3"/>
  <c r="AG41" i="3" s="1"/>
  <c r="M41" i="3"/>
  <c r="L41" i="3"/>
  <c r="K41" i="3"/>
  <c r="AB40" i="3"/>
  <c r="Q40" i="3"/>
  <c r="P40" i="3"/>
  <c r="O40" i="3"/>
  <c r="AA40" i="3" s="1"/>
  <c r="N40" i="3"/>
  <c r="AG40" i="3" s="1"/>
  <c r="M40" i="3"/>
  <c r="L40" i="3"/>
  <c r="K40" i="3"/>
  <c r="Q39" i="3"/>
  <c r="Q43" i="3" s="1"/>
  <c r="P39" i="3"/>
  <c r="O39" i="3"/>
  <c r="AA39" i="3" s="1"/>
  <c r="N39" i="3"/>
  <c r="AG39" i="3" s="1"/>
  <c r="M39" i="3"/>
  <c r="L39" i="3"/>
  <c r="K39" i="3"/>
  <c r="K43" i="3" s="1"/>
  <c r="K184" i="3" s="1"/>
  <c r="J42" i="3"/>
  <c r="J41" i="3"/>
  <c r="J40" i="3"/>
  <c r="J39" i="3"/>
  <c r="J43" i="3" s="1"/>
  <c r="P13" i="3"/>
  <c r="O13" i="3"/>
  <c r="N13" i="3"/>
  <c r="M13" i="3"/>
  <c r="L13" i="3"/>
  <c r="K13" i="3"/>
  <c r="P12" i="3"/>
  <c r="O12" i="3"/>
  <c r="N12" i="3"/>
  <c r="M12" i="3"/>
  <c r="L12" i="3"/>
  <c r="K12" i="3"/>
  <c r="P11" i="3"/>
  <c r="O11" i="3"/>
  <c r="N11" i="3"/>
  <c r="M11" i="3"/>
  <c r="L11" i="3"/>
  <c r="K11" i="3"/>
  <c r="P10" i="3"/>
  <c r="O10" i="3"/>
  <c r="AA10" i="3" s="1"/>
  <c r="N10" i="3"/>
  <c r="M10" i="3"/>
  <c r="L10" i="3"/>
  <c r="K10" i="3"/>
  <c r="J13" i="3"/>
  <c r="J12" i="3"/>
  <c r="J11" i="3"/>
  <c r="J10" i="3"/>
  <c r="P133" i="3"/>
  <c r="O115" i="3"/>
  <c r="AA115" i="3" s="1"/>
  <c r="AB158" i="3"/>
  <c r="AB159" i="3" s="1"/>
  <c r="AB214" i="3" s="1"/>
  <c r="M133" i="3"/>
  <c r="S78" i="3"/>
  <c r="AC78" i="3" s="1"/>
  <c r="S77" i="4"/>
  <c r="S79" i="3"/>
  <c r="U77" i="4"/>
  <c r="U78" i="3"/>
  <c r="X122" i="3"/>
  <c r="W122" i="3"/>
  <c r="V104" i="3"/>
  <c r="P76" i="4"/>
  <c r="P74" i="4"/>
  <c r="Q76" i="4"/>
  <c r="Q74" i="4"/>
  <c r="Q99" i="3"/>
  <c r="Q104" i="3" s="1"/>
  <c r="AB77" i="3"/>
  <c r="Q77" i="3"/>
  <c r="Q75" i="3"/>
  <c r="Q152" i="3"/>
  <c r="Q58" i="4"/>
  <c r="Q59" i="4"/>
  <c r="Q62" i="4"/>
  <c r="Q56" i="4"/>
  <c r="P63" i="4"/>
  <c r="P62" i="4"/>
  <c r="P64" i="4" s="1"/>
  <c r="P59" i="4"/>
  <c r="P58" i="4"/>
  <c r="P56" i="4"/>
  <c r="P55" i="4"/>
  <c r="Q38" i="4"/>
  <c r="Q41" i="4" s="1"/>
  <c r="Q18" i="4"/>
  <c r="W1" i="4"/>
  <c r="W10" i="4"/>
  <c r="Q8" i="4"/>
  <c r="P30" i="3"/>
  <c r="Q8" i="3"/>
  <c r="P8" i="3"/>
  <c r="P19" i="3" s="1"/>
  <c r="P24" i="3" s="1"/>
  <c r="Q89" i="3"/>
  <c r="I8" i="4"/>
  <c r="N67" i="2"/>
  <c r="P60" i="4"/>
  <c r="P61" i="3"/>
  <c r="P60" i="3"/>
  <c r="O60" i="3"/>
  <c r="O61" i="3"/>
  <c r="AA61" i="3" s="1"/>
  <c r="Q150" i="3"/>
  <c r="Q154" i="3" s="1"/>
  <c r="Q211" i="3" s="1"/>
  <c r="P150" i="3"/>
  <c r="O150" i="3"/>
  <c r="N150" i="3"/>
  <c r="M150" i="3"/>
  <c r="L150" i="3"/>
  <c r="K150" i="3"/>
  <c r="I150" i="3"/>
  <c r="H150" i="3"/>
  <c r="G150" i="3"/>
  <c r="H149" i="4" s="1"/>
  <c r="F150" i="3"/>
  <c r="Q63" i="4"/>
  <c r="Q64" i="4" s="1"/>
  <c r="Q188" i="4" s="1"/>
  <c r="O63" i="4"/>
  <c r="N63" i="4"/>
  <c r="M63" i="4"/>
  <c r="L63" i="4"/>
  <c r="K63" i="4"/>
  <c r="J63" i="4"/>
  <c r="Q32" i="4"/>
  <c r="Q29" i="4"/>
  <c r="Q28" i="4"/>
  <c r="Q27" i="4"/>
  <c r="Q31" i="4" s="1"/>
  <c r="Q181" i="4" s="1"/>
  <c r="P27" i="4"/>
  <c r="O27" i="4"/>
  <c r="N27" i="4"/>
  <c r="M27" i="4"/>
  <c r="L27" i="4"/>
  <c r="K27" i="4"/>
  <c r="J27" i="4"/>
  <c r="AB35" i="3"/>
  <c r="Q35" i="3"/>
  <c r="P32" i="4"/>
  <c r="P32" i="3"/>
  <c r="O32" i="4"/>
  <c r="O29" i="4"/>
  <c r="N35" i="3"/>
  <c r="AG35" i="3" s="1"/>
  <c r="N32" i="3"/>
  <c r="M32" i="4"/>
  <c r="M32" i="3"/>
  <c r="M31" i="3"/>
  <c r="L32" i="4"/>
  <c r="L29" i="4"/>
  <c r="K32" i="4"/>
  <c r="K32" i="3"/>
  <c r="J35" i="3"/>
  <c r="J32" i="3"/>
  <c r="Q32" i="3"/>
  <c r="L32" i="3"/>
  <c r="AB31" i="3"/>
  <c r="Q31" i="3"/>
  <c r="Q30" i="3"/>
  <c r="O30" i="3"/>
  <c r="AA30" i="3" s="1"/>
  <c r="N30" i="3"/>
  <c r="M30" i="3"/>
  <c r="L30" i="3"/>
  <c r="K30" i="3"/>
  <c r="K34" i="3" s="1"/>
  <c r="J30" i="3"/>
  <c r="I9" i="4"/>
  <c r="H9" i="4"/>
  <c r="G9" i="4"/>
  <c r="F9" i="4"/>
  <c r="I9" i="3"/>
  <c r="H9" i="3"/>
  <c r="G9" i="3"/>
  <c r="F9" i="3"/>
  <c r="M33" i="2"/>
  <c r="M42" i="2" s="1"/>
  <c r="D4" i="2"/>
  <c r="E4" i="2"/>
  <c r="E29" i="2" s="1"/>
  <c r="F4" i="2"/>
  <c r="J4" i="2"/>
  <c r="M4" i="2"/>
  <c r="D16" i="2"/>
  <c r="D29" i="2" s="1"/>
  <c r="E16" i="2"/>
  <c r="F16" i="2"/>
  <c r="F29" i="2" s="1"/>
  <c r="D33" i="2"/>
  <c r="D42" i="2"/>
  <c r="E33" i="2"/>
  <c r="F33" i="2"/>
  <c r="F42" i="2" s="1"/>
  <c r="I33" i="2"/>
  <c r="I42" i="2" s="1"/>
  <c r="J33" i="2"/>
  <c r="J42" i="2" s="1"/>
  <c r="E42" i="2"/>
  <c r="D44" i="2"/>
  <c r="D51" i="2" s="1"/>
  <c r="D53" i="2" s="1"/>
  <c r="E44" i="2"/>
  <c r="E51" i="2" s="1"/>
  <c r="F44" i="2"/>
  <c r="F51" i="2" s="1"/>
  <c r="D57" i="2"/>
  <c r="E57" i="2"/>
  <c r="F57" i="2"/>
  <c r="I57" i="2"/>
  <c r="J57" i="2"/>
  <c r="D61" i="2"/>
  <c r="E61" i="2"/>
  <c r="F61" i="2"/>
  <c r="F65" i="2" s="1"/>
  <c r="F67" i="2" s="1"/>
  <c r="I61" i="2"/>
  <c r="J61" i="2"/>
  <c r="D98" i="2"/>
  <c r="E98" i="2"/>
  <c r="F98" i="2"/>
  <c r="J98" i="2"/>
  <c r="D106" i="2"/>
  <c r="E106" i="2"/>
  <c r="F106" i="2"/>
  <c r="M16" i="2"/>
  <c r="O32" i="3"/>
  <c r="J16" i="2"/>
  <c r="O158" i="3"/>
  <c r="AA158" i="3" s="1"/>
  <c r="AA159" i="3" s="1"/>
  <c r="AA214" i="3" s="1"/>
  <c r="N158" i="3"/>
  <c r="K31" i="3"/>
  <c r="M28" i="4"/>
  <c r="O28" i="4"/>
  <c r="J31" i="3"/>
  <c r="L31" i="3"/>
  <c r="Z31" i="3" s="1"/>
  <c r="N31" i="3"/>
  <c r="P31" i="3"/>
  <c r="Q16" i="4"/>
  <c r="L35" i="3"/>
  <c r="P35" i="3"/>
  <c r="L28" i="4"/>
  <c r="P28" i="4"/>
  <c r="K29" i="4"/>
  <c r="N32" i="4"/>
  <c r="N28" i="4"/>
  <c r="M29" i="4"/>
  <c r="J29" i="4"/>
  <c r="D65" i="2"/>
  <c r="D100" i="2" s="1"/>
  <c r="D108" i="2" s="1"/>
  <c r="D112" i="2" s="1"/>
  <c r="O31" i="3"/>
  <c r="K35" i="3"/>
  <c r="M35" i="3"/>
  <c r="O35" i="3"/>
  <c r="AA35" i="3" s="1"/>
  <c r="J28" i="4"/>
  <c r="J31" i="4" s="1"/>
  <c r="J32" i="4"/>
  <c r="K28" i="4"/>
  <c r="N29" i="4"/>
  <c r="P29" i="4"/>
  <c r="J65" i="2"/>
  <c r="J67" i="2" s="1"/>
  <c r="M67" i="2"/>
  <c r="P18" i="4"/>
  <c r="O18" i="4"/>
  <c r="O21" i="3"/>
  <c r="G46" i="6" s="1"/>
  <c r="P43" i="3"/>
  <c r="O77" i="3"/>
  <c r="AA77" i="3" s="1"/>
  <c r="P77" i="3"/>
  <c r="O75" i="3"/>
  <c r="AA75" i="3" s="1"/>
  <c r="P75" i="3"/>
  <c r="AA64" i="3"/>
  <c r="N65" i="3"/>
  <c r="N189" i="3" s="1"/>
  <c r="O58" i="3"/>
  <c r="AA58" i="3" s="1"/>
  <c r="P58" i="3"/>
  <c r="AA60" i="3"/>
  <c r="O57" i="3"/>
  <c r="P57" i="3"/>
  <c r="H126" i="6" s="1"/>
  <c r="N57" i="3"/>
  <c r="F126" i="6" s="1"/>
  <c r="S149" i="4"/>
  <c r="O150" i="4"/>
  <c r="P150" i="4"/>
  <c r="Q150" i="4"/>
  <c r="R150" i="4"/>
  <c r="S150" i="4"/>
  <c r="T150" i="4"/>
  <c r="U150" i="4"/>
  <c r="O152" i="3"/>
  <c r="N152" i="3"/>
  <c r="AG152" i="3" s="1"/>
  <c r="P152" i="4"/>
  <c r="T135" i="4"/>
  <c r="S136" i="4"/>
  <c r="U136" i="4"/>
  <c r="N138" i="3"/>
  <c r="N207" i="3" s="1"/>
  <c r="O118" i="4"/>
  <c r="O123" i="4" s="1"/>
  <c r="O205" i="4" s="1"/>
  <c r="T114" i="4"/>
  <c r="AB112" i="3"/>
  <c r="O100" i="4"/>
  <c r="R100" i="4"/>
  <c r="S100" i="4"/>
  <c r="O99" i="3"/>
  <c r="O104" i="3" s="1"/>
  <c r="O202" i="3" s="1"/>
  <c r="N99" i="3"/>
  <c r="N89" i="3"/>
  <c r="N92" i="3" s="1"/>
  <c r="P89" i="3"/>
  <c r="P92" i="3" s="1"/>
  <c r="Q92" i="3"/>
  <c r="Q23" i="3" s="1"/>
  <c r="O89" i="4"/>
  <c r="P89" i="4"/>
  <c r="Q89" i="4"/>
  <c r="R89" i="4"/>
  <c r="S89" i="4"/>
  <c r="T89" i="4"/>
  <c r="U89" i="4"/>
  <c r="O90" i="4"/>
  <c r="P90" i="4"/>
  <c r="Q90" i="4"/>
  <c r="R90" i="4"/>
  <c r="S90" i="4"/>
  <c r="T90" i="4"/>
  <c r="U90" i="4"/>
  <c r="O74" i="4"/>
  <c r="S74" i="4"/>
  <c r="O76" i="4"/>
  <c r="O62" i="4"/>
  <c r="O55" i="4"/>
  <c r="O56" i="4"/>
  <c r="O58" i="4"/>
  <c r="O59" i="4"/>
  <c r="O38" i="4"/>
  <c r="O41" i="4" s="1"/>
  <c r="O183" i="4" s="1"/>
  <c r="P38" i="4"/>
  <c r="P41" i="4" s="1"/>
  <c r="R41" i="4"/>
  <c r="R183" i="4" s="1"/>
  <c r="O8" i="4"/>
  <c r="P8" i="4"/>
  <c r="R31" i="4"/>
  <c r="R181" i="4" s="1"/>
  <c r="T31" i="4"/>
  <c r="M159" i="3"/>
  <c r="M214" i="3" s="1"/>
  <c r="L158" i="3"/>
  <c r="L159" i="3" s="1"/>
  <c r="L214" i="3" s="1"/>
  <c r="K158" i="3"/>
  <c r="J158" i="3"/>
  <c r="J157" i="4" s="1"/>
  <c r="J158" i="4" s="1"/>
  <c r="J213" i="4" s="1"/>
  <c r="I158" i="3"/>
  <c r="X158" i="3" s="1"/>
  <c r="X159" i="3" s="1"/>
  <c r="X214" i="3" s="1"/>
  <c r="H158" i="3"/>
  <c r="H159" i="3" s="1"/>
  <c r="H214" i="3" s="1"/>
  <c r="G158" i="3"/>
  <c r="G159" i="3" s="1"/>
  <c r="G214" i="3" s="1"/>
  <c r="F158" i="3"/>
  <c r="F157" i="4" s="1"/>
  <c r="F158" i="4" s="1"/>
  <c r="F213" i="4" s="1"/>
  <c r="J152" i="4"/>
  <c r="AE153" i="3"/>
  <c r="G152" i="4"/>
  <c r="F152" i="4"/>
  <c r="M152" i="3"/>
  <c r="M154" i="3" s="1"/>
  <c r="M211" i="3" s="1"/>
  <c r="L152" i="3"/>
  <c r="Z152" i="3" s="1"/>
  <c r="K152" i="3"/>
  <c r="J152" i="3"/>
  <c r="J151" i="4" s="1"/>
  <c r="I152" i="3"/>
  <c r="X152" i="3" s="1"/>
  <c r="H152" i="3"/>
  <c r="H154" i="3" s="1"/>
  <c r="H211" i="3" s="1"/>
  <c r="G152" i="3"/>
  <c r="F152" i="3"/>
  <c r="F151" i="4" s="1"/>
  <c r="N150" i="4"/>
  <c r="Y150" i="4" s="1"/>
  <c r="M150" i="4"/>
  <c r="L150" i="4"/>
  <c r="K150" i="4"/>
  <c r="J150" i="4"/>
  <c r="I150" i="4"/>
  <c r="W150" i="4" s="1"/>
  <c r="H150" i="4"/>
  <c r="G150" i="4"/>
  <c r="F150" i="4"/>
  <c r="K149" i="4"/>
  <c r="J149" i="4"/>
  <c r="F149" i="4"/>
  <c r="I136" i="4"/>
  <c r="H136" i="4"/>
  <c r="G136" i="4"/>
  <c r="F136" i="4"/>
  <c r="N135" i="4"/>
  <c r="Y135" i="4" s="1"/>
  <c r="J135" i="4"/>
  <c r="I135" i="4"/>
  <c r="W135" i="4" s="1"/>
  <c r="H135" i="4"/>
  <c r="G135" i="4"/>
  <c r="F135" i="4"/>
  <c r="I133" i="3"/>
  <c r="AE133" i="3"/>
  <c r="H133" i="3"/>
  <c r="H138" i="3"/>
  <c r="G133" i="3"/>
  <c r="G138" i="3"/>
  <c r="G207" i="3" s="1"/>
  <c r="F133" i="3"/>
  <c r="F135" i="3" s="1"/>
  <c r="N121" i="4"/>
  <c r="Y121" i="4" s="1"/>
  <c r="J121" i="4"/>
  <c r="I121" i="4"/>
  <c r="W121" i="4" s="1"/>
  <c r="H121" i="4"/>
  <c r="G121" i="4"/>
  <c r="F121" i="4"/>
  <c r="I118" i="4"/>
  <c r="H118" i="4"/>
  <c r="G118" i="4"/>
  <c r="F118" i="4"/>
  <c r="K114" i="4"/>
  <c r="J114" i="4"/>
  <c r="I114" i="4"/>
  <c r="W114" i="4" s="1"/>
  <c r="H114" i="4"/>
  <c r="G114" i="4"/>
  <c r="F114" i="4"/>
  <c r="M117" i="3"/>
  <c r="I112" i="3"/>
  <c r="AE112" i="3" s="1"/>
  <c r="H112" i="3"/>
  <c r="G112" i="3"/>
  <c r="G114" i="3" s="1"/>
  <c r="F112" i="3"/>
  <c r="N100" i="4"/>
  <c r="Y100" i="4"/>
  <c r="M100" i="4"/>
  <c r="L100" i="4"/>
  <c r="K100" i="4"/>
  <c r="J100" i="4"/>
  <c r="J102" i="4" s="1"/>
  <c r="I100" i="4"/>
  <c r="W100" i="4" s="1"/>
  <c r="W102" i="4" s="1"/>
  <c r="H100" i="4"/>
  <c r="G100" i="4"/>
  <c r="G102" i="4" s="1"/>
  <c r="F100" i="4"/>
  <c r="F102" i="4" s="1"/>
  <c r="M99" i="3"/>
  <c r="M104" i="3" s="1"/>
  <c r="J99" i="3"/>
  <c r="I99" i="3"/>
  <c r="AE99" i="3" s="1"/>
  <c r="H99" i="3"/>
  <c r="H104" i="3" s="1"/>
  <c r="G99" i="3"/>
  <c r="G104" i="3"/>
  <c r="G106" i="3" s="1"/>
  <c r="F99" i="3"/>
  <c r="F98" i="4"/>
  <c r="F89" i="4"/>
  <c r="G89" i="4"/>
  <c r="H89" i="4"/>
  <c r="I89" i="4"/>
  <c r="W89" i="4" s="1"/>
  <c r="J89" i="4"/>
  <c r="K89" i="4"/>
  <c r="L89" i="4"/>
  <c r="M89" i="4"/>
  <c r="N89" i="4"/>
  <c r="Y89" i="4" s="1"/>
  <c r="F90" i="4"/>
  <c r="G90" i="4"/>
  <c r="H90" i="4"/>
  <c r="I90" i="4"/>
  <c r="J90" i="4"/>
  <c r="K90" i="4"/>
  <c r="L90" i="4"/>
  <c r="M90" i="4"/>
  <c r="N90" i="4"/>
  <c r="Y90" i="4" s="1"/>
  <c r="F89" i="3"/>
  <c r="F88" i="4" s="1"/>
  <c r="F91" i="4" s="1"/>
  <c r="F115" i="4" s="1"/>
  <c r="K89" i="3"/>
  <c r="M89" i="3"/>
  <c r="M92" i="3" s="1"/>
  <c r="H89" i="3"/>
  <c r="H92" i="3" s="1"/>
  <c r="I89" i="3"/>
  <c r="W90" i="4"/>
  <c r="W118" i="4"/>
  <c r="W119" i="4" s="1"/>
  <c r="W136" i="4"/>
  <c r="D214" i="4"/>
  <c r="D213" i="4"/>
  <c r="D211" i="4"/>
  <c r="D210" i="4"/>
  <c r="D208" i="4"/>
  <c r="D206" i="4"/>
  <c r="D205" i="4"/>
  <c r="D204" i="4"/>
  <c r="D202" i="4"/>
  <c r="D201" i="4"/>
  <c r="D199" i="4"/>
  <c r="Y177" i="4"/>
  <c r="Y197" i="4" s="1"/>
  <c r="W177" i="4"/>
  <c r="W197" i="4" s="1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Y176" i="4"/>
  <c r="Y196" i="4" s="1"/>
  <c r="W176" i="4"/>
  <c r="W196" i="4" s="1"/>
  <c r="P196" i="4"/>
  <c r="F196" i="4"/>
  <c r="Y54" i="4"/>
  <c r="N55" i="4"/>
  <c r="Y55" i="4" s="1"/>
  <c r="N56" i="4"/>
  <c r="Y56" i="4" s="1"/>
  <c r="Y57" i="4"/>
  <c r="N58" i="4"/>
  <c r="N59" i="4"/>
  <c r="Y59" i="4" s="1"/>
  <c r="Y61" i="4"/>
  <c r="N62" i="4"/>
  <c r="N64" i="4"/>
  <c r="N74" i="4"/>
  <c r="Y74" i="4"/>
  <c r="N76" i="4"/>
  <c r="W54" i="4"/>
  <c r="I55" i="4"/>
  <c r="W55" i="4" s="1"/>
  <c r="I56" i="4"/>
  <c r="W57" i="4"/>
  <c r="I58" i="4"/>
  <c r="W58" i="4" s="1"/>
  <c r="I59" i="4"/>
  <c r="W59" i="4" s="1"/>
  <c r="W61" i="4"/>
  <c r="I62" i="4"/>
  <c r="I74" i="4"/>
  <c r="W74" i="4" s="1"/>
  <c r="W78" i="4" s="1"/>
  <c r="W192" i="4" s="1"/>
  <c r="W75" i="4"/>
  <c r="I76" i="4"/>
  <c r="W76" i="4" s="1"/>
  <c r="I77" i="4"/>
  <c r="L55" i="4"/>
  <c r="L56" i="4"/>
  <c r="L58" i="4"/>
  <c r="L59" i="4"/>
  <c r="L62" i="4"/>
  <c r="L74" i="4"/>
  <c r="L76" i="4"/>
  <c r="L77" i="4"/>
  <c r="F55" i="4"/>
  <c r="F56" i="4"/>
  <c r="F58" i="4"/>
  <c r="F59" i="4"/>
  <c r="F62" i="4"/>
  <c r="F64" i="4" s="1"/>
  <c r="F188" i="4" s="1"/>
  <c r="F74" i="4"/>
  <c r="F76" i="4"/>
  <c r="F77" i="4"/>
  <c r="M55" i="4"/>
  <c r="M56" i="4"/>
  <c r="M58" i="4"/>
  <c r="M59" i="4"/>
  <c r="M62" i="4"/>
  <c r="M74" i="4"/>
  <c r="M76" i="4"/>
  <c r="K55" i="4"/>
  <c r="K56" i="4"/>
  <c r="K58" i="4"/>
  <c r="K59" i="4"/>
  <c r="K62" i="4"/>
  <c r="K74" i="4"/>
  <c r="K76" i="4"/>
  <c r="J55" i="4"/>
  <c r="J56" i="4"/>
  <c r="J58" i="4"/>
  <c r="J59" i="4"/>
  <c r="J62" i="4"/>
  <c r="J64" i="4" s="1"/>
  <c r="J188" i="4" s="1"/>
  <c r="J74" i="4"/>
  <c r="J76" i="4"/>
  <c r="H55" i="4"/>
  <c r="H56" i="4"/>
  <c r="H58" i="4"/>
  <c r="H59" i="4"/>
  <c r="H62" i="4"/>
  <c r="H64" i="4" s="1"/>
  <c r="H188" i="4" s="1"/>
  <c r="H74" i="4"/>
  <c r="H76" i="4"/>
  <c r="H77" i="4"/>
  <c r="G55" i="4"/>
  <c r="G56" i="4"/>
  <c r="G58" i="4"/>
  <c r="G59" i="4"/>
  <c r="G62" i="4"/>
  <c r="G64" i="4" s="1"/>
  <c r="G188" i="4" s="1"/>
  <c r="G74" i="4"/>
  <c r="G76" i="4"/>
  <c r="G77" i="4"/>
  <c r="D192" i="4"/>
  <c r="D189" i="4"/>
  <c r="D188" i="4"/>
  <c r="D187" i="4"/>
  <c r="N8" i="4"/>
  <c r="Y17" i="4"/>
  <c r="N18" i="4"/>
  <c r="Y24" i="4"/>
  <c r="Y25" i="4"/>
  <c r="Y26" i="4"/>
  <c r="Y27" i="4"/>
  <c r="Y29" i="4"/>
  <c r="Y30" i="4"/>
  <c r="Y32" i="4"/>
  <c r="Y36" i="4"/>
  <c r="Y37" i="4"/>
  <c r="N38" i="4"/>
  <c r="Y39" i="4"/>
  <c r="Y40" i="4"/>
  <c r="W9" i="4"/>
  <c r="W17" i="4"/>
  <c r="I18" i="4"/>
  <c r="W24" i="4"/>
  <c r="W25" i="4"/>
  <c r="W26" i="4"/>
  <c r="W27" i="4"/>
  <c r="I28" i="4"/>
  <c r="W28" i="4"/>
  <c r="W29" i="4"/>
  <c r="W30" i="4"/>
  <c r="W32" i="4"/>
  <c r="W36" i="4"/>
  <c r="W37" i="4"/>
  <c r="I38" i="4"/>
  <c r="W39" i="4"/>
  <c r="W40" i="4"/>
  <c r="L8" i="4"/>
  <c r="L18" i="4"/>
  <c r="L38" i="4"/>
  <c r="L41" i="4" s="1"/>
  <c r="F8" i="4"/>
  <c r="F18" i="4"/>
  <c r="F28" i="4"/>
  <c r="F31" i="4" s="1"/>
  <c r="F38" i="4"/>
  <c r="F41" i="4" s="1"/>
  <c r="F183" i="4" s="1"/>
  <c r="S31" i="4"/>
  <c r="M8" i="4"/>
  <c r="M18" i="4"/>
  <c r="M38" i="4"/>
  <c r="M41" i="4" s="1"/>
  <c r="K18" i="4"/>
  <c r="K38" i="4"/>
  <c r="K41" i="4" s="1"/>
  <c r="K183" i="4" s="1"/>
  <c r="J18" i="4"/>
  <c r="J38" i="4"/>
  <c r="J41" i="4" s="1"/>
  <c r="H8" i="4"/>
  <c r="H18" i="4"/>
  <c r="H28" i="4"/>
  <c r="H31" i="4" s="1"/>
  <c r="H38" i="4"/>
  <c r="H41" i="4" s="1"/>
  <c r="H183" i="4" s="1"/>
  <c r="G8" i="4"/>
  <c r="G18" i="4"/>
  <c r="G28" i="4"/>
  <c r="G31" i="4" s="1"/>
  <c r="G38" i="4"/>
  <c r="G41" i="4" s="1"/>
  <c r="G183" i="4" s="1"/>
  <c r="D184" i="4"/>
  <c r="D183" i="4"/>
  <c r="D182" i="4"/>
  <c r="D181" i="4"/>
  <c r="D180" i="4"/>
  <c r="D179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J176" i="4"/>
  <c r="P176" i="4" s="1"/>
  <c r="F176" i="4"/>
  <c r="K1" i="4"/>
  <c r="L1" i="4" s="1"/>
  <c r="Y166" i="4"/>
  <c r="Y167" i="4" s="1"/>
  <c r="W166" i="4"/>
  <c r="W167" i="4" s="1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I119" i="4"/>
  <c r="H119" i="4"/>
  <c r="G119" i="4"/>
  <c r="F119" i="4"/>
  <c r="J3" i="4"/>
  <c r="F3" i="4"/>
  <c r="G3" i="4" s="1"/>
  <c r="W3" i="4"/>
  <c r="H102" i="4"/>
  <c r="C88" i="4"/>
  <c r="Y86" i="4"/>
  <c r="W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Y85" i="4"/>
  <c r="W85" i="4"/>
  <c r="P85" i="4"/>
  <c r="D61" i="4"/>
  <c r="Y2" i="4"/>
  <c r="W2" i="4"/>
  <c r="J197" i="3"/>
  <c r="P197" i="3" s="1"/>
  <c r="F197" i="3"/>
  <c r="N21" i="3"/>
  <c r="AG90" i="3"/>
  <c r="AG91" i="3"/>
  <c r="J3" i="3"/>
  <c r="K3" i="3" s="1"/>
  <c r="I21" i="3"/>
  <c r="AE90" i="3"/>
  <c r="AE91" i="3"/>
  <c r="F3" i="3"/>
  <c r="AC90" i="3"/>
  <c r="AC91" i="3"/>
  <c r="AB90" i="3"/>
  <c r="AB91" i="3"/>
  <c r="AA21" i="3"/>
  <c r="AA90" i="3"/>
  <c r="AA91" i="3"/>
  <c r="L21" i="3"/>
  <c r="Z90" i="3"/>
  <c r="Z91" i="3"/>
  <c r="X90" i="3"/>
  <c r="X91" i="3"/>
  <c r="F21" i="3"/>
  <c r="W21" i="3" s="1"/>
  <c r="W90" i="3"/>
  <c r="W91" i="3"/>
  <c r="G21" i="3"/>
  <c r="H21" i="3"/>
  <c r="J21" i="3"/>
  <c r="B46" i="6" s="1"/>
  <c r="K21" i="3"/>
  <c r="C46" i="6" s="1"/>
  <c r="M21" i="3"/>
  <c r="E46" i="6" s="1"/>
  <c r="N75" i="3"/>
  <c r="AG75" i="3" s="1"/>
  <c r="AG76" i="3"/>
  <c r="N77" i="3"/>
  <c r="N8" i="3"/>
  <c r="AG9" i="3"/>
  <c r="AG10" i="3"/>
  <c r="AG20" i="3"/>
  <c r="AG27" i="3"/>
  <c r="AG28" i="3"/>
  <c r="AG29" i="3"/>
  <c r="AG30" i="3"/>
  <c r="AG31" i="3"/>
  <c r="AG32" i="3"/>
  <c r="AG33" i="3"/>
  <c r="N43" i="3"/>
  <c r="N184" i="3" s="1"/>
  <c r="I75" i="3"/>
  <c r="AE76" i="3"/>
  <c r="I77" i="3"/>
  <c r="I78" i="3"/>
  <c r="AE78" i="3" s="1"/>
  <c r="I8" i="3"/>
  <c r="AE10" i="3"/>
  <c r="AE20" i="3"/>
  <c r="AE27" i="3"/>
  <c r="AE28" i="3"/>
  <c r="AE29" i="3"/>
  <c r="AE30" i="3"/>
  <c r="I31" i="3"/>
  <c r="AE32" i="3"/>
  <c r="AE33" i="3"/>
  <c r="AE35" i="3"/>
  <c r="AE39" i="3"/>
  <c r="I40" i="3"/>
  <c r="AE40" i="3" s="1"/>
  <c r="AE41" i="3"/>
  <c r="AE42" i="3"/>
  <c r="AC27" i="3"/>
  <c r="AC28" i="3"/>
  <c r="AC29" i="3"/>
  <c r="AC33" i="3"/>
  <c r="AB75" i="3"/>
  <c r="AB78" i="3"/>
  <c r="AB9" i="3"/>
  <c r="AB27" i="3"/>
  <c r="AB28" i="3"/>
  <c r="AB29" i="3"/>
  <c r="AB32" i="3"/>
  <c r="AB33" i="3"/>
  <c r="AB41" i="3"/>
  <c r="AB42" i="3"/>
  <c r="O8" i="3"/>
  <c r="O19" i="3" s="1"/>
  <c r="AA20" i="3"/>
  <c r="AA27" i="3"/>
  <c r="AA28" i="3"/>
  <c r="AA29" i="3"/>
  <c r="AA31" i="3"/>
  <c r="AA32" i="3"/>
  <c r="AA33" i="3"/>
  <c r="L75" i="3"/>
  <c r="Z75" i="3" s="1"/>
  <c r="L77" i="3"/>
  <c r="Z77" i="3" s="1"/>
  <c r="L78" i="3"/>
  <c r="Z78" i="3" s="1"/>
  <c r="L8" i="3"/>
  <c r="Z10" i="3"/>
  <c r="Z20" i="3"/>
  <c r="Z27" i="3"/>
  <c r="Z28" i="3"/>
  <c r="Z29" i="3"/>
  <c r="Z30" i="3"/>
  <c r="Z32" i="3"/>
  <c r="Z33" i="3"/>
  <c r="Z35" i="3"/>
  <c r="Z39" i="3"/>
  <c r="L43" i="3"/>
  <c r="Z41" i="3"/>
  <c r="Z42" i="3"/>
  <c r="X76" i="3"/>
  <c r="X10" i="3"/>
  <c r="X20" i="3"/>
  <c r="X27" i="3"/>
  <c r="X28" i="3"/>
  <c r="X29" i="3"/>
  <c r="X30" i="3"/>
  <c r="X32" i="3"/>
  <c r="X33" i="3"/>
  <c r="X35" i="3"/>
  <c r="X39" i="3"/>
  <c r="X41" i="3"/>
  <c r="X42" i="3"/>
  <c r="F75" i="3"/>
  <c r="W75" i="3" s="1"/>
  <c r="W76" i="3"/>
  <c r="F77" i="3"/>
  <c r="W77" i="3" s="1"/>
  <c r="F78" i="3"/>
  <c r="W78" i="3" s="1"/>
  <c r="F8" i="3"/>
  <c r="W9" i="3"/>
  <c r="W10" i="3"/>
  <c r="W20" i="3"/>
  <c r="W27" i="3"/>
  <c r="W28" i="3"/>
  <c r="W29" i="3"/>
  <c r="W30" i="3"/>
  <c r="F31" i="3"/>
  <c r="W31" i="3" s="1"/>
  <c r="W32" i="3"/>
  <c r="W33" i="3"/>
  <c r="W35" i="3"/>
  <c r="W39" i="3"/>
  <c r="F40" i="3"/>
  <c r="W40" i="3" s="1"/>
  <c r="W41" i="3"/>
  <c r="W42" i="3"/>
  <c r="AG101" i="3"/>
  <c r="K1" i="3"/>
  <c r="AE101" i="3"/>
  <c r="X1" i="3"/>
  <c r="AE1" i="3" s="1"/>
  <c r="AB101" i="3"/>
  <c r="AA101" i="3"/>
  <c r="Z101" i="3"/>
  <c r="X101" i="3"/>
  <c r="W101" i="3"/>
  <c r="W1" i="3"/>
  <c r="AG119" i="3"/>
  <c r="AG136" i="3"/>
  <c r="AG151" i="3"/>
  <c r="AG153" i="3"/>
  <c r="AE115" i="3"/>
  <c r="AE119" i="3"/>
  <c r="AE122" i="3"/>
  <c r="AE136" i="3"/>
  <c r="AE137" i="3"/>
  <c r="AE151" i="3"/>
  <c r="AC151" i="3"/>
  <c r="AC153" i="3"/>
  <c r="AB136" i="3"/>
  <c r="AB150" i="3"/>
  <c r="AB151" i="3"/>
  <c r="AB153" i="3"/>
  <c r="AA122" i="3"/>
  <c r="AA137" i="3"/>
  <c r="AA150" i="3"/>
  <c r="AA151" i="3"/>
  <c r="AA153" i="3"/>
  <c r="Z119" i="3"/>
  <c r="Z136" i="3"/>
  <c r="Z150" i="3"/>
  <c r="Z151" i="3"/>
  <c r="Z153" i="3"/>
  <c r="X115" i="3"/>
  <c r="X119" i="3"/>
  <c r="X136" i="3"/>
  <c r="X137" i="3"/>
  <c r="X151" i="3"/>
  <c r="X153" i="3"/>
  <c r="W115" i="3"/>
  <c r="W119" i="3"/>
  <c r="W136" i="3"/>
  <c r="W137" i="3"/>
  <c r="W150" i="3"/>
  <c r="W151" i="3"/>
  <c r="W153" i="3"/>
  <c r="F124" i="3"/>
  <c r="F206" i="3" s="1"/>
  <c r="G77" i="3"/>
  <c r="H77" i="3"/>
  <c r="J77" i="3"/>
  <c r="K77" i="3"/>
  <c r="M77" i="3"/>
  <c r="G61" i="3"/>
  <c r="H61" i="3"/>
  <c r="I61" i="3"/>
  <c r="AE61" i="3" s="1"/>
  <c r="J61" i="3"/>
  <c r="K61" i="3"/>
  <c r="L61" i="3"/>
  <c r="Z61" i="3" s="1"/>
  <c r="M61" i="3"/>
  <c r="N61" i="3"/>
  <c r="AG61" i="3" s="1"/>
  <c r="G124" i="3"/>
  <c r="G206" i="3" s="1"/>
  <c r="H124" i="3"/>
  <c r="H206" i="3" s="1"/>
  <c r="I124" i="3"/>
  <c r="I206" i="3" s="1"/>
  <c r="K124" i="3"/>
  <c r="K206" i="3" s="1"/>
  <c r="M124" i="3"/>
  <c r="M206" i="3" s="1"/>
  <c r="N124" i="3"/>
  <c r="N206" i="3" s="1"/>
  <c r="AG178" i="3"/>
  <c r="AG198" i="3" s="1"/>
  <c r="AG177" i="3"/>
  <c r="AG197" i="3" s="1"/>
  <c r="AE178" i="3"/>
  <c r="AE198" i="3" s="1"/>
  <c r="AE177" i="3"/>
  <c r="AE197" i="3" s="1"/>
  <c r="X178" i="3"/>
  <c r="X198" i="3" s="1"/>
  <c r="W178" i="3"/>
  <c r="W198" i="3" s="1"/>
  <c r="W177" i="3"/>
  <c r="W197" i="3" s="1"/>
  <c r="J177" i="3"/>
  <c r="P177" i="3" s="1"/>
  <c r="F177" i="3"/>
  <c r="D215" i="3"/>
  <c r="O124" i="3"/>
  <c r="O206" i="3" s="1"/>
  <c r="Q124" i="3"/>
  <c r="Q206" i="3" s="1"/>
  <c r="D205" i="3"/>
  <c r="W86" i="3"/>
  <c r="F168" i="3"/>
  <c r="G168" i="3"/>
  <c r="H168" i="3"/>
  <c r="I168" i="3"/>
  <c r="J168" i="3"/>
  <c r="K168" i="3"/>
  <c r="L168" i="3"/>
  <c r="M168" i="3"/>
  <c r="N168" i="3"/>
  <c r="O168" i="3"/>
  <c r="Q168" i="3"/>
  <c r="AG167" i="3"/>
  <c r="AG168" i="3"/>
  <c r="AE167" i="3"/>
  <c r="AE168" i="3"/>
  <c r="AC167" i="3"/>
  <c r="AC168" i="3"/>
  <c r="AB167" i="3"/>
  <c r="AB168" i="3"/>
  <c r="AA167" i="3"/>
  <c r="AA168" i="3"/>
  <c r="Z167" i="3"/>
  <c r="Z168" i="3"/>
  <c r="X167" i="3"/>
  <c r="X168" i="3"/>
  <c r="W167" i="3"/>
  <c r="W168" i="3"/>
  <c r="AG56" i="3"/>
  <c r="N58" i="3"/>
  <c r="AG58" i="3" s="1"/>
  <c r="AG59" i="3"/>
  <c r="N60" i="3"/>
  <c r="AG60" i="3" s="1"/>
  <c r="AG63" i="3"/>
  <c r="AE56" i="3"/>
  <c r="I57" i="3"/>
  <c r="I58" i="3"/>
  <c r="AE59" i="3"/>
  <c r="I60" i="3"/>
  <c r="AE60" i="3" s="1"/>
  <c r="AE63" i="3"/>
  <c r="I64" i="3"/>
  <c r="AC56" i="3"/>
  <c r="AC59" i="3"/>
  <c r="AC63" i="3"/>
  <c r="AB56" i="3"/>
  <c r="AB59" i="3"/>
  <c r="AB61" i="3"/>
  <c r="AB63" i="3"/>
  <c r="AA56" i="3"/>
  <c r="AA59" i="3"/>
  <c r="AA63" i="3"/>
  <c r="Z56" i="3"/>
  <c r="L57" i="3"/>
  <c r="D126" i="6" s="1"/>
  <c r="L58" i="3"/>
  <c r="Z58" i="3" s="1"/>
  <c r="Z59" i="3"/>
  <c r="L60" i="3"/>
  <c r="Z60" i="3" s="1"/>
  <c r="Z63" i="3"/>
  <c r="X56" i="3"/>
  <c r="X59" i="3"/>
  <c r="X63" i="3"/>
  <c r="W56" i="3"/>
  <c r="F57" i="3"/>
  <c r="W57" i="3" s="1"/>
  <c r="F58" i="3"/>
  <c r="W58" i="3" s="1"/>
  <c r="W59" i="3"/>
  <c r="F60" i="3"/>
  <c r="W60" i="3" s="1"/>
  <c r="F61" i="3"/>
  <c r="W61" i="3" s="1"/>
  <c r="W63" i="3"/>
  <c r="F64" i="3"/>
  <c r="W64" i="3" s="1"/>
  <c r="AG2" i="3"/>
  <c r="X2" i="3"/>
  <c r="AE2" i="3" s="1"/>
  <c r="Z2" i="3"/>
  <c r="AA2" i="3"/>
  <c r="AB2" i="3"/>
  <c r="AC2" i="3"/>
  <c r="W2" i="3"/>
  <c r="Q65" i="3"/>
  <c r="Q189" i="3" s="1"/>
  <c r="M57" i="3"/>
  <c r="E126" i="6" s="1"/>
  <c r="M58" i="3"/>
  <c r="M60" i="3"/>
  <c r="M65" i="3"/>
  <c r="M189" i="3" s="1"/>
  <c r="K57" i="3"/>
  <c r="C126" i="6" s="1"/>
  <c r="K58" i="3"/>
  <c r="K60" i="3"/>
  <c r="K65" i="3"/>
  <c r="K189" i="3" s="1"/>
  <c r="J57" i="3"/>
  <c r="B126" i="6" s="1"/>
  <c r="J58" i="3"/>
  <c r="J60" i="3"/>
  <c r="J65" i="3"/>
  <c r="J189" i="3" s="1"/>
  <c r="H57" i="3"/>
  <c r="H58" i="3"/>
  <c r="H60" i="3"/>
  <c r="H64" i="3"/>
  <c r="H65" i="3" s="1"/>
  <c r="H189" i="3" s="1"/>
  <c r="G57" i="3"/>
  <c r="G58" i="3"/>
  <c r="G60" i="3"/>
  <c r="G64" i="3"/>
  <c r="G65" i="3" s="1"/>
  <c r="G189" i="3" s="1"/>
  <c r="M75" i="3"/>
  <c r="K75" i="3"/>
  <c r="J75" i="3"/>
  <c r="H75" i="3"/>
  <c r="H78" i="3"/>
  <c r="G75" i="3"/>
  <c r="G78" i="3"/>
  <c r="M8" i="3"/>
  <c r="K8" i="3"/>
  <c r="J8" i="3"/>
  <c r="J19" i="3" s="1"/>
  <c r="H8" i="3"/>
  <c r="G8" i="3"/>
  <c r="N34" i="3"/>
  <c r="M34" i="3"/>
  <c r="H31" i="3"/>
  <c r="H34" i="3" s="1"/>
  <c r="H40" i="3"/>
  <c r="H43" i="3" s="1"/>
  <c r="H184" i="3" s="1"/>
  <c r="G31" i="3"/>
  <c r="G34" i="3" s="1"/>
  <c r="G40" i="3"/>
  <c r="G43" i="3" s="1"/>
  <c r="D63" i="3"/>
  <c r="D207" i="3"/>
  <c r="D214" i="3"/>
  <c r="D212" i="3"/>
  <c r="D211" i="3"/>
  <c r="D209" i="3"/>
  <c r="D206" i="3"/>
  <c r="D203" i="3"/>
  <c r="D202" i="3"/>
  <c r="D200" i="3"/>
  <c r="AC198" i="3"/>
  <c r="AB198" i="3"/>
  <c r="AA198" i="3"/>
  <c r="Z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Z197" i="3"/>
  <c r="D193" i="3"/>
  <c r="D190" i="3"/>
  <c r="D189" i="3"/>
  <c r="D188" i="3"/>
  <c r="D185" i="3"/>
  <c r="D184" i="3"/>
  <c r="D183" i="3"/>
  <c r="D182" i="3"/>
  <c r="D181" i="3"/>
  <c r="D180" i="3"/>
  <c r="AC178" i="3"/>
  <c r="AB178" i="3"/>
  <c r="AA178" i="3"/>
  <c r="Z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Z177" i="3"/>
  <c r="I127" i="3"/>
  <c r="J127" i="3"/>
  <c r="H127" i="3"/>
  <c r="G127" i="3"/>
  <c r="F127" i="3"/>
  <c r="AF165" i="3"/>
  <c r="I120" i="3"/>
  <c r="H120" i="3"/>
  <c r="G120" i="3"/>
  <c r="F120" i="3"/>
  <c r="K103" i="3"/>
  <c r="J103" i="3"/>
  <c r="I103" i="3"/>
  <c r="H103" i="3"/>
  <c r="G103" i="3"/>
  <c r="F103" i="3"/>
  <c r="C89" i="3"/>
  <c r="AG87" i="3"/>
  <c r="AE87" i="3"/>
  <c r="AC87" i="3"/>
  <c r="AB87" i="3"/>
  <c r="AA87" i="3"/>
  <c r="Z87" i="3"/>
  <c r="X87" i="3"/>
  <c r="W87" i="3"/>
  <c r="Q87" i="3"/>
  <c r="P87" i="3"/>
  <c r="O87" i="3"/>
  <c r="N87" i="3"/>
  <c r="M87" i="3"/>
  <c r="L87" i="3"/>
  <c r="K87" i="3"/>
  <c r="J87" i="3"/>
  <c r="I87" i="3"/>
  <c r="H87" i="3"/>
  <c r="G87" i="3"/>
  <c r="F87" i="3"/>
  <c r="AG86" i="3"/>
  <c r="AE86" i="3"/>
  <c r="Z86" i="3"/>
  <c r="P86" i="3"/>
  <c r="X80" i="3"/>
  <c r="O89" i="3"/>
  <c r="Z21" i="3"/>
  <c r="D46" i="6"/>
  <c r="AG21" i="3"/>
  <c r="F46" i="6"/>
  <c r="O62" i="3"/>
  <c r="O188" i="3" s="1"/>
  <c r="G126" i="6"/>
  <c r="H126" i="4"/>
  <c r="K64" i="4"/>
  <c r="K188" i="4" s="1"/>
  <c r="L64" i="4"/>
  <c r="L188" i="4" s="1"/>
  <c r="W103" i="3"/>
  <c r="P62" i="3"/>
  <c r="P188" i="3" s="1"/>
  <c r="AE89" i="3"/>
  <c r="AE92" i="3" s="1"/>
  <c r="W120" i="3"/>
  <c r="W127" i="3"/>
  <c r="Z8" i="3"/>
  <c r="L19" i="3"/>
  <c r="AA152" i="3"/>
  <c r="AA154" i="3" s="1"/>
  <c r="AA211" i="3" s="1"/>
  <c r="O154" i="3"/>
  <c r="O211" i="3" s="1"/>
  <c r="L1" i="3"/>
  <c r="AC19" i="3"/>
  <c r="K102" i="4"/>
  <c r="M43" i="3"/>
  <c r="M184" i="3" s="1"/>
  <c r="O43" i="3"/>
  <c r="W124" i="3"/>
  <c r="W206" i="3" s="1"/>
  <c r="Q134" i="3"/>
  <c r="I126" i="4"/>
  <c r="F126" i="4"/>
  <c r="P132" i="4"/>
  <c r="G135" i="3"/>
  <c r="F117" i="3"/>
  <c r="F205" i="3" s="1"/>
  <c r="J159" i="3"/>
  <c r="J214" i="3" s="1"/>
  <c r="I138" i="3"/>
  <c r="I207" i="3" s="1"/>
  <c r="I104" i="3"/>
  <c r="I202" i="3" s="1"/>
  <c r="AA99" i="3"/>
  <c r="AA104" i="3" s="1"/>
  <c r="F104" i="3"/>
  <c r="F106" i="3" s="1"/>
  <c r="W133" i="3"/>
  <c r="W135" i="3" s="1"/>
  <c r="X112" i="3"/>
  <c r="X114" i="3" s="1"/>
  <c r="P189" i="3"/>
  <c r="I34" i="3"/>
  <c r="I36" i="3" s="1"/>
  <c r="I183" i="3" s="1"/>
  <c r="F92" i="3"/>
  <c r="F94" i="3" s="1"/>
  <c r="O65" i="3"/>
  <c r="O189" i="3" s="1"/>
  <c r="I114" i="3"/>
  <c r="Q116" i="3"/>
  <c r="Q121" i="3"/>
  <c r="AG64" i="3"/>
  <c r="AG65" i="3" s="1"/>
  <c r="AG189" i="3" s="1"/>
  <c r="F114" i="3"/>
  <c r="I135" i="3"/>
  <c r="K127" i="3"/>
  <c r="X61" i="3"/>
  <c r="X127" i="3"/>
  <c r="AE152" i="3"/>
  <c r="X99" i="3"/>
  <c r="X104" i="3" s="1"/>
  <c r="X103" i="3"/>
  <c r="W89" i="3"/>
  <c r="W92" i="3" s="1"/>
  <c r="I102" i="4"/>
  <c r="I123" i="4"/>
  <c r="I205" i="4" s="1"/>
  <c r="O157" i="4"/>
  <c r="O158" i="4" s="1"/>
  <c r="O213" i="4" s="1"/>
  <c r="F70" i="3"/>
  <c r="F72" i="3" s="1"/>
  <c r="Q102" i="3"/>
  <c r="Q123" i="3"/>
  <c r="Q126" i="3"/>
  <c r="H135" i="3"/>
  <c r="K182" i="3"/>
  <c r="O159" i="3"/>
  <c r="F154" i="3"/>
  <c r="F211" i="3" s="1"/>
  <c r="Z158" i="3"/>
  <c r="Z159" i="3" s="1"/>
  <c r="Z214" i="3" s="1"/>
  <c r="AG133" i="3"/>
  <c r="W99" i="3"/>
  <c r="W104" i="3" s="1"/>
  <c r="I92" i="3"/>
  <c r="X89" i="3"/>
  <c r="X92" i="3" s="1"/>
  <c r="AG89" i="3"/>
  <c r="AG92" i="3" s="1"/>
  <c r="N88" i="4"/>
  <c r="K104" i="3"/>
  <c r="K202" i="3" s="1"/>
  <c r="AG99" i="3"/>
  <c r="AG104" i="3" s="1"/>
  <c r="N104" i="3"/>
  <c r="N202" i="3" s="1"/>
  <c r="Q132" i="4"/>
  <c r="U151" i="4"/>
  <c r="S151" i="4"/>
  <c r="P151" i="4"/>
  <c r="Q151" i="4"/>
  <c r="N159" i="3"/>
  <c r="N214" i="3" s="1"/>
  <c r="N157" i="4"/>
  <c r="J132" i="4"/>
  <c r="Q98" i="4"/>
  <c r="Q103" i="4" s="1"/>
  <c r="P98" i="4"/>
  <c r="P103" i="4" s="1"/>
  <c r="T151" i="4"/>
  <c r="R151" i="4"/>
  <c r="AB64" i="3"/>
  <c r="AB65" i="3" s="1"/>
  <c r="AB189" i="3" s="1"/>
  <c r="G202" i="3"/>
  <c r="AE124" i="3"/>
  <c r="AE206" i="3" s="1"/>
  <c r="Q202" i="3"/>
  <c r="AG124" i="3"/>
  <c r="AG206" i="3" s="1"/>
  <c r="T60" i="4"/>
  <c r="S78" i="4"/>
  <c r="S192" i="4" s="1"/>
  <c r="Q100" i="3"/>
  <c r="O117" i="3"/>
  <c r="O129" i="3" s="1"/>
  <c r="P154" i="3"/>
  <c r="P211" i="3" s="1"/>
  <c r="F159" i="3"/>
  <c r="F214" i="3" s="1"/>
  <c r="W158" i="3"/>
  <c r="W159" i="3" s="1"/>
  <c r="W214" i="3" s="1"/>
  <c r="G3" i="3"/>
  <c r="W3" i="3"/>
  <c r="G123" i="4"/>
  <c r="G205" i="4" s="1"/>
  <c r="G126" i="4"/>
  <c r="AE138" i="3"/>
  <c r="AE207" i="3" s="1"/>
  <c r="F123" i="4"/>
  <c r="F205" i="4" s="1"/>
  <c r="H123" i="4"/>
  <c r="H205" i="4" s="1"/>
  <c r="L151" i="4"/>
  <c r="G157" i="4"/>
  <c r="G158" i="4" s="1"/>
  <c r="G213" i="4" s="1"/>
  <c r="AC92" i="3"/>
  <c r="AC23" i="3" s="1"/>
  <c r="M157" i="4"/>
  <c r="M158" i="4" s="1"/>
  <c r="M213" i="4" s="1"/>
  <c r="Q200" i="3"/>
  <c r="AA57" i="3"/>
  <c r="AA62" i="3" s="1"/>
  <c r="N117" i="3"/>
  <c r="N129" i="3" s="1"/>
  <c r="J154" i="3"/>
  <c r="J211" i="3" s="1"/>
  <c r="I159" i="3"/>
  <c r="I214" i="3" s="1"/>
  <c r="W152" i="3"/>
  <c r="W154" i="3" s="1"/>
  <c r="W211" i="3" s="1"/>
  <c r="X133" i="3"/>
  <c r="AE158" i="3"/>
  <c r="AE159" i="3" s="1"/>
  <c r="AE214" i="3" s="1"/>
  <c r="G151" i="4"/>
  <c r="N151" i="4"/>
  <c r="Y151" i="4" s="1"/>
  <c r="I157" i="4"/>
  <c r="I158" i="4" s="1"/>
  <c r="I213" i="4" s="1"/>
  <c r="I151" i="4"/>
  <c r="W151" i="4" s="1"/>
  <c r="H157" i="4"/>
  <c r="H158" i="4" s="1"/>
  <c r="H213" i="4" s="1"/>
  <c r="T88" i="4"/>
  <c r="T91" i="4" s="1"/>
  <c r="U98" i="4"/>
  <c r="O98" i="4"/>
  <c r="O103" i="4" s="1"/>
  <c r="O201" i="4" s="1"/>
  <c r="G111" i="4"/>
  <c r="G116" i="4" s="1"/>
  <c r="F132" i="4"/>
  <c r="F137" i="4" s="1"/>
  <c r="F206" i="4" s="1"/>
  <c r="F138" i="3"/>
  <c r="H151" i="4"/>
  <c r="M151" i="4"/>
  <c r="X40" i="3"/>
  <c r="X43" i="3" s="1"/>
  <c r="X184" i="3" s="1"/>
  <c r="AG34" i="3"/>
  <c r="AG182" i="3" s="1"/>
  <c r="Z34" i="3"/>
  <c r="O151" i="4"/>
  <c r="M16" i="4"/>
  <c r="M179" i="4" s="1"/>
  <c r="T111" i="4"/>
  <c r="T116" i="4" s="1"/>
  <c r="U132" i="4"/>
  <c r="S132" i="4"/>
  <c r="O132" i="4"/>
  <c r="U152" i="4"/>
  <c r="S152" i="4"/>
  <c r="G79" i="3"/>
  <c r="P16" i="4"/>
  <c r="O16" i="4"/>
  <c r="O179" i="4" s="1"/>
  <c r="Q60" i="4"/>
  <c r="Q65" i="4" s="1"/>
  <c r="X78" i="3"/>
  <c r="I31" i="4"/>
  <c r="I181" i="4" s="1"/>
  <c r="M205" i="3"/>
  <c r="H207" i="3"/>
  <c r="W8" i="4"/>
  <c r="W16" i="4" s="1"/>
  <c r="W179" i="4" s="1"/>
  <c r="I16" i="4"/>
  <c r="I179" i="4" s="1"/>
  <c r="Y8" i="4"/>
  <c r="Y16" i="4" s="1"/>
  <c r="Y179" i="4" s="1"/>
  <c r="N16" i="4"/>
  <c r="N179" i="4" s="1"/>
  <c r="M60" i="4"/>
  <c r="M187" i="4" s="1"/>
  <c r="F69" i="4"/>
  <c r="F71" i="4" s="1"/>
  <c r="R33" i="4"/>
  <c r="R182" i="4" s="1"/>
  <c r="U60" i="4"/>
  <c r="N182" i="3"/>
  <c r="F34" i="3"/>
  <c r="Q105" i="3"/>
  <c r="I43" i="3"/>
  <c r="I184" i="3" s="1"/>
  <c r="L34" i="3"/>
  <c r="I154" i="3"/>
  <c r="I211" i="3" s="1"/>
  <c r="I117" i="3"/>
  <c r="I205" i="3" s="1"/>
  <c r="I208" i="3" s="1"/>
  <c r="G117" i="3"/>
  <c r="F103" i="4"/>
  <c r="G16" i="4"/>
  <c r="F16" i="4"/>
  <c r="L16" i="4"/>
  <c r="F78" i="4"/>
  <c r="F96" i="4" s="1"/>
  <c r="L78" i="4"/>
  <c r="L192" i="4" s="1"/>
  <c r="Z64" i="3"/>
  <c r="Z65" i="3" s="1"/>
  <c r="Z189" i="3" s="1"/>
  <c r="L65" i="3"/>
  <c r="L189" i="3" s="1"/>
  <c r="F43" i="3"/>
  <c r="F184" i="3" s="1"/>
  <c r="Z9" i="3"/>
  <c r="AE8" i="3"/>
  <c r="I19" i="3"/>
  <c r="I180" i="3" s="1"/>
  <c r="AE75" i="3"/>
  <c r="X75" i="3"/>
  <c r="Q33" i="4"/>
  <c r="Q182" i="4" s="1"/>
  <c r="Q179" i="4"/>
  <c r="K60" i="4"/>
  <c r="K187" i="4" s="1"/>
  <c r="W77" i="4"/>
  <c r="I78" i="4"/>
  <c r="I192" i="4" s="1"/>
  <c r="W62" i="4"/>
  <c r="W64" i="4" s="1"/>
  <c r="W188" i="4" s="1"/>
  <c r="I64" i="4"/>
  <c r="I188" i="4" s="1"/>
  <c r="AG57" i="3"/>
  <c r="N62" i="3"/>
  <c r="P159" i="3"/>
  <c r="P214" i="3" s="1"/>
  <c r="AG158" i="3"/>
  <c r="AG159" i="3" s="1"/>
  <c r="AG214" i="3" s="1"/>
  <c r="X8" i="3"/>
  <c r="AE9" i="3"/>
  <c r="X9" i="3"/>
  <c r="AG8" i="3"/>
  <c r="AG19" i="3" s="1"/>
  <c r="AG180" i="3" s="1"/>
  <c r="AG77" i="3"/>
  <c r="G19" i="3"/>
  <c r="H19" i="3"/>
  <c r="P180" i="3"/>
  <c r="M62" i="3"/>
  <c r="M66" i="3" s="1"/>
  <c r="G78" i="4"/>
  <c r="G60" i="4"/>
  <c r="G65" i="4" s="1"/>
  <c r="T33" i="4"/>
  <c r="T182" i="4" s="1"/>
  <c r="T181" i="4"/>
  <c r="U78" i="4"/>
  <c r="H16" i="4"/>
  <c r="H21" i="4" s="1"/>
  <c r="S88" i="4"/>
  <c r="S91" i="4" s="1"/>
  <c r="Q88" i="4"/>
  <c r="Q91" i="4" s="1"/>
  <c r="T98" i="4"/>
  <c r="T103" i="4" s="1"/>
  <c r="R98" i="4"/>
  <c r="U111" i="4"/>
  <c r="S111" i="4"/>
  <c r="T132" i="4"/>
  <c r="R132" i="4"/>
  <c r="X60" i="3"/>
  <c r="Z154" i="3"/>
  <c r="Z211" i="3" s="1"/>
  <c r="H79" i="3"/>
  <c r="H193" i="3" s="1"/>
  <c r="J153" i="4"/>
  <c r="J210" i="4" s="1"/>
  <c r="L152" i="4"/>
  <c r="R152" i="4"/>
  <c r="G62" i="3"/>
  <c r="J62" i="3"/>
  <c r="AE57" i="3"/>
  <c r="W8" i="3"/>
  <c r="W19" i="3" s="1"/>
  <c r="F19" i="3"/>
  <c r="AA8" i="3"/>
  <c r="AA19" i="3" s="1"/>
  <c r="AA24" i="3" s="1"/>
  <c r="AE21" i="3"/>
  <c r="AE23" i="3" s="1"/>
  <c r="X21" i="3"/>
  <c r="K16" i="4"/>
  <c r="Y38" i="4"/>
  <c r="Y41" i="4" s="1"/>
  <c r="N41" i="4"/>
  <c r="H78" i="4"/>
  <c r="J60" i="4"/>
  <c r="J65" i="4" s="1"/>
  <c r="H105" i="3"/>
  <c r="H18" i="3"/>
  <c r="F65" i="3"/>
  <c r="F189" i="3" s="1"/>
  <c r="F62" i="3"/>
  <c r="F188" i="3" s="1"/>
  <c r="L79" i="3"/>
  <c r="H62" i="3"/>
  <c r="H188" i="3" s="1"/>
  <c r="I62" i="3"/>
  <c r="K62" i="3"/>
  <c r="K188" i="3" s="1"/>
  <c r="X57" i="3"/>
  <c r="Z57" i="3"/>
  <c r="L62" i="3"/>
  <c r="AE64" i="3"/>
  <c r="AE65" i="3" s="1"/>
  <c r="AE189" i="3" s="1"/>
  <c r="X64" i="3"/>
  <c r="X65" i="3" s="1"/>
  <c r="I65" i="3"/>
  <c r="AE58" i="3"/>
  <c r="X58" i="3"/>
  <c r="X62" i="3" s="1"/>
  <c r="Z40" i="3"/>
  <c r="AE77" i="3"/>
  <c r="X77" i="3"/>
  <c r="I79" i="3"/>
  <c r="Q109" i="3"/>
  <c r="H109" i="3"/>
  <c r="H14" i="3"/>
  <c r="H33" i="4"/>
  <c r="H181" i="4"/>
  <c r="J181" i="4"/>
  <c r="J33" i="4"/>
  <c r="J182" i="4" s="1"/>
  <c r="S33" i="4"/>
  <c r="S182" i="4" s="1"/>
  <c r="S181" i="4"/>
  <c r="W18" i="4"/>
  <c r="W21" i="4" s="1"/>
  <c r="W56" i="4"/>
  <c r="W60" i="4" s="1"/>
  <c r="I60" i="4"/>
  <c r="I187" i="4" s="1"/>
  <c r="Y62" i="4"/>
  <c r="Y64" i="4" s="1"/>
  <c r="Y188" i="4" s="1"/>
  <c r="N188" i="4"/>
  <c r="Y58" i="4"/>
  <c r="Y60" i="4" s="1"/>
  <c r="N60" i="4"/>
  <c r="K92" i="3"/>
  <c r="F33" i="4"/>
  <c r="F182" i="4" s="1"/>
  <c r="F181" i="4"/>
  <c r="W38" i="4"/>
  <c r="W41" i="4" s="1"/>
  <c r="I41" i="4"/>
  <c r="Y18" i="4"/>
  <c r="Y21" i="4" s="1"/>
  <c r="Y180" i="4" s="1"/>
  <c r="Y76" i="4"/>
  <c r="H60" i="4"/>
  <c r="H65" i="4" s="1"/>
  <c r="F60" i="4"/>
  <c r="L60" i="4"/>
  <c r="L65" i="4" s="1"/>
  <c r="I98" i="4"/>
  <c r="H98" i="4"/>
  <c r="N98" i="4"/>
  <c r="M98" i="4"/>
  <c r="M103" i="4" s="1"/>
  <c r="I132" i="4"/>
  <c r="H132" i="4"/>
  <c r="N132" i="4"/>
  <c r="Y132" i="4" s="1"/>
  <c r="O152" i="4"/>
  <c r="N152" i="4"/>
  <c r="G98" i="4"/>
  <c r="I111" i="4"/>
  <c r="H111" i="4"/>
  <c r="N111" i="4"/>
  <c r="Y111" i="4" s="1"/>
  <c r="G132" i="4"/>
  <c r="I152" i="4"/>
  <c r="W152" i="4" s="1"/>
  <c r="H152" i="4"/>
  <c r="K152" i="4"/>
  <c r="M152" i="4"/>
  <c r="T152" i="4"/>
  <c r="Q152" i="4"/>
  <c r="P88" i="4"/>
  <c r="P91" i="4" s="1"/>
  <c r="O92" i="3"/>
  <c r="O134" i="3" s="1"/>
  <c r="AA89" i="3"/>
  <c r="AA92" i="3" s="1"/>
  <c r="AA102" i="3" s="1"/>
  <c r="O88" i="4"/>
  <c r="O91" i="4" s="1"/>
  <c r="Q62" i="3"/>
  <c r="Q188" i="3" s="1"/>
  <c r="AB57" i="3"/>
  <c r="AA41" i="3"/>
  <c r="AA34" i="3"/>
  <c r="AB79" i="3"/>
  <c r="AC20" i="3"/>
  <c r="AC24" i="3" s="1"/>
  <c r="F79" i="3"/>
  <c r="L120" i="3"/>
  <c r="F199" i="4"/>
  <c r="F101" i="4"/>
  <c r="L103" i="3"/>
  <c r="F104" i="4"/>
  <c r="F93" i="4"/>
  <c r="F122" i="4"/>
  <c r="F99" i="4"/>
  <c r="F120" i="4"/>
  <c r="F125" i="4"/>
  <c r="F15" i="4"/>
  <c r="F20" i="4"/>
  <c r="F94" i="4"/>
  <c r="F12" i="4" s="1"/>
  <c r="P66" i="3"/>
  <c r="P190" i="3" s="1"/>
  <c r="W43" i="3"/>
  <c r="W184" i="3" s="1"/>
  <c r="AC180" i="3"/>
  <c r="U103" i="4"/>
  <c r="U201" i="4" s="1"/>
  <c r="Z19" i="3"/>
  <c r="Z24" i="3" s="1"/>
  <c r="AE102" i="3"/>
  <c r="G113" i="4"/>
  <c r="F92" i="4"/>
  <c r="Z1" i="3"/>
  <c r="M1" i="3"/>
  <c r="M127" i="3"/>
  <c r="O214" i="3"/>
  <c r="I182" i="3"/>
  <c r="I96" i="3"/>
  <c r="I109" i="3"/>
  <c r="I139" i="3" s="1"/>
  <c r="F121" i="3"/>
  <c r="X117" i="3"/>
  <c r="X205" i="3" s="1"/>
  <c r="X208" i="3" s="1"/>
  <c r="F14" i="3"/>
  <c r="I106" i="3"/>
  <c r="F95" i="3"/>
  <c r="F22" i="3" s="1"/>
  <c r="F134" i="3"/>
  <c r="F113" i="3"/>
  <c r="F129" i="3"/>
  <c r="F131" i="3" s="1"/>
  <c r="F100" i="3"/>
  <c r="F126" i="3"/>
  <c r="F93" i="3"/>
  <c r="I18" i="3"/>
  <c r="F18" i="3"/>
  <c r="K106" i="3"/>
  <c r="F123" i="3"/>
  <c r="F116" i="3"/>
  <c r="F102" i="3"/>
  <c r="W138" i="3"/>
  <c r="W207" i="3" s="1"/>
  <c r="F200" i="3"/>
  <c r="W134" i="3"/>
  <c r="F23" i="3"/>
  <c r="W116" i="3"/>
  <c r="F105" i="3"/>
  <c r="F109" i="3"/>
  <c r="F203" i="3" s="1"/>
  <c r="F202" i="3"/>
  <c r="F108" i="4"/>
  <c r="F138" i="4" s="1"/>
  <c r="M188" i="3"/>
  <c r="AE100" i="3"/>
  <c r="Q187" i="4"/>
  <c r="K65" i="4"/>
  <c r="K189" i="4" s="1"/>
  <c r="W157" i="4"/>
  <c r="W158" i="4" s="1"/>
  <c r="W213" i="4" s="1"/>
  <c r="N21" i="4"/>
  <c r="N180" i="4" s="1"/>
  <c r="I33" i="4"/>
  <c r="I182" i="4" s="1"/>
  <c r="O66" i="3"/>
  <c r="AG123" i="3"/>
  <c r="AG100" i="3"/>
  <c r="AG126" i="3"/>
  <c r="AE79" i="3"/>
  <c r="AE193" i="3" s="1"/>
  <c r="AE134" i="3"/>
  <c r="AE200" i="3"/>
  <c r="I105" i="3"/>
  <c r="F134" i="4"/>
  <c r="AE113" i="3"/>
  <c r="I93" i="3"/>
  <c r="AG102" i="3"/>
  <c r="W126" i="3"/>
  <c r="G21" i="4"/>
  <c r="F133" i="4"/>
  <c r="J134" i="4"/>
  <c r="F207" i="3"/>
  <c r="F208" i="3" s="1"/>
  <c r="O205" i="3"/>
  <c r="T187" i="4"/>
  <c r="G193" i="3"/>
  <c r="Z36" i="3"/>
  <c r="Z183" i="3" s="1"/>
  <c r="Z182" i="3"/>
  <c r="AC102" i="3"/>
  <c r="AC121" i="3"/>
  <c r="AG121" i="3"/>
  <c r="AG23" i="3"/>
  <c r="W93" i="3"/>
  <c r="W102" i="3"/>
  <c r="W123" i="3"/>
  <c r="W100" i="3"/>
  <c r="W95" i="3"/>
  <c r="W15" i="3" s="1"/>
  <c r="W200" i="3"/>
  <c r="W121" i="3"/>
  <c r="W23" i="3"/>
  <c r="N1" i="3"/>
  <c r="N120" i="3" s="1"/>
  <c r="M106" i="3"/>
  <c r="AG134" i="3"/>
  <c r="I23" i="3"/>
  <c r="Z103" i="3"/>
  <c r="S153" i="4"/>
  <c r="S210" i="4" s="1"/>
  <c r="Z120" i="3"/>
  <c r="X200" i="3"/>
  <c r="X93" i="3"/>
  <c r="X113" i="3"/>
  <c r="X134" i="3"/>
  <c r="X116" i="3"/>
  <c r="X105" i="3"/>
  <c r="X94" i="3"/>
  <c r="X123" i="3"/>
  <c r="N91" i="4"/>
  <c r="N112" i="4" s="1"/>
  <c r="Y88" i="4"/>
  <c r="Y91" i="4" s="1"/>
  <c r="L21" i="4"/>
  <c r="L180" i="4" s="1"/>
  <c r="W94" i="3"/>
  <c r="W70" i="3"/>
  <c r="I94" i="3"/>
  <c r="I126" i="3"/>
  <c r="I14" i="3"/>
  <c r="I123" i="3"/>
  <c r="I116" i="3"/>
  <c r="I102" i="3"/>
  <c r="I100" i="3"/>
  <c r="I200" i="3"/>
  <c r="I134" i="3"/>
  <c r="I121" i="3"/>
  <c r="I113" i="3"/>
  <c r="H179" i="4"/>
  <c r="P199" i="4"/>
  <c r="P21" i="4"/>
  <c r="P45" i="4" s="1"/>
  <c r="P179" i="4"/>
  <c r="Q133" i="4"/>
  <c r="P187" i="4"/>
  <c r="P104" i="4"/>
  <c r="T112" i="4"/>
  <c r="T199" i="4"/>
  <c r="T95" i="4"/>
  <c r="O21" i="4"/>
  <c r="O180" i="4" s="1"/>
  <c r="H153" i="4"/>
  <c r="H210" i="4" s="1"/>
  <c r="AE121" i="3"/>
  <c r="X121" i="3"/>
  <c r="X126" i="3"/>
  <c r="X109" i="3"/>
  <c r="X110" i="3" s="1"/>
  <c r="X102" i="3"/>
  <c r="X79" i="3"/>
  <c r="X97" i="3" s="1"/>
  <c r="AG36" i="3"/>
  <c r="AG96" i="3" s="1"/>
  <c r="X100" i="3"/>
  <c r="AE116" i="3"/>
  <c r="F105" i="4"/>
  <c r="AC200" i="3"/>
  <c r="AC93" i="3"/>
  <c r="AG200" i="3"/>
  <c r="AG93" i="3"/>
  <c r="H3" i="3"/>
  <c r="G70" i="3"/>
  <c r="G72" i="3" s="1"/>
  <c r="AA202" i="3"/>
  <c r="AE123" i="3"/>
  <c r="X138" i="3"/>
  <c r="X135" i="3"/>
  <c r="X106" i="3"/>
  <c r="X202" i="3"/>
  <c r="N205" i="3"/>
  <c r="N208" i="3" s="1"/>
  <c r="T20" i="4"/>
  <c r="T115" i="4"/>
  <c r="Q95" i="4"/>
  <c r="F201" i="4"/>
  <c r="AG24" i="3"/>
  <c r="Q199" i="4"/>
  <c r="P20" i="4"/>
  <c r="I21" i="4"/>
  <c r="I180" i="4" s="1"/>
  <c r="P52" i="3"/>
  <c r="H87" i="6" s="1"/>
  <c r="O109" i="3"/>
  <c r="O110" i="3" s="1"/>
  <c r="G67" i="6" s="1"/>
  <c r="F192" i="4"/>
  <c r="I129" i="3"/>
  <c r="T204" i="4"/>
  <c r="U187" i="4"/>
  <c r="Q189" i="4"/>
  <c r="H97" i="3"/>
  <c r="G205" i="3"/>
  <c r="G208" i="3" s="1"/>
  <c r="G129" i="3"/>
  <c r="L36" i="3"/>
  <c r="L183" i="3" s="1"/>
  <c r="L182" i="3"/>
  <c r="F36" i="3"/>
  <c r="F182" i="3"/>
  <c r="U192" i="4"/>
  <c r="H24" i="3"/>
  <c r="H180" i="3"/>
  <c r="L24" i="3"/>
  <c r="L181" i="3" s="1"/>
  <c r="L180" i="3"/>
  <c r="I24" i="3"/>
  <c r="I46" i="3" s="1"/>
  <c r="T133" i="4"/>
  <c r="T99" i="4"/>
  <c r="R187" i="4"/>
  <c r="G187" i="4"/>
  <c r="X19" i="3"/>
  <c r="Y157" i="4"/>
  <c r="Y158" i="4" s="1"/>
  <c r="Y213" i="4" s="1"/>
  <c r="N158" i="4"/>
  <c r="N213" i="4" s="1"/>
  <c r="G137" i="4"/>
  <c r="G134" i="4"/>
  <c r="H116" i="4"/>
  <c r="H113" i="4"/>
  <c r="I137" i="4"/>
  <c r="I134" i="4"/>
  <c r="I103" i="4"/>
  <c r="F65" i="4"/>
  <c r="F187" i="4"/>
  <c r="H187" i="4"/>
  <c r="H50" i="4"/>
  <c r="I183" i="4"/>
  <c r="K109" i="3"/>
  <c r="K95" i="3"/>
  <c r="K15" i="3" s="1"/>
  <c r="K200" i="3"/>
  <c r="K94" i="3"/>
  <c r="K134" i="3"/>
  <c r="K102" i="3"/>
  <c r="K100" i="3"/>
  <c r="K126" i="3"/>
  <c r="K123" i="3"/>
  <c r="K121" i="3"/>
  <c r="K116" i="3"/>
  <c r="K105" i="3"/>
  <c r="N187" i="4"/>
  <c r="I65" i="4"/>
  <c r="I50" i="4"/>
  <c r="H182" i="4"/>
  <c r="I193" i="3"/>
  <c r="I97" i="3"/>
  <c r="L184" i="3"/>
  <c r="AA188" i="3"/>
  <c r="L66" i="3"/>
  <c r="L80" i="3" s="1"/>
  <c r="L188" i="3"/>
  <c r="L52" i="3"/>
  <c r="D87" i="6" s="1"/>
  <c r="K66" i="3"/>
  <c r="K190" i="3" s="1"/>
  <c r="L193" i="3"/>
  <c r="J24" i="3"/>
  <c r="J180" i="3"/>
  <c r="F66" i="3"/>
  <c r="F80" i="3" s="1"/>
  <c r="J187" i="4"/>
  <c r="N183" i="4"/>
  <c r="O24" i="3"/>
  <c r="O180" i="3"/>
  <c r="O52" i="3"/>
  <c r="G87" i="6" s="1"/>
  <c r="F180" i="3"/>
  <c r="I116" i="4"/>
  <c r="I113" i="4"/>
  <c r="G103" i="4"/>
  <c r="G105" i="4" s="1"/>
  <c r="Y152" i="4"/>
  <c r="H137" i="4"/>
  <c r="H206" i="4" s="1"/>
  <c r="H134" i="4"/>
  <c r="H103" i="4"/>
  <c r="L187" i="4"/>
  <c r="G189" i="4"/>
  <c r="G79" i="4"/>
  <c r="F95" i="4"/>
  <c r="W50" i="4"/>
  <c r="S95" i="4"/>
  <c r="H45" i="4"/>
  <c r="H125" i="3"/>
  <c r="H203" i="3"/>
  <c r="H139" i="3"/>
  <c r="H110" i="3"/>
  <c r="Q203" i="3"/>
  <c r="Z62" i="3"/>
  <c r="Z66" i="3" s="1"/>
  <c r="I188" i="3"/>
  <c r="I52" i="3"/>
  <c r="H66" i="3"/>
  <c r="H52" i="3"/>
  <c r="K23" i="3"/>
  <c r="H192" i="4"/>
  <c r="K179" i="4"/>
  <c r="X23" i="3"/>
  <c r="AA52" i="3"/>
  <c r="AA180" i="3"/>
  <c r="AE62" i="3"/>
  <c r="M190" i="3"/>
  <c r="J188" i="3"/>
  <c r="G188" i="3"/>
  <c r="G66" i="3"/>
  <c r="P202" i="3"/>
  <c r="P201" i="4"/>
  <c r="P50" i="4"/>
  <c r="O123" i="3"/>
  <c r="O116" i="3"/>
  <c r="O105" i="3"/>
  <c r="O23" i="3"/>
  <c r="O200" i="3"/>
  <c r="O126" i="3"/>
  <c r="O121" i="3"/>
  <c r="O102" i="3"/>
  <c r="O100" i="3"/>
  <c r="O199" i="4"/>
  <c r="O108" i="4"/>
  <c r="O122" i="4"/>
  <c r="O101" i="4"/>
  <c r="O20" i="4"/>
  <c r="O133" i="4"/>
  <c r="O125" i="4"/>
  <c r="O120" i="4"/>
  <c r="O104" i="4"/>
  <c r="O99" i="4"/>
  <c r="AA182" i="3"/>
  <c r="AA36" i="3"/>
  <c r="AA96" i="3" s="1"/>
  <c r="AB193" i="3"/>
  <c r="AB62" i="3"/>
  <c r="AB66" i="3" s="1"/>
  <c r="Q66" i="3"/>
  <c r="P184" i="3"/>
  <c r="F193" i="3"/>
  <c r="F97" i="3"/>
  <c r="M135" i="3"/>
  <c r="M94" i="3"/>
  <c r="M103" i="3"/>
  <c r="F70" i="4"/>
  <c r="F19" i="4"/>
  <c r="F106" i="4"/>
  <c r="I203" i="3"/>
  <c r="Z180" i="3"/>
  <c r="M114" i="3"/>
  <c r="M120" i="3"/>
  <c r="F109" i="4"/>
  <c r="I110" i="3"/>
  <c r="F140" i="3"/>
  <c r="F141" i="3" s="1"/>
  <c r="I125" i="3"/>
  <c r="F130" i="3"/>
  <c r="F15" i="3"/>
  <c r="F107" i="3"/>
  <c r="F139" i="3"/>
  <c r="F71" i="3"/>
  <c r="F125" i="3"/>
  <c r="F110" i="3"/>
  <c r="G45" i="4"/>
  <c r="AE97" i="3"/>
  <c r="F202" i="4"/>
  <c r="F124" i="4"/>
  <c r="X203" i="3"/>
  <c r="O190" i="3"/>
  <c r="X139" i="3"/>
  <c r="I45" i="4"/>
  <c r="I48" i="4" s="1"/>
  <c r="N45" i="4"/>
  <c r="N48" i="4" s="1"/>
  <c r="N49" i="4"/>
  <c r="I49" i="4"/>
  <c r="W45" i="4"/>
  <c r="W48" i="4" s="1"/>
  <c r="I44" i="4"/>
  <c r="I66" i="4" s="1"/>
  <c r="O92" i="4"/>
  <c r="I51" i="3"/>
  <c r="W180" i="4"/>
  <c r="G67" i="4"/>
  <c r="L45" i="4"/>
  <c r="L14" i="4" s="1"/>
  <c r="N99" i="4"/>
  <c r="N133" i="4"/>
  <c r="G49" i="4"/>
  <c r="G180" i="4"/>
  <c r="O203" i="3"/>
  <c r="W71" i="3"/>
  <c r="X193" i="3"/>
  <c r="AG183" i="3"/>
  <c r="L47" i="3"/>
  <c r="D26" i="6" s="1"/>
  <c r="W107" i="3"/>
  <c r="I181" i="3"/>
  <c r="L49" i="4"/>
  <c r="P68" i="3"/>
  <c r="W22" i="3"/>
  <c r="AG1" i="3"/>
  <c r="N103" i="3"/>
  <c r="O1" i="3"/>
  <c r="O120" i="3"/>
  <c r="N127" i="3"/>
  <c r="N135" i="3"/>
  <c r="N114" i="3"/>
  <c r="N106" i="3"/>
  <c r="N101" i="4"/>
  <c r="N20" i="4"/>
  <c r="N122" i="4"/>
  <c r="N199" i="4"/>
  <c r="AG181" i="3"/>
  <c r="P180" i="4"/>
  <c r="I3" i="3"/>
  <c r="H70" i="3"/>
  <c r="H72" i="3" s="1"/>
  <c r="H95" i="3"/>
  <c r="H73" i="3" s="1"/>
  <c r="P181" i="3"/>
  <c r="X207" i="3"/>
  <c r="N131" i="3"/>
  <c r="N140" i="3"/>
  <c r="T207" i="4"/>
  <c r="O125" i="3"/>
  <c r="G131" i="3"/>
  <c r="G140" i="3"/>
  <c r="F183" i="3"/>
  <c r="F96" i="3"/>
  <c r="I131" i="3"/>
  <c r="I130" i="3"/>
  <c r="I140" i="3"/>
  <c r="X180" i="3"/>
  <c r="X24" i="3"/>
  <c r="X51" i="3" s="1"/>
  <c r="T201" i="4"/>
  <c r="T104" i="4"/>
  <c r="T108" i="4"/>
  <c r="T202" i="4" s="1"/>
  <c r="T208" i="4" s="1"/>
  <c r="H181" i="3"/>
  <c r="H47" i="3"/>
  <c r="H17" i="3" s="1"/>
  <c r="I47" i="3"/>
  <c r="L51" i="3"/>
  <c r="D106" i="6" s="1"/>
  <c r="L46" i="3"/>
  <c r="L16" i="3" s="1"/>
  <c r="H51" i="3"/>
  <c r="AE66" i="3"/>
  <c r="AE83" i="3" s="1"/>
  <c r="AE69" i="3" s="1"/>
  <c r="AE188" i="3"/>
  <c r="H83" i="3"/>
  <c r="H69" i="3" s="1"/>
  <c r="H68" i="3"/>
  <c r="H190" i="3"/>
  <c r="H195" i="3" s="1"/>
  <c r="H80" i="3"/>
  <c r="Z52" i="3"/>
  <c r="L189" i="4"/>
  <c r="L194" i="4" s="1"/>
  <c r="L79" i="4"/>
  <c r="L67" i="4"/>
  <c r="L82" i="4"/>
  <c r="L68" i="4" s="1"/>
  <c r="H201" i="4"/>
  <c r="H105" i="4"/>
  <c r="M201" i="4"/>
  <c r="G201" i="4"/>
  <c r="J189" i="4"/>
  <c r="K73" i="3"/>
  <c r="X52" i="3"/>
  <c r="X188" i="3"/>
  <c r="I189" i="4"/>
  <c r="I194" i="4" s="1"/>
  <c r="I82" i="4"/>
  <c r="I68" i="4" s="1"/>
  <c r="I79" i="4"/>
  <c r="I67" i="4"/>
  <c r="K110" i="3"/>
  <c r="C67" i="6" s="1"/>
  <c r="K203" i="3"/>
  <c r="K125" i="3"/>
  <c r="H189" i="4"/>
  <c r="H194" i="4" s="1"/>
  <c r="H82" i="4"/>
  <c r="H68" i="4" s="1"/>
  <c r="H67" i="4"/>
  <c r="I201" i="4"/>
  <c r="I105" i="4"/>
  <c r="I206" i="4"/>
  <c r="G206" i="4"/>
  <c r="G83" i="3"/>
  <c r="G190" i="3"/>
  <c r="G195" i="3" s="1"/>
  <c r="G80" i="3"/>
  <c r="H79" i="4"/>
  <c r="H48" i="4"/>
  <c r="H14" i="4"/>
  <c r="I204" i="4"/>
  <c r="I128" i="4"/>
  <c r="I130" i="4" s="1"/>
  <c r="O68" i="3"/>
  <c r="O181" i="3"/>
  <c r="O47" i="3"/>
  <c r="G26" i="6" s="1"/>
  <c r="O51" i="3"/>
  <c r="G106" i="6" s="1"/>
  <c r="F190" i="3"/>
  <c r="F195" i="3" s="1"/>
  <c r="F73" i="3"/>
  <c r="J51" i="3"/>
  <c r="B106" i="6" s="1"/>
  <c r="J47" i="3"/>
  <c r="J17" i="3" s="1"/>
  <c r="J181" i="3"/>
  <c r="L83" i="3"/>
  <c r="L69" i="3" s="1"/>
  <c r="L68" i="3"/>
  <c r="L190" i="3"/>
  <c r="L195" i="3" s="1"/>
  <c r="K107" i="3"/>
  <c r="K22" i="3"/>
  <c r="F79" i="4"/>
  <c r="F72" i="4"/>
  <c r="F189" i="4"/>
  <c r="F194" i="4" s="1"/>
  <c r="F82" i="4"/>
  <c r="F68" i="4" s="1"/>
  <c r="Y133" i="4"/>
  <c r="H204" i="4"/>
  <c r="H128" i="4"/>
  <c r="Y112" i="4"/>
  <c r="Q108" i="4"/>
  <c r="Q109" i="4" s="1"/>
  <c r="Q201" i="4"/>
  <c r="Q104" i="4"/>
  <c r="O202" i="4"/>
  <c r="O109" i="4"/>
  <c r="AB188" i="3"/>
  <c r="AA183" i="3"/>
  <c r="Q190" i="3"/>
  <c r="O17" i="3"/>
  <c r="G48" i="4"/>
  <c r="F144" i="3"/>
  <c r="F147" i="3" s="1"/>
  <c r="L67" i="3"/>
  <c r="L50" i="3"/>
  <c r="L17" i="3"/>
  <c r="F142" i="3"/>
  <c r="I184" i="4"/>
  <c r="X209" i="3"/>
  <c r="I22" i="4"/>
  <c r="I50" i="3"/>
  <c r="G14" i="4"/>
  <c r="L25" i="3"/>
  <c r="W14" i="4"/>
  <c r="I80" i="4"/>
  <c r="N14" i="4"/>
  <c r="I42" i="4"/>
  <c r="I17" i="3"/>
  <c r="L48" i="4"/>
  <c r="I46" i="4"/>
  <c r="I14" i="4"/>
  <c r="I34" i="4"/>
  <c r="I13" i="4"/>
  <c r="P1" i="3"/>
  <c r="Q1" i="3" s="1"/>
  <c r="O106" i="3"/>
  <c r="O135" i="3"/>
  <c r="O103" i="3"/>
  <c r="O127" i="3"/>
  <c r="AA1" i="3"/>
  <c r="O94" i="3"/>
  <c r="AG103" i="3"/>
  <c r="AG120" i="3"/>
  <c r="AG127" i="3"/>
  <c r="AG94" i="3"/>
  <c r="AG135" i="3"/>
  <c r="AG106" i="3"/>
  <c r="I83" i="4"/>
  <c r="H107" i="3"/>
  <c r="H15" i="3"/>
  <c r="H71" i="3"/>
  <c r="H22" i="3"/>
  <c r="X3" i="3"/>
  <c r="AE3" i="3" s="1"/>
  <c r="I70" i="3"/>
  <c r="I72" i="3" s="1"/>
  <c r="I95" i="3"/>
  <c r="I15" i="3" s="1"/>
  <c r="N142" i="3"/>
  <c r="L185" i="3"/>
  <c r="I142" i="3"/>
  <c r="I144" i="3"/>
  <c r="I170" i="3" s="1"/>
  <c r="I141" i="3"/>
  <c r="G142" i="3"/>
  <c r="T109" i="4"/>
  <c r="X181" i="3"/>
  <c r="L44" i="3"/>
  <c r="O50" i="3"/>
  <c r="I139" i="4"/>
  <c r="AE190" i="3"/>
  <c r="AE195" i="3" s="1"/>
  <c r="H130" i="4"/>
  <c r="I207" i="4"/>
  <c r="G69" i="3"/>
  <c r="Q202" i="4"/>
  <c r="F156" i="3"/>
  <c r="F161" i="3" s="1"/>
  <c r="F170" i="3"/>
  <c r="F171" i="3" s="1"/>
  <c r="W171" i="3" s="1"/>
  <c r="AA120" i="3"/>
  <c r="AA94" i="3"/>
  <c r="AA106" i="3"/>
  <c r="AA103" i="3"/>
  <c r="P106" i="3"/>
  <c r="I22" i="3"/>
  <c r="X70" i="3"/>
  <c r="X72" i="3" s="1"/>
  <c r="F172" i="3"/>
  <c r="F173" i="3" s="1"/>
  <c r="W173" i="3" s="1"/>
  <c r="P168" i="3"/>
  <c r="P119" i="3"/>
  <c r="P118" i="4" s="1"/>
  <c r="P115" i="3"/>
  <c r="P114" i="4" s="1"/>
  <c r="P115" i="4" s="1"/>
  <c r="P122" i="3"/>
  <c r="P121" i="4" s="1"/>
  <c r="P112" i="3"/>
  <c r="Q100" i="4"/>
  <c r="P103" i="3"/>
  <c r="Q118" i="4"/>
  <c r="P100" i="4"/>
  <c r="P101" i="4"/>
  <c r="P120" i="4"/>
  <c r="N29" i="2"/>
  <c r="T77" i="4"/>
  <c r="T78" i="4"/>
  <c r="T78" i="3"/>
  <c r="T79" i="3"/>
  <c r="T193" i="3" s="1"/>
  <c r="C8" i="7"/>
  <c r="G57" i="2"/>
  <c r="J89" i="3" s="1"/>
  <c r="J92" i="3" s="1"/>
  <c r="R103" i="4" l="1"/>
  <c r="R201" i="4" s="1"/>
  <c r="R69" i="4"/>
  <c r="K3" i="4"/>
  <c r="J94" i="4"/>
  <c r="Q21" i="7"/>
  <c r="R21" i="7" s="1"/>
  <c r="O21" i="7"/>
  <c r="O20" i="7"/>
  <c r="Q20" i="7" s="1"/>
  <c r="R20" i="7" s="1"/>
  <c r="O23" i="7"/>
  <c r="Q23" i="7" s="1"/>
  <c r="R23" i="7" s="1"/>
  <c r="O43" i="7"/>
  <c r="O39" i="7"/>
  <c r="O37" i="7"/>
  <c r="O36" i="7"/>
  <c r="O35" i="7"/>
  <c r="O34" i="7"/>
  <c r="O31" i="7"/>
  <c r="O29" i="7"/>
  <c r="O27" i="7"/>
  <c r="H3" i="4"/>
  <c r="G69" i="4"/>
  <c r="G71" i="4" s="1"/>
  <c r="M1" i="4"/>
  <c r="L102" i="4"/>
  <c r="H207" i="4"/>
  <c r="P92" i="4"/>
  <c r="W31" i="4"/>
  <c r="AE103" i="3"/>
  <c r="AE127" i="3"/>
  <c r="AE120" i="3"/>
  <c r="AE135" i="3"/>
  <c r="AE94" i="3"/>
  <c r="Q101" i="4"/>
  <c r="P125" i="4"/>
  <c r="I172" i="3"/>
  <c r="I171" i="3"/>
  <c r="X171" i="3" s="1"/>
  <c r="AE95" i="3"/>
  <c r="AE70" i="3"/>
  <c r="AE72" i="3" s="1"/>
  <c r="Q120" i="3"/>
  <c r="Q135" i="3"/>
  <c r="Q127" i="3"/>
  <c r="Q103" i="3"/>
  <c r="AB190" i="3"/>
  <c r="AB195" i="3" s="1"/>
  <c r="AB80" i="3"/>
  <c r="AB83" i="3"/>
  <c r="AB69" i="3" s="1"/>
  <c r="Z190" i="3"/>
  <c r="Z47" i="3"/>
  <c r="Z50" i="3" s="1"/>
  <c r="Z68" i="3"/>
  <c r="X95" i="3"/>
  <c r="P135" i="3"/>
  <c r="AE80" i="3"/>
  <c r="H50" i="3"/>
  <c r="Z188" i="3"/>
  <c r="F83" i="3"/>
  <c r="W65" i="3"/>
  <c r="W189" i="3" s="1"/>
  <c r="AE43" i="3"/>
  <c r="AE184" i="3" s="1"/>
  <c r="AE104" i="3"/>
  <c r="AA65" i="3"/>
  <c r="Z104" i="3"/>
  <c r="Q99" i="4"/>
  <c r="W34" i="3"/>
  <c r="AC193" i="3"/>
  <c r="AC97" i="3"/>
  <c r="I88" i="4"/>
  <c r="U149" i="4"/>
  <c r="U153" i="4" s="1"/>
  <c r="U210" i="4" s="1"/>
  <c r="R179" i="4"/>
  <c r="P120" i="3"/>
  <c r="AE19" i="3"/>
  <c r="O31" i="4"/>
  <c r="O181" i="4" s="1"/>
  <c r="M64" i="4"/>
  <c r="O64" i="4"/>
  <c r="O188" i="4" s="1"/>
  <c r="P157" i="4"/>
  <c r="P158" i="4" s="1"/>
  <c r="P213" i="4" s="1"/>
  <c r="AB19" i="3"/>
  <c r="G65" i="2"/>
  <c r="G67" i="2" s="1"/>
  <c r="Q110" i="3"/>
  <c r="I67" i="6" s="1"/>
  <c r="Q125" i="3"/>
  <c r="H180" i="4"/>
  <c r="H49" i="4"/>
  <c r="H44" i="4"/>
  <c r="G192" i="4"/>
  <c r="G194" i="4" s="1"/>
  <c r="G82" i="4"/>
  <c r="G68" i="4" s="1"/>
  <c r="G24" i="3"/>
  <c r="G180" i="3"/>
  <c r="G52" i="3"/>
  <c r="N188" i="3"/>
  <c r="N66" i="3"/>
  <c r="N190" i="3" s="1"/>
  <c r="L179" i="4"/>
  <c r="L50" i="4"/>
  <c r="G179" i="4"/>
  <c r="G50" i="4"/>
  <c r="S93" i="3"/>
  <c r="P133" i="4"/>
  <c r="P99" i="4"/>
  <c r="W111" i="4"/>
  <c r="W132" i="4"/>
  <c r="N103" i="4"/>
  <c r="Y98" i="4"/>
  <c r="W98" i="4"/>
  <c r="N65" i="4"/>
  <c r="N50" i="4"/>
  <c r="I189" i="3"/>
  <c r="I66" i="3"/>
  <c r="I73" i="3" s="1"/>
  <c r="K21" i="4"/>
  <c r="K50" i="4"/>
  <c r="F24" i="3"/>
  <c r="F52" i="3"/>
  <c r="J52" i="3"/>
  <c r="B87" i="6" s="1"/>
  <c r="J66" i="3"/>
  <c r="F179" i="4"/>
  <c r="F21" i="4"/>
  <c r="F50" i="4"/>
  <c r="K154" i="3"/>
  <c r="K211" i="3" s="1"/>
  <c r="K151" i="4"/>
  <c r="K153" i="4" s="1"/>
  <c r="K210" i="4" s="1"/>
  <c r="K159" i="3"/>
  <c r="K214" i="3" s="1"/>
  <c r="K157" i="4"/>
  <c r="K158" i="4" s="1"/>
  <c r="K213" i="4" s="1"/>
  <c r="L157" i="4"/>
  <c r="L158" i="4" s="1"/>
  <c r="L213" i="4" s="1"/>
  <c r="E6" i="7"/>
  <c r="E8" i="7" s="1"/>
  <c r="I65" i="2"/>
  <c r="I67" i="2" s="1"/>
  <c r="L89" i="3"/>
  <c r="E65" i="2"/>
  <c r="E67" i="2" s="1"/>
  <c r="G89" i="3"/>
  <c r="K36" i="3"/>
  <c r="AB30" i="3"/>
  <c r="AB34" i="3" s="1"/>
  <c r="M31" i="4"/>
  <c r="O33" i="4"/>
  <c r="I149" i="4"/>
  <c r="AE150" i="3"/>
  <c r="X150" i="3"/>
  <c r="X154" i="3" s="1"/>
  <c r="X211" i="3" s="1"/>
  <c r="X212" i="3" s="1"/>
  <c r="X215" i="3" s="1"/>
  <c r="M149" i="4"/>
  <c r="L149" i="4"/>
  <c r="L153" i="4" s="1"/>
  <c r="L210" i="4" s="1"/>
  <c r="L154" i="3"/>
  <c r="L211" i="3" s="1"/>
  <c r="AG150" i="3"/>
  <c r="AG154" i="3" s="1"/>
  <c r="AG211" i="3" s="1"/>
  <c r="N154" i="3"/>
  <c r="N211" i="3" s="1"/>
  <c r="AB89" i="3"/>
  <c r="AB92" i="3" s="1"/>
  <c r="R88" i="4"/>
  <c r="R91" i="4" s="1"/>
  <c r="S117" i="3"/>
  <c r="S129" i="3" s="1"/>
  <c r="AC115" i="3"/>
  <c r="AC116" i="3" s="1"/>
  <c r="AC99" i="3"/>
  <c r="S104" i="3"/>
  <c r="S105" i="3" s="1"/>
  <c r="S98" i="4"/>
  <c r="S103" i="4" s="1"/>
  <c r="T118" i="4"/>
  <c r="U118" i="4"/>
  <c r="AC133" i="3"/>
  <c r="AC134" i="3" s="1"/>
  <c r="S138" i="3"/>
  <c r="S207" i="3" s="1"/>
  <c r="AC112" i="3"/>
  <c r="S113" i="3"/>
  <c r="M36" i="3"/>
  <c r="M183" i="3" s="1"/>
  <c r="M182" i="3"/>
  <c r="X124" i="3"/>
  <c r="X120" i="3"/>
  <c r="AE31" i="3"/>
  <c r="AE34" i="3" s="1"/>
  <c r="X31" i="3"/>
  <c r="X34" i="3" s="1"/>
  <c r="J104" i="3"/>
  <c r="J98" i="4"/>
  <c r="J70" i="3"/>
  <c r="J72" i="3" s="1"/>
  <c r="K98" i="4"/>
  <c r="F111" i="4"/>
  <c r="F112" i="4" s="1"/>
  <c r="W112" i="3"/>
  <c r="H117" i="3"/>
  <c r="H114" i="3"/>
  <c r="M129" i="3"/>
  <c r="O60" i="4"/>
  <c r="J118" i="4"/>
  <c r="J124" i="3"/>
  <c r="J120" i="3"/>
  <c r="AG112" i="3"/>
  <c r="O111" i="4"/>
  <c r="M114" i="4"/>
  <c r="L114" i="4"/>
  <c r="Z115" i="3"/>
  <c r="S114" i="4"/>
  <c r="S116" i="4" s="1"/>
  <c r="R114" i="4"/>
  <c r="AB115" i="3"/>
  <c r="L118" i="4"/>
  <c r="K120" i="3"/>
  <c r="AA124" i="3"/>
  <c r="AA206" i="3" s="1"/>
  <c r="S118" i="4"/>
  <c r="S120" i="4" s="1"/>
  <c r="S121" i="4"/>
  <c r="S122" i="4" s="1"/>
  <c r="R121" i="4"/>
  <c r="AB122" i="3"/>
  <c r="AB123" i="3" s="1"/>
  <c r="J136" i="4"/>
  <c r="J137" i="4" s="1"/>
  <c r="J206" i="4" s="1"/>
  <c r="K136" i="4"/>
  <c r="L136" i="4"/>
  <c r="M136" i="4"/>
  <c r="Z137" i="3"/>
  <c r="P136" i="4"/>
  <c r="P137" i="4" s="1"/>
  <c r="P206" i="4" s="1"/>
  <c r="Q136" i="4"/>
  <c r="K135" i="4"/>
  <c r="L135" i="4"/>
  <c r="Q135" i="4"/>
  <c r="R135" i="4"/>
  <c r="K135" i="3"/>
  <c r="K132" i="4"/>
  <c r="AA133" i="3"/>
  <c r="AA135" i="3" s="1"/>
  <c r="O138" i="3"/>
  <c r="O140" i="3" s="1"/>
  <c r="AC122" i="3"/>
  <c r="T121" i="4"/>
  <c r="T122" i="4" s="1"/>
  <c r="AB138" i="3"/>
  <c r="AB207" i="3" s="1"/>
  <c r="AB152" i="3"/>
  <c r="AB154" i="3" s="1"/>
  <c r="AB211" i="3" s="1"/>
  <c r="AB24" i="3"/>
  <c r="S60" i="4"/>
  <c r="U102" i="3"/>
  <c r="U124" i="3"/>
  <c r="U206" i="3" s="1"/>
  <c r="U121" i="4"/>
  <c r="U138" i="3"/>
  <c r="U207" i="3" s="1"/>
  <c r="U135" i="4"/>
  <c r="U137" i="4" s="1"/>
  <c r="U206" i="4" s="1"/>
  <c r="T16" i="4"/>
  <c r="AE154" i="3"/>
  <c r="AE211" i="3" s="1"/>
  <c r="N36" i="3"/>
  <c r="N183" i="3" s="1"/>
  <c r="K19" i="3"/>
  <c r="W72" i="3"/>
  <c r="J8" i="4"/>
  <c r="J16" i="4" s="1"/>
  <c r="U100" i="4"/>
  <c r="AC57" i="3"/>
  <c r="AC62" i="3" s="1"/>
  <c r="AC51" i="3" s="1"/>
  <c r="S62" i="3"/>
  <c r="AC64" i="3"/>
  <c r="AC65" i="3" s="1"/>
  <c r="AC189" i="3" s="1"/>
  <c r="S65" i="3"/>
  <c r="S189" i="3" s="1"/>
  <c r="Q19" i="3"/>
  <c r="Q180" i="3" s="1"/>
  <c r="C10" i="7"/>
  <c r="G83" i="2"/>
  <c r="J112" i="3"/>
  <c r="F40" i="7"/>
  <c r="L122" i="3"/>
  <c r="P31" i="4"/>
  <c r="P181" i="4" s="1"/>
  <c r="L31" i="4"/>
  <c r="Q158" i="3"/>
  <c r="N112" i="2"/>
  <c r="N48" i="2" s="1"/>
  <c r="R136" i="4"/>
  <c r="U16" i="4"/>
  <c r="U31" i="4"/>
  <c r="U64" i="4"/>
  <c r="U34" i="3"/>
  <c r="U36" i="3" s="1"/>
  <c r="U96" i="3" s="1"/>
  <c r="U43" i="3"/>
  <c r="U184" i="3" s="1"/>
  <c r="U62" i="3"/>
  <c r="U114" i="4"/>
  <c r="U116" i="4" s="1"/>
  <c r="U154" i="3"/>
  <c r="U211" i="3" s="1"/>
  <c r="G98" i="2"/>
  <c r="O47" i="7"/>
  <c r="O48" i="7" s="1"/>
  <c r="Q117" i="3"/>
  <c r="Q129" i="3" s="1"/>
  <c r="R149" i="4"/>
  <c r="R153" i="4" s="1"/>
  <c r="R210" i="4" s="1"/>
  <c r="F174" i="3"/>
  <c r="X71" i="3"/>
  <c r="I147" i="3"/>
  <c r="I145" i="3"/>
  <c r="I107" i="3"/>
  <c r="F145" i="3"/>
  <c r="H139" i="4"/>
  <c r="H141" i="4" s="1"/>
  <c r="G182" i="3"/>
  <c r="G36" i="3"/>
  <c r="K31" i="4"/>
  <c r="O149" i="4"/>
  <c r="O153" i="4" s="1"/>
  <c r="O210" i="4" s="1"/>
  <c r="N149" i="4"/>
  <c r="P149" i="4"/>
  <c r="P153" i="4" s="1"/>
  <c r="P210" i="4" s="1"/>
  <c r="Q149" i="4"/>
  <c r="Q153" i="4" s="1"/>
  <c r="Q210" i="4" s="1"/>
  <c r="AB99" i="3"/>
  <c r="L98" i="4"/>
  <c r="L104" i="3"/>
  <c r="O114" i="4"/>
  <c r="O115" i="4" s="1"/>
  <c r="N114" i="4"/>
  <c r="AG115" i="3"/>
  <c r="K118" i="4"/>
  <c r="N118" i="4"/>
  <c r="M118" i="4"/>
  <c r="R118" i="4"/>
  <c r="AB119" i="3"/>
  <c r="K121" i="4"/>
  <c r="N136" i="4"/>
  <c r="AG137" i="3"/>
  <c r="AG138" i="3" s="1"/>
  <c r="AG207" i="3" s="1"/>
  <c r="M135" i="4"/>
  <c r="M138" i="3"/>
  <c r="O135" i="4"/>
  <c r="O137" i="4" s="1"/>
  <c r="AA136" i="3"/>
  <c r="AA138" i="3" s="1"/>
  <c r="AA207" i="3" s="1"/>
  <c r="S124" i="3"/>
  <c r="S206" i="3" s="1"/>
  <c r="S100" i="3"/>
  <c r="T66" i="3"/>
  <c r="U116" i="3"/>
  <c r="T129" i="3"/>
  <c r="T205" i="3"/>
  <c r="T208" i="3" s="1"/>
  <c r="S188" i="3"/>
  <c r="S66" i="3"/>
  <c r="S190" i="3" s="1"/>
  <c r="T180" i="3"/>
  <c r="T52" i="3"/>
  <c r="O45" i="7"/>
  <c r="O46" i="7" s="1"/>
  <c r="C46" i="7"/>
  <c r="Y28" i="4"/>
  <c r="Y31" i="4" s="1"/>
  <c r="N31" i="4"/>
  <c r="U88" i="4"/>
  <c r="U91" i="4" s="1"/>
  <c r="U92" i="4" s="1"/>
  <c r="T92" i="3"/>
  <c r="T102" i="3" s="1"/>
  <c r="T100" i="4"/>
  <c r="AC136" i="3"/>
  <c r="S135" i="4"/>
  <c r="S137" i="4" s="1"/>
  <c r="AC137" i="3"/>
  <c r="T136" i="4"/>
  <c r="T137" i="4" s="1"/>
  <c r="AC150" i="3"/>
  <c r="AC154" i="3" s="1"/>
  <c r="AC211" i="3" s="1"/>
  <c r="T149" i="4"/>
  <c r="T153" i="4" s="1"/>
  <c r="T210" i="4" s="1"/>
  <c r="T211" i="4" s="1"/>
  <c r="N19" i="3"/>
  <c r="S134" i="3"/>
  <c r="S16" i="4"/>
  <c r="AC34" i="3"/>
  <c r="AC36" i="3" s="1"/>
  <c r="N200" i="3"/>
  <c r="N100" i="3"/>
  <c r="N126" i="3"/>
  <c r="N121" i="3"/>
  <c r="N93" i="3"/>
  <c r="N109" i="3"/>
  <c r="N105" i="3"/>
  <c r="N130" i="3"/>
  <c r="N141" i="3"/>
  <c r="N102" i="3"/>
  <c r="N23" i="3"/>
  <c r="N113" i="3"/>
  <c r="N96" i="3"/>
  <c r="N134" i="3"/>
  <c r="N123" i="3"/>
  <c r="N116" i="3"/>
  <c r="O93" i="3"/>
  <c r="N94" i="3"/>
  <c r="P109" i="3"/>
  <c r="P203" i="3" s="1"/>
  <c r="Q93" i="3"/>
  <c r="P100" i="3"/>
  <c r="P134" i="3"/>
  <c r="P105" i="3"/>
  <c r="P93" i="3"/>
  <c r="P102" i="3"/>
  <c r="P200" i="3"/>
  <c r="P23" i="3"/>
  <c r="P94" i="3"/>
  <c r="P121" i="3"/>
  <c r="Q157" i="4"/>
  <c r="Q158" i="4" s="1"/>
  <c r="Q213" i="4" s="1"/>
  <c r="R157" i="4"/>
  <c r="R158" i="4" s="1"/>
  <c r="R213" i="4" s="1"/>
  <c r="Q159" i="3"/>
  <c r="Q214" i="3" s="1"/>
  <c r="S130" i="3"/>
  <c r="S140" i="3"/>
  <c r="AC182" i="3"/>
  <c r="Z79" i="3"/>
  <c r="Z193" i="3" s="1"/>
  <c r="Z195" i="3" s="1"/>
  <c r="J29" i="2"/>
  <c r="O34" i="3"/>
  <c r="G154" i="3"/>
  <c r="M153" i="4"/>
  <c r="M210" i="4" s="1"/>
  <c r="J138" i="3"/>
  <c r="J207" i="3" s="1"/>
  <c r="T34" i="3"/>
  <c r="U117" i="3"/>
  <c r="U205" i="3" s="1"/>
  <c r="U208" i="3" s="1"/>
  <c r="U134" i="3"/>
  <c r="G100" i="2"/>
  <c r="G108" i="2" s="1"/>
  <c r="G112" i="2" s="1"/>
  <c r="G48" i="2" s="1"/>
  <c r="J77" i="4" s="1"/>
  <c r="J78" i="4" s="1"/>
  <c r="P113" i="3"/>
  <c r="F6" i="7"/>
  <c r="F8" i="7" s="1"/>
  <c r="K138" i="3"/>
  <c r="T124" i="3"/>
  <c r="U126" i="3"/>
  <c r="L133" i="3"/>
  <c r="AA200" i="3"/>
  <c r="AA93" i="3"/>
  <c r="AA121" i="3"/>
  <c r="AA109" i="3"/>
  <c r="AA23" i="3"/>
  <c r="AA100" i="3"/>
  <c r="AA116" i="3"/>
  <c r="AA105" i="3"/>
  <c r="AA134" i="3"/>
  <c r="AA123" i="3"/>
  <c r="W106" i="3"/>
  <c r="W202" i="3"/>
  <c r="W109" i="3"/>
  <c r="W105" i="3"/>
  <c r="W149" i="4"/>
  <c r="I153" i="4"/>
  <c r="I210" i="4" s="1"/>
  <c r="T80" i="3"/>
  <c r="Q114" i="4"/>
  <c r="Q115" i="4" s="1"/>
  <c r="AE107" i="3"/>
  <c r="Z17" i="3"/>
  <c r="I71" i="3"/>
  <c r="J50" i="3"/>
  <c r="B26" i="6"/>
  <c r="W65" i="4"/>
  <c r="W187" i="4"/>
  <c r="S20" i="4"/>
  <c r="S96" i="4"/>
  <c r="S112" i="4"/>
  <c r="S125" i="4"/>
  <c r="S99" i="4"/>
  <c r="S101" i="4"/>
  <c r="S108" i="4"/>
  <c r="S199" i="4"/>
  <c r="S133" i="4"/>
  <c r="S115" i="4"/>
  <c r="S104" i="4"/>
  <c r="T92" i="4"/>
  <c r="G128" i="4"/>
  <c r="G204" i="4"/>
  <c r="G207" i="4" s="1"/>
  <c r="AG202" i="3"/>
  <c r="AG109" i="3"/>
  <c r="AG105" i="3"/>
  <c r="Z106" i="3"/>
  <c r="Z202" i="3"/>
  <c r="G33" i="4"/>
  <c r="G182" i="4" s="1"/>
  <c r="G181" i="4"/>
  <c r="F209" i="3"/>
  <c r="F212" i="3" s="1"/>
  <c r="F215" i="3" s="1"/>
  <c r="AA127" i="3"/>
  <c r="W79" i="3"/>
  <c r="W97" i="3" s="1"/>
  <c r="G149" i="4"/>
  <c r="G153" i="4" s="1"/>
  <c r="G210" i="4" s="1"/>
  <c r="S193" i="3"/>
  <c r="S97" i="3"/>
  <c r="T190" i="3"/>
  <c r="T195" i="3" s="1"/>
  <c r="T36" i="3"/>
  <c r="T183" i="3" s="1"/>
  <c r="T182" i="3"/>
  <c r="U188" i="3"/>
  <c r="U66" i="3"/>
  <c r="U202" i="3"/>
  <c r="U109" i="3"/>
  <c r="U139" i="3" s="1"/>
  <c r="U105" i="3"/>
  <c r="W49" i="4"/>
  <c r="T202" i="3"/>
  <c r="T105" i="3"/>
  <c r="T206" i="3"/>
  <c r="AC138" i="3"/>
  <c r="P34" i="3"/>
  <c r="Q34" i="3"/>
  <c r="Q36" i="3" s="1"/>
  <c r="J135" i="3"/>
  <c r="P138" i="3"/>
  <c r="S126" i="3"/>
  <c r="S23" i="3"/>
  <c r="S116" i="3"/>
  <c r="U183" i="3"/>
  <c r="S205" i="3"/>
  <c r="S208" i="3" s="1"/>
  <c r="U24" i="3"/>
  <c r="T24" i="3"/>
  <c r="U182" i="3"/>
  <c r="T100" i="3"/>
  <c r="U52" i="3"/>
  <c r="T121" i="3"/>
  <c r="U100" i="3"/>
  <c r="S19" i="3"/>
  <c r="S34" i="3"/>
  <c r="T64" i="4"/>
  <c r="L98" i="2"/>
  <c r="R111" i="4"/>
  <c r="Q114" i="3"/>
  <c r="Q113" i="3"/>
  <c r="Q205" i="3"/>
  <c r="Q138" i="3"/>
  <c r="Q139" i="3" s="1"/>
  <c r="S92" i="4"/>
  <c r="R95" i="4"/>
  <c r="Q20" i="4"/>
  <c r="Q52" i="3"/>
  <c r="I87" i="6" s="1"/>
  <c r="Q50" i="4"/>
  <c r="Q182" i="3"/>
  <c r="Q21" i="4"/>
  <c r="M29" i="2"/>
  <c r="G44" i="2"/>
  <c r="G51" i="2" s="1"/>
  <c r="J105" i="3"/>
  <c r="J200" i="3"/>
  <c r="J23" i="3"/>
  <c r="J123" i="3"/>
  <c r="K93" i="3"/>
  <c r="J109" i="3"/>
  <c r="J126" i="3"/>
  <c r="I175" i="3"/>
  <c r="X175" i="3" s="1"/>
  <c r="I174" i="3"/>
  <c r="I173" i="3"/>
  <c r="X173" i="3" s="1"/>
  <c r="R96" i="4"/>
  <c r="P116" i="3"/>
  <c r="AE73" i="3"/>
  <c r="AE22" i="3"/>
  <c r="F175" i="3"/>
  <c r="W175" i="3" s="1"/>
  <c r="I141" i="4"/>
  <c r="I146" i="3"/>
  <c r="I156" i="3"/>
  <c r="I161" i="3" s="1"/>
  <c r="I165" i="3" s="1"/>
  <c r="W193" i="3"/>
  <c r="Z181" i="3"/>
  <c r="Z51" i="3"/>
  <c r="I209" i="3"/>
  <c r="I212" i="3" s="1"/>
  <c r="I215" i="3" s="1"/>
  <c r="H205" i="3"/>
  <c r="H129" i="3"/>
  <c r="AE126" i="3"/>
  <c r="P108" i="4"/>
  <c r="W153" i="4"/>
  <c r="W210" i="4" s="1"/>
  <c r="AE117" i="3"/>
  <c r="AE114" i="3"/>
  <c r="R188" i="4"/>
  <c r="AG62" i="3"/>
  <c r="F153" i="4"/>
  <c r="F210" i="4" s="1"/>
  <c r="F53" i="2"/>
  <c r="J34" i="3"/>
  <c r="T43" i="3"/>
  <c r="T184" i="3" s="1"/>
  <c r="G68" i="2"/>
  <c r="I29" i="2"/>
  <c r="H29" i="2"/>
  <c r="L29" i="2"/>
  <c r="H6" i="7"/>
  <c r="H8" i="7" s="1"/>
  <c r="O50" i="7"/>
  <c r="O51" i="7" s="1"/>
  <c r="D34" i="8" s="1"/>
  <c r="D22" i="8"/>
  <c r="E22" i="8" s="1"/>
  <c r="F22" i="8" s="1"/>
  <c r="D20" i="8"/>
  <c r="E20" i="8" s="1"/>
  <c r="F20" i="8" s="1"/>
  <c r="D19" i="8"/>
  <c r="E19" i="8" s="1"/>
  <c r="F19" i="8" s="1"/>
  <c r="D15" i="8"/>
  <c r="E15" i="8" s="1"/>
  <c r="F15" i="8" s="1"/>
  <c r="Q27" i="7"/>
  <c r="R27" i="7" s="1"/>
  <c r="M98" i="2"/>
  <c r="M100" i="2" s="1"/>
  <c r="M108" i="2" s="1"/>
  <c r="M112" i="2" s="1"/>
  <c r="M48" i="2" s="1"/>
  <c r="Z43" i="3"/>
  <c r="Z184" i="3" s="1"/>
  <c r="AA43" i="3"/>
  <c r="AA46" i="3" s="1"/>
  <c r="AA25" i="3" s="1"/>
  <c r="E53" i="2"/>
  <c r="M19" i="3"/>
  <c r="M24" i="3" s="1"/>
  <c r="K83" i="2"/>
  <c r="K98" i="2" s="1"/>
  <c r="K100" i="2" s="1"/>
  <c r="K108" i="2" s="1"/>
  <c r="K112" i="2" s="1"/>
  <c r="K48" i="2" s="1"/>
  <c r="L100" i="2"/>
  <c r="L108" i="2" s="1"/>
  <c r="M50" i="4"/>
  <c r="M21" i="4"/>
  <c r="D32" i="8"/>
  <c r="E32" i="8" s="1"/>
  <c r="Q33" i="7"/>
  <c r="R33" i="7" s="1"/>
  <c r="O184" i="3"/>
  <c r="Q184" i="3"/>
  <c r="G184" i="3"/>
  <c r="G46" i="3"/>
  <c r="AA44" i="3"/>
  <c r="P183" i="4"/>
  <c r="Q183" i="4"/>
  <c r="Q44" i="4"/>
  <c r="AC40" i="3"/>
  <c r="AC43" i="3" s="1"/>
  <c r="S43" i="3"/>
  <c r="J183" i="4"/>
  <c r="M183" i="4"/>
  <c r="L183" i="4"/>
  <c r="T183" i="4"/>
  <c r="J184" i="3"/>
  <c r="AB39" i="3"/>
  <c r="AB43" i="3" s="1"/>
  <c r="AG43" i="3"/>
  <c r="L84" i="3"/>
  <c r="L81" i="3"/>
  <c r="H83" i="4"/>
  <c r="H22" i="4"/>
  <c r="U46" i="3"/>
  <c r="U16" i="3" s="1"/>
  <c r="L37" i="3"/>
  <c r="L48" i="3"/>
  <c r="H184" i="4"/>
  <c r="G44" i="4"/>
  <c r="G46" i="4" s="1"/>
  <c r="P114" i="3"/>
  <c r="Q111" i="4"/>
  <c r="P111" i="4"/>
  <c r="P112" i="4" s="1"/>
  <c r="P117" i="3"/>
  <c r="P205" i="3" s="1"/>
  <c r="AA113" i="3"/>
  <c r="AA117" i="3"/>
  <c r="AA114" i="3"/>
  <c r="O114" i="3"/>
  <c r="O113" i="3"/>
  <c r="Q43" i="7"/>
  <c r="R43" i="7" s="1"/>
  <c r="P122" i="4"/>
  <c r="P126" i="3"/>
  <c r="Q121" i="4"/>
  <c r="P127" i="3"/>
  <c r="P124" i="3"/>
  <c r="P123" i="3"/>
  <c r="O130" i="3"/>
  <c r="O131" i="3"/>
  <c r="AA126" i="3"/>
  <c r="O124" i="4"/>
  <c r="G53" i="2"/>
  <c r="J203" i="3"/>
  <c r="J125" i="3"/>
  <c r="J113" i="3"/>
  <c r="J95" i="3"/>
  <c r="J88" i="4"/>
  <c r="J91" i="4" s="1"/>
  <c r="K88" i="4"/>
  <c r="K91" i="4" s="1"/>
  <c r="T192" i="4"/>
  <c r="T96" i="4"/>
  <c r="J102" i="3"/>
  <c r="J94" i="3"/>
  <c r="J100" i="3"/>
  <c r="J121" i="3"/>
  <c r="J93" i="3"/>
  <c r="J134" i="3"/>
  <c r="J116" i="3"/>
  <c r="T83" i="3"/>
  <c r="T69" i="3" s="1"/>
  <c r="T97" i="3"/>
  <c r="R192" i="4"/>
  <c r="P116" i="4"/>
  <c r="R68" i="4"/>
  <c r="P123" i="4"/>
  <c r="I163" i="3"/>
  <c r="X163" i="3" s="1"/>
  <c r="I164" i="3"/>
  <c r="X164" i="3" s="1"/>
  <c r="I162" i="3"/>
  <c r="X162" i="3" s="1"/>
  <c r="F163" i="3"/>
  <c r="W163" i="3" s="1"/>
  <c r="F162" i="3"/>
  <c r="W162" i="3" s="1"/>
  <c r="F165" i="3"/>
  <c r="AC181" i="3"/>
  <c r="Y45" i="4"/>
  <c r="Y65" i="4"/>
  <c r="Y187" i="4"/>
  <c r="Y49" i="4"/>
  <c r="Y50" i="4"/>
  <c r="X189" i="3"/>
  <c r="X66" i="3"/>
  <c r="Y20" i="4"/>
  <c r="Y101" i="4"/>
  <c r="Y199" i="4"/>
  <c r="Y122" i="4"/>
  <c r="W180" i="3"/>
  <c r="W24" i="3"/>
  <c r="F146" i="3"/>
  <c r="I48" i="3"/>
  <c r="I37" i="3"/>
  <c r="I16" i="3"/>
  <c r="I25" i="3"/>
  <c r="I185" i="3"/>
  <c r="I44" i="3"/>
  <c r="I81" i="3"/>
  <c r="P48" i="4"/>
  <c r="P14" i="4"/>
  <c r="W183" i="4"/>
  <c r="AG46" i="3"/>
  <c r="AG184" i="3"/>
  <c r="Y183" i="4"/>
  <c r="AA181" i="3"/>
  <c r="AA51" i="3"/>
  <c r="G22" i="4"/>
  <c r="P49" i="4"/>
  <c r="W62" i="3"/>
  <c r="H200" i="3"/>
  <c r="H100" i="3"/>
  <c r="H113" i="3"/>
  <c r="H94" i="3"/>
  <c r="H116" i="3"/>
  <c r="H123" i="3"/>
  <c r="H134" i="3"/>
  <c r="H23" i="3"/>
  <c r="H102" i="3"/>
  <c r="H121" i="3"/>
  <c r="H126" i="3"/>
  <c r="H208" i="3"/>
  <c r="H209" i="3" s="1"/>
  <c r="H212" i="3" s="1"/>
  <c r="H215" i="3" s="1"/>
  <c r="W123" i="4"/>
  <c r="W126" i="4"/>
  <c r="M200" i="3"/>
  <c r="M100" i="3"/>
  <c r="M134" i="3"/>
  <c r="M121" i="3"/>
  <c r="M96" i="3"/>
  <c r="M126" i="3"/>
  <c r="M102" i="3"/>
  <c r="M116" i="3"/>
  <c r="M123" i="3"/>
  <c r="M23" i="3"/>
  <c r="M113" i="3"/>
  <c r="M109" i="3"/>
  <c r="I53" i="2"/>
  <c r="P188" i="4"/>
  <c r="P65" i="4"/>
  <c r="H36" i="3"/>
  <c r="H182" i="3"/>
  <c r="L3" i="3"/>
  <c r="K70" i="3"/>
  <c r="F113" i="4"/>
  <c r="F116" i="4"/>
  <c r="H106" i="3"/>
  <c r="H202" i="3"/>
  <c r="M202" i="3"/>
  <c r="M105" i="3"/>
  <c r="E100" i="2"/>
  <c r="E108" i="2" s="1"/>
  <c r="E112" i="2" s="1"/>
  <c r="D67" i="2"/>
  <c r="T158" i="3"/>
  <c r="R114" i="5"/>
  <c r="R110" i="5"/>
  <c r="R47" i="5" s="1"/>
  <c r="R44" i="5" s="1"/>
  <c r="R50" i="5" s="1"/>
  <c r="R52" i="5" s="1"/>
  <c r="N112" i="5"/>
  <c r="P112" i="5"/>
  <c r="U37" i="3"/>
  <c r="G88" i="4"/>
  <c r="G91" i="4" s="1"/>
  <c r="P51" i="3"/>
  <c r="H106" i="6" s="1"/>
  <c r="P47" i="3"/>
  <c r="X52" i="5"/>
  <c r="T140" i="3"/>
  <c r="J100" i="2"/>
  <c r="J108" i="2" s="1"/>
  <c r="J112" i="2" s="1"/>
  <c r="J48" i="2" s="1"/>
  <c r="F100" i="2"/>
  <c r="F108" i="2" s="1"/>
  <c r="F112" i="2" s="1"/>
  <c r="T112" i="5"/>
  <c r="H112" i="5"/>
  <c r="P110" i="3"/>
  <c r="H67" i="6" s="1"/>
  <c r="R112" i="5"/>
  <c r="L112" i="5"/>
  <c r="T46" i="3"/>
  <c r="U80" i="3"/>
  <c r="U193" i="3"/>
  <c r="S83" i="3"/>
  <c r="S158" i="3"/>
  <c r="L98" i="5"/>
  <c r="L106" i="5" s="1"/>
  <c r="L110" i="5" s="1"/>
  <c r="L47" i="5" s="1"/>
  <c r="L44" i="5" s="1"/>
  <c r="L50" i="5" s="1"/>
  <c r="L52" i="5" s="1"/>
  <c r="D66" i="5"/>
  <c r="V98" i="5"/>
  <c r="V106" i="5" s="1"/>
  <c r="V110" i="5" s="1"/>
  <c r="U51" i="3"/>
  <c r="S121" i="3"/>
  <c r="D6" i="7"/>
  <c r="O6" i="7" s="1"/>
  <c r="D31" i="8"/>
  <c r="Q47" i="7"/>
  <c r="Q48" i="7" s="1"/>
  <c r="D30" i="8"/>
  <c r="E30" i="8" s="1"/>
  <c r="E31" i="8" s="1"/>
  <c r="Q50" i="7"/>
  <c r="D33" i="8"/>
  <c r="E33" i="8" s="1"/>
  <c r="D23" i="8"/>
  <c r="E23" i="8" s="1"/>
  <c r="F23" i="8" s="1"/>
  <c r="Q39" i="7"/>
  <c r="R39" i="7" s="1"/>
  <c r="D21" i="8"/>
  <c r="E21" i="8" s="1"/>
  <c r="F21" i="8" s="1"/>
  <c r="Q36" i="7"/>
  <c r="R36" i="7" s="1"/>
  <c r="Q34" i="7"/>
  <c r="R34" i="7" s="1"/>
  <c r="Q29" i="7"/>
  <c r="R29" i="7" s="1"/>
  <c r="D13" i="8"/>
  <c r="E13" i="8" s="1"/>
  <c r="F13" i="8" s="1"/>
  <c r="S123" i="3"/>
  <c r="C44" i="7"/>
  <c r="D28" i="8"/>
  <c r="E28" i="8" s="1"/>
  <c r="Q45" i="7"/>
  <c r="R45" i="7" s="1"/>
  <c r="Q35" i="7"/>
  <c r="R35" i="7" s="1"/>
  <c r="Q31" i="7"/>
  <c r="R31" i="7" s="1"/>
  <c r="G6" i="7"/>
  <c r="G8" i="7" s="1"/>
  <c r="E40" i="7"/>
  <c r="O40" i="7" s="1"/>
  <c r="D7" i="7"/>
  <c r="O7" i="7" s="1"/>
  <c r="F32" i="7"/>
  <c r="O32" i="7" s="1"/>
  <c r="F28" i="7"/>
  <c r="O28" i="7" s="1"/>
  <c r="H84" i="2"/>
  <c r="Q51" i="7" l="1"/>
  <c r="R50" i="7"/>
  <c r="R51" i="7"/>
  <c r="R99" i="4"/>
  <c r="J192" i="6" s="1"/>
  <c r="R11" i="4"/>
  <c r="R20" i="4"/>
  <c r="R15" i="4"/>
  <c r="R71" i="4"/>
  <c r="R112" i="4"/>
  <c r="J171" i="6" s="1"/>
  <c r="J168" i="6"/>
  <c r="R125" i="4"/>
  <c r="R115" i="4"/>
  <c r="J170" i="6" s="1"/>
  <c r="J169" i="6"/>
  <c r="L3" i="4"/>
  <c r="K94" i="4"/>
  <c r="Q7" i="7"/>
  <c r="I3" i="4"/>
  <c r="I69" i="4" s="1"/>
  <c r="H69" i="4"/>
  <c r="H71" i="4" s="1"/>
  <c r="P33" i="4"/>
  <c r="R50" i="4"/>
  <c r="W33" i="4"/>
  <c r="W181" i="4"/>
  <c r="N1" i="4"/>
  <c r="M102" i="4"/>
  <c r="M105" i="4"/>
  <c r="W182" i="3"/>
  <c r="W36" i="3"/>
  <c r="AA189" i="3"/>
  <c r="AA66" i="3"/>
  <c r="F69" i="3"/>
  <c r="F148" i="3"/>
  <c r="AE71" i="3"/>
  <c r="AE15" i="3"/>
  <c r="AE105" i="3"/>
  <c r="AE202" i="3"/>
  <c r="AE109" i="3"/>
  <c r="AE106" i="3"/>
  <c r="X107" i="3"/>
  <c r="X15" i="3"/>
  <c r="X22" i="3"/>
  <c r="S1" i="3"/>
  <c r="AB1" i="3"/>
  <c r="M188" i="4"/>
  <c r="M65" i="4"/>
  <c r="M189" i="4" s="1"/>
  <c r="AE180" i="3"/>
  <c r="AE24" i="3"/>
  <c r="AE52" i="3"/>
  <c r="S109" i="3"/>
  <c r="T96" i="3"/>
  <c r="T130" i="3"/>
  <c r="U185" i="3"/>
  <c r="U67" i="3"/>
  <c r="I67" i="3"/>
  <c r="AA125" i="3"/>
  <c r="Z46" i="3"/>
  <c r="J78" i="3"/>
  <c r="J79" i="3" s="1"/>
  <c r="T109" i="3"/>
  <c r="T126" i="3"/>
  <c r="T23" i="3"/>
  <c r="Q24" i="3"/>
  <c r="U129" i="3"/>
  <c r="S195" i="3"/>
  <c r="Q137" i="4"/>
  <c r="AB180" i="3"/>
  <c r="AB52" i="3"/>
  <c r="W88" i="4"/>
  <c r="W91" i="4" s="1"/>
  <c r="W99" i="4" s="1"/>
  <c r="I91" i="4"/>
  <c r="Q206" i="4"/>
  <c r="Q138" i="4"/>
  <c r="S204" i="4"/>
  <c r="S207" i="4" s="1"/>
  <c r="M44" i="2"/>
  <c r="M51" i="2" s="1"/>
  <c r="M53" i="2" s="1"/>
  <c r="P77" i="4"/>
  <c r="P78" i="4" s="1"/>
  <c r="P78" i="3"/>
  <c r="P79" i="3" s="1"/>
  <c r="L112" i="2"/>
  <c r="L48" i="2" s="1"/>
  <c r="U204" i="4"/>
  <c r="U207" i="4" s="1"/>
  <c r="U188" i="4"/>
  <c r="U65" i="4"/>
  <c r="U179" i="4"/>
  <c r="U21" i="4"/>
  <c r="U50" i="4"/>
  <c r="L121" i="4"/>
  <c r="L126" i="4" s="1"/>
  <c r="Z122" i="3"/>
  <c r="L124" i="3"/>
  <c r="L206" i="3" s="1"/>
  <c r="L127" i="3"/>
  <c r="J117" i="3"/>
  <c r="J205" i="3" s="1"/>
  <c r="J114" i="3"/>
  <c r="J111" i="4"/>
  <c r="M121" i="4"/>
  <c r="J21" i="4"/>
  <c r="J50" i="4"/>
  <c r="J179" i="4"/>
  <c r="K24" i="3"/>
  <c r="K52" i="3"/>
  <c r="C87" i="6" s="1"/>
  <c r="K180" i="3"/>
  <c r="AB51" i="3"/>
  <c r="AB68" i="3"/>
  <c r="AB181" i="3"/>
  <c r="AB47" i="3"/>
  <c r="O207" i="3"/>
  <c r="O208" i="3" s="1"/>
  <c r="O209" i="3" s="1"/>
  <c r="O212" i="3" s="1"/>
  <c r="O215" i="3" s="1"/>
  <c r="O139" i="3"/>
  <c r="K134" i="4"/>
  <c r="K137" i="4"/>
  <c r="K206" i="4" s="1"/>
  <c r="R137" i="4"/>
  <c r="L123" i="4"/>
  <c r="L205" i="4" s="1"/>
  <c r="L119" i="4"/>
  <c r="AG113" i="3"/>
  <c r="AG114" i="3"/>
  <c r="J206" i="3"/>
  <c r="O187" i="4"/>
  <c r="O65" i="4"/>
  <c r="O49" i="4"/>
  <c r="O50" i="4"/>
  <c r="O45" i="4"/>
  <c r="W117" i="3"/>
  <c r="W113" i="3"/>
  <c r="W114" i="3"/>
  <c r="K103" i="4"/>
  <c r="K69" i="4"/>
  <c r="K71" i="4" s="1"/>
  <c r="J103" i="4"/>
  <c r="J69" i="4"/>
  <c r="J71" i="4" s="1"/>
  <c r="X36" i="3"/>
  <c r="X182" i="3"/>
  <c r="R180" i="4"/>
  <c r="R44" i="4"/>
  <c r="R49" i="4"/>
  <c r="AC117" i="3"/>
  <c r="AC113" i="3"/>
  <c r="T123" i="4"/>
  <c r="T125" i="4"/>
  <c r="T120" i="4"/>
  <c r="S202" i="3"/>
  <c r="S106" i="3"/>
  <c r="R122" i="4"/>
  <c r="R101" i="4"/>
  <c r="R199" i="4"/>
  <c r="R92" i="4"/>
  <c r="R108" i="4"/>
  <c r="R104" i="4"/>
  <c r="O182" i="4"/>
  <c r="O95" i="4"/>
  <c r="O34" i="4"/>
  <c r="O44" i="4"/>
  <c r="K183" i="3"/>
  <c r="K96" i="3"/>
  <c r="F47" i="3"/>
  <c r="F46" i="3"/>
  <c r="F51" i="3"/>
  <c r="F181" i="3"/>
  <c r="F68" i="3"/>
  <c r="K45" i="4"/>
  <c r="K180" i="4"/>
  <c r="K49" i="4"/>
  <c r="K67" i="4"/>
  <c r="N189" i="4"/>
  <c r="N67" i="4"/>
  <c r="W69" i="4"/>
  <c r="W71" i="4" s="1"/>
  <c r="W103" i="4"/>
  <c r="N105" i="4"/>
  <c r="N108" i="4"/>
  <c r="N201" i="4"/>
  <c r="N104" i="4"/>
  <c r="W137" i="4"/>
  <c r="W134" i="4"/>
  <c r="W116" i="4"/>
  <c r="W204" i="4" s="1"/>
  <c r="W207" i="4" s="1"/>
  <c r="W113" i="4"/>
  <c r="G47" i="3"/>
  <c r="G181" i="3"/>
  <c r="G51" i="3"/>
  <c r="G68" i="3"/>
  <c r="U33" i="4"/>
  <c r="U95" i="4" s="1"/>
  <c r="U181" i="4"/>
  <c r="L33" i="4"/>
  <c r="L181" i="4"/>
  <c r="AC188" i="3"/>
  <c r="AC52" i="3"/>
  <c r="AC66" i="3"/>
  <c r="T179" i="4"/>
  <c r="T50" i="4"/>
  <c r="T21" i="4"/>
  <c r="S65" i="4"/>
  <c r="S187" i="4"/>
  <c r="AC124" i="3"/>
  <c r="AC126" i="3"/>
  <c r="AC123" i="3"/>
  <c r="S123" i="4"/>
  <c r="S205" i="4" s="1"/>
  <c r="AB117" i="3"/>
  <c r="AB205" i="3" s="1"/>
  <c r="AB116" i="3"/>
  <c r="O112" i="4"/>
  <c r="J119" i="4"/>
  <c r="J126" i="4"/>
  <c r="J123" i="4"/>
  <c r="J205" i="4" s="1"/>
  <c r="M130" i="3"/>
  <c r="M131" i="3"/>
  <c r="J202" i="3"/>
  <c r="J106" i="3"/>
  <c r="AE36" i="3"/>
  <c r="AE182" i="3"/>
  <c r="X206" i="3"/>
  <c r="X129" i="3"/>
  <c r="X125" i="3"/>
  <c r="U123" i="4"/>
  <c r="U205" i="4" s="1"/>
  <c r="S201" i="4"/>
  <c r="AC104" i="3"/>
  <c r="AC100" i="3"/>
  <c r="AB23" i="3"/>
  <c r="AB113" i="3"/>
  <c r="AB93" i="3"/>
  <c r="AB134" i="3"/>
  <c r="AB200" i="3"/>
  <c r="AB97" i="3"/>
  <c r="AB102" i="3"/>
  <c r="AB94" i="3"/>
  <c r="M33" i="4"/>
  <c r="M181" i="4"/>
  <c r="AB182" i="3"/>
  <c r="AB36" i="3"/>
  <c r="AB183" i="3" s="1"/>
  <c r="H88" i="4"/>
  <c r="H91" i="4" s="1"/>
  <c r="G92" i="3"/>
  <c r="G96" i="3" s="1"/>
  <c r="L92" i="3"/>
  <c r="L126" i="3" s="1"/>
  <c r="L88" i="4"/>
  <c r="L91" i="4" s="1"/>
  <c r="L99" i="4" s="1"/>
  <c r="Z89" i="3"/>
  <c r="Z92" i="3" s="1"/>
  <c r="M88" i="4"/>
  <c r="M91" i="4" s="1"/>
  <c r="M125" i="4" s="1"/>
  <c r="F180" i="4"/>
  <c r="F49" i="4"/>
  <c r="F67" i="4"/>
  <c r="F44" i="4"/>
  <c r="F45" i="4"/>
  <c r="J68" i="3"/>
  <c r="J190" i="3"/>
  <c r="I80" i="3"/>
  <c r="I68" i="3"/>
  <c r="I83" i="3"/>
  <c r="I190" i="3"/>
  <c r="I195" i="3" s="1"/>
  <c r="I71" i="4"/>
  <c r="Y103" i="4"/>
  <c r="Y99" i="4"/>
  <c r="H34" i="4"/>
  <c r="H66" i="4"/>
  <c r="H46" i="4"/>
  <c r="H13" i="4"/>
  <c r="H80" i="4"/>
  <c r="H42" i="4"/>
  <c r="T206" i="4"/>
  <c r="T138" i="4"/>
  <c r="O206" i="4"/>
  <c r="O138" i="4"/>
  <c r="S206" i="4"/>
  <c r="T101" i="4"/>
  <c r="T200" i="3"/>
  <c r="T123" i="3"/>
  <c r="T93" i="3"/>
  <c r="T116" i="3"/>
  <c r="T113" i="3"/>
  <c r="T134" i="3"/>
  <c r="U93" i="3"/>
  <c r="S80" i="3"/>
  <c r="Y181" i="4"/>
  <c r="Y33" i="4"/>
  <c r="Y136" i="4"/>
  <c r="Y137" i="4" s="1"/>
  <c r="Y206" i="4" s="1"/>
  <c r="N137" i="4"/>
  <c r="AB124" i="3"/>
  <c r="AB126" i="3"/>
  <c r="AB121" i="3"/>
  <c r="AB127" i="3"/>
  <c r="AB120" i="3"/>
  <c r="M123" i="4"/>
  <c r="M126" i="4"/>
  <c r="M119" i="4"/>
  <c r="M120" i="4"/>
  <c r="K119" i="4"/>
  <c r="K126" i="4"/>
  <c r="K123" i="4"/>
  <c r="K205" i="4" s="1"/>
  <c r="N116" i="4"/>
  <c r="Y114" i="4"/>
  <c r="N115" i="4"/>
  <c r="L202" i="3"/>
  <c r="L106" i="3"/>
  <c r="L105" i="3"/>
  <c r="L109" i="3"/>
  <c r="AB100" i="3"/>
  <c r="AB104" i="3"/>
  <c r="Y149" i="4"/>
  <c r="Y153" i="4" s="1"/>
  <c r="Y210" i="4" s="1"/>
  <c r="N153" i="4"/>
  <c r="N210" i="4" s="1"/>
  <c r="K33" i="4"/>
  <c r="K181" i="4"/>
  <c r="G183" i="3"/>
  <c r="P182" i="4"/>
  <c r="P95" i="4"/>
  <c r="P44" i="4"/>
  <c r="P66" i="4" s="1"/>
  <c r="AA16" i="3"/>
  <c r="M52" i="3"/>
  <c r="E87" i="6" s="1"/>
  <c r="S21" i="4"/>
  <c r="S179" i="4"/>
  <c r="S50" i="4"/>
  <c r="N24" i="3"/>
  <c r="N52" i="3"/>
  <c r="F87" i="6" s="1"/>
  <c r="N180" i="3"/>
  <c r="U20" i="4"/>
  <c r="U199" i="4"/>
  <c r="U115" i="4"/>
  <c r="U122" i="4"/>
  <c r="U133" i="4"/>
  <c r="U99" i="4"/>
  <c r="U120" i="4"/>
  <c r="U125" i="4"/>
  <c r="U101" i="4"/>
  <c r="U96" i="4"/>
  <c r="U112" i="4"/>
  <c r="U108" i="4"/>
  <c r="U104" i="4"/>
  <c r="N33" i="4"/>
  <c r="N181" i="4"/>
  <c r="M207" i="3"/>
  <c r="M208" i="3" s="1"/>
  <c r="M140" i="3"/>
  <c r="R123" i="4"/>
  <c r="R120" i="4"/>
  <c r="Y118" i="4"/>
  <c r="N123" i="4"/>
  <c r="N119" i="4"/>
  <c r="N126" i="4"/>
  <c r="N125" i="4"/>
  <c r="N120" i="4"/>
  <c r="AG116" i="3"/>
  <c r="AG117" i="3"/>
  <c r="L103" i="4"/>
  <c r="L69" i="4"/>
  <c r="L71" i="4" s="1"/>
  <c r="O116" i="4"/>
  <c r="H140" i="4"/>
  <c r="J192" i="4"/>
  <c r="J194" i="4" s="1"/>
  <c r="J82" i="4"/>
  <c r="J79" i="4"/>
  <c r="AA184" i="3"/>
  <c r="AA185" i="3"/>
  <c r="AA37" i="3"/>
  <c r="M180" i="3"/>
  <c r="Q68" i="3"/>
  <c r="K207" i="3"/>
  <c r="K139" i="3"/>
  <c r="G211" i="3"/>
  <c r="N139" i="3"/>
  <c r="N125" i="3"/>
  <c r="N203" i="3"/>
  <c r="N209" i="3" s="1"/>
  <c r="N212" i="3" s="1"/>
  <c r="N215" i="3" s="1"/>
  <c r="N110" i="3"/>
  <c r="F67" i="6" s="1"/>
  <c r="N144" i="3"/>
  <c r="M132" i="4"/>
  <c r="L135" i="3"/>
  <c r="L132" i="4"/>
  <c r="Z133" i="3"/>
  <c r="L134" i="3"/>
  <c r="L138" i="3"/>
  <c r="O182" i="3"/>
  <c r="O36" i="3"/>
  <c r="Z83" i="3"/>
  <c r="Z69" i="3" s="1"/>
  <c r="Z80" i="3"/>
  <c r="AC96" i="3"/>
  <c r="AC183" i="3"/>
  <c r="S141" i="3"/>
  <c r="S142" i="3"/>
  <c r="Q125" i="4"/>
  <c r="Q51" i="3"/>
  <c r="I106" i="6" s="1"/>
  <c r="T188" i="4"/>
  <c r="T65" i="4"/>
  <c r="S52" i="3"/>
  <c r="S180" i="3"/>
  <c r="S24" i="3"/>
  <c r="U47" i="3"/>
  <c r="U181" i="3"/>
  <c r="P207" i="3"/>
  <c r="P139" i="3"/>
  <c r="AC207" i="3"/>
  <c r="U130" i="3"/>
  <c r="U140" i="3"/>
  <c r="U144" i="3" s="1"/>
  <c r="AG203" i="3"/>
  <c r="AG125" i="3"/>
  <c r="AG139" i="3"/>
  <c r="AG110" i="3"/>
  <c r="S202" i="4"/>
  <c r="S208" i="4" s="1"/>
  <c r="S211" i="4" s="1"/>
  <c r="S124" i="4"/>
  <c r="S109" i="4"/>
  <c r="S138" i="4"/>
  <c r="W203" i="3"/>
  <c r="W110" i="3"/>
  <c r="W139" i="3"/>
  <c r="W125" i="3"/>
  <c r="S36" i="3"/>
  <c r="S46" i="3" s="1"/>
  <c r="S182" i="3"/>
  <c r="T139" i="3"/>
  <c r="T203" i="3"/>
  <c r="T209" i="3" s="1"/>
  <c r="T212" i="3" s="1"/>
  <c r="T181" i="3"/>
  <c r="T47" i="3"/>
  <c r="T51" i="3"/>
  <c r="P36" i="3"/>
  <c r="P182" i="3"/>
  <c r="U110" i="3"/>
  <c r="U203" i="3"/>
  <c r="U209" i="3" s="1"/>
  <c r="U212" i="3" s="1"/>
  <c r="U190" i="3"/>
  <c r="U195" i="3" s="1"/>
  <c r="U68" i="3"/>
  <c r="U83" i="3"/>
  <c r="T68" i="3"/>
  <c r="U125" i="3"/>
  <c r="G130" i="4"/>
  <c r="G139" i="4"/>
  <c r="G141" i="4" s="1"/>
  <c r="W189" i="4"/>
  <c r="W194" i="4" s="1"/>
  <c r="W67" i="4"/>
  <c r="W82" i="4"/>
  <c r="W68" i="4" s="1"/>
  <c r="W79" i="4"/>
  <c r="AA203" i="3"/>
  <c r="AA110" i="3"/>
  <c r="AA139" i="3"/>
  <c r="Q116" i="4"/>
  <c r="R116" i="4"/>
  <c r="Q130" i="3"/>
  <c r="Q131" i="3"/>
  <c r="Q207" i="3"/>
  <c r="Q208" i="3" s="1"/>
  <c r="Q209" i="3" s="1"/>
  <c r="Q212" i="3" s="1"/>
  <c r="Q215" i="3" s="1"/>
  <c r="Q140" i="3"/>
  <c r="Q144" i="3" s="1"/>
  <c r="Q146" i="3" s="1"/>
  <c r="Q183" i="3"/>
  <c r="Q96" i="3"/>
  <c r="Q46" i="3"/>
  <c r="Q180" i="4"/>
  <c r="Q49" i="4"/>
  <c r="Q45" i="4"/>
  <c r="Q46" i="4" s="1"/>
  <c r="Q67" i="4"/>
  <c r="AE205" i="3"/>
  <c r="AE208" i="3" s="1"/>
  <c r="AE129" i="3"/>
  <c r="J110" i="3"/>
  <c r="B67" i="6" s="1"/>
  <c r="J139" i="3"/>
  <c r="D8" i="7"/>
  <c r="O8" i="7" s="1"/>
  <c r="G42" i="4"/>
  <c r="Q6" i="7"/>
  <c r="R6" i="7" s="1"/>
  <c r="N78" i="3"/>
  <c r="K44" i="2"/>
  <c r="K51" i="2" s="1"/>
  <c r="K53" i="2" s="1"/>
  <c r="N77" i="4"/>
  <c r="D11" i="8"/>
  <c r="E11" i="8" s="1"/>
  <c r="F11" i="8" s="1"/>
  <c r="J36" i="3"/>
  <c r="J182" i="3"/>
  <c r="AG188" i="3"/>
  <c r="AG47" i="3"/>
  <c r="AG52" i="3"/>
  <c r="AG51" i="3"/>
  <c r="AG66" i="3"/>
  <c r="R189" i="4"/>
  <c r="R194" i="4" s="1"/>
  <c r="P202" i="4"/>
  <c r="P109" i="4"/>
  <c r="P138" i="4"/>
  <c r="H140" i="3"/>
  <c r="H130" i="3"/>
  <c r="H131" i="3"/>
  <c r="M180" i="4"/>
  <c r="M45" i="4"/>
  <c r="M67" i="4"/>
  <c r="M49" i="4"/>
  <c r="M181" i="3"/>
  <c r="M51" i="3"/>
  <c r="E106" i="6" s="1"/>
  <c r="M46" i="3"/>
  <c r="M47" i="3"/>
  <c r="M68" i="3"/>
  <c r="D26" i="8"/>
  <c r="E26" i="8" s="1"/>
  <c r="F26" i="8" s="1"/>
  <c r="Q37" i="7"/>
  <c r="R37" i="7" s="1"/>
  <c r="Z25" i="3"/>
  <c r="Z67" i="3"/>
  <c r="Z48" i="3"/>
  <c r="Z84" i="3"/>
  <c r="Z37" i="3"/>
  <c r="Z16" i="3"/>
  <c r="Z185" i="3"/>
  <c r="Z81" i="3"/>
  <c r="G184" i="4"/>
  <c r="U44" i="3"/>
  <c r="U81" i="3"/>
  <c r="G34" i="4"/>
  <c r="G13" i="4"/>
  <c r="G81" i="3"/>
  <c r="G16" i="3"/>
  <c r="G84" i="3"/>
  <c r="G48" i="3"/>
  <c r="G25" i="3"/>
  <c r="G67" i="3"/>
  <c r="G37" i="3"/>
  <c r="G185" i="3"/>
  <c r="AC184" i="3"/>
  <c r="AC44" i="3"/>
  <c r="AC46" i="3"/>
  <c r="G66" i="4"/>
  <c r="Q66" i="4"/>
  <c r="Q34" i="4"/>
  <c r="Q184" i="4"/>
  <c r="Q22" i="4"/>
  <c r="Q13" i="4"/>
  <c r="Q42" i="4"/>
  <c r="U25" i="3"/>
  <c r="G80" i="4"/>
  <c r="G83" i="4"/>
  <c r="AB184" i="3"/>
  <c r="AB46" i="3"/>
  <c r="S184" i="3"/>
  <c r="Z44" i="3"/>
  <c r="G44" i="3"/>
  <c r="AA205" i="3"/>
  <c r="AA208" i="3" s="1"/>
  <c r="AA129" i="3"/>
  <c r="Q204" i="4"/>
  <c r="P206" i="3"/>
  <c r="P208" i="3" s="1"/>
  <c r="P209" i="3" s="1"/>
  <c r="P212" i="3" s="1"/>
  <c r="P215" i="3" s="1"/>
  <c r="P129" i="3"/>
  <c r="P125" i="3"/>
  <c r="Q123" i="4"/>
  <c r="O144" i="3"/>
  <c r="O142" i="3"/>
  <c r="O141" i="3"/>
  <c r="Q32" i="7"/>
  <c r="R32" i="7" s="1"/>
  <c r="D17" i="8"/>
  <c r="E17" i="8" s="1"/>
  <c r="F17" i="8" s="1"/>
  <c r="D24" i="8"/>
  <c r="E24" i="8" s="1"/>
  <c r="F24" i="8" s="1"/>
  <c r="Q40" i="7"/>
  <c r="R40" i="7" s="1"/>
  <c r="D7" i="8"/>
  <c r="E7" i="8" s="1"/>
  <c r="F7" i="8" s="1"/>
  <c r="F33" i="8"/>
  <c r="E34" i="8"/>
  <c r="T48" i="3"/>
  <c r="T16" i="3"/>
  <c r="T44" i="3"/>
  <c r="T25" i="3"/>
  <c r="T67" i="3"/>
  <c r="T185" i="3"/>
  <c r="T84" i="3"/>
  <c r="G122" i="4"/>
  <c r="G20" i="4"/>
  <c r="G120" i="4"/>
  <c r="G199" i="4"/>
  <c r="G129" i="4"/>
  <c r="G104" i="4"/>
  <c r="G125" i="4"/>
  <c r="G115" i="4"/>
  <c r="G92" i="4"/>
  <c r="G96" i="4"/>
  <c r="G133" i="4"/>
  <c r="G93" i="4"/>
  <c r="G15" i="4"/>
  <c r="G94" i="4"/>
  <c r="G112" i="4"/>
  <c r="H92" i="4"/>
  <c r="G95" i="4"/>
  <c r="G99" i="4"/>
  <c r="G108" i="4"/>
  <c r="G101" i="4"/>
  <c r="G140" i="4"/>
  <c r="H183" i="3"/>
  <c r="H96" i="3"/>
  <c r="H46" i="3"/>
  <c r="H37" i="3" s="1"/>
  <c r="W205" i="4"/>
  <c r="W128" i="4"/>
  <c r="W46" i="3"/>
  <c r="W25" i="3" s="1"/>
  <c r="W51" i="3"/>
  <c r="W181" i="3"/>
  <c r="X68" i="3"/>
  <c r="X47" i="3"/>
  <c r="X83" i="3"/>
  <c r="X190" i="3"/>
  <c r="X195" i="3" s="1"/>
  <c r="X73" i="3"/>
  <c r="P128" i="4"/>
  <c r="P204" i="4"/>
  <c r="F28" i="8"/>
  <c r="E29" i="8"/>
  <c r="T144" i="3"/>
  <c r="T141" i="3"/>
  <c r="K72" i="3"/>
  <c r="K71" i="3"/>
  <c r="W66" i="3"/>
  <c r="W188" i="3"/>
  <c r="Y189" i="4"/>
  <c r="Y67" i="4"/>
  <c r="P205" i="4"/>
  <c r="P124" i="4"/>
  <c r="T81" i="3"/>
  <c r="J71" i="3"/>
  <c r="J15" i="3"/>
  <c r="J73" i="3"/>
  <c r="J107" i="3"/>
  <c r="J22" i="3"/>
  <c r="D6" i="8"/>
  <c r="E6" i="8" s="1"/>
  <c r="F6" i="8" s="1"/>
  <c r="S110" i="3"/>
  <c r="S125" i="3"/>
  <c r="S139" i="3"/>
  <c r="S203" i="3"/>
  <c r="S209" i="3" s="1"/>
  <c r="S212" i="3" s="1"/>
  <c r="S144" i="3"/>
  <c r="I84" i="2"/>
  <c r="H83" i="2"/>
  <c r="H98" i="2" s="1"/>
  <c r="H100" i="2" s="1"/>
  <c r="H108" i="2" s="1"/>
  <c r="H112" i="2" s="1"/>
  <c r="H48" i="2" s="1"/>
  <c r="K112" i="3"/>
  <c r="D10" i="7"/>
  <c r="Q46" i="7"/>
  <c r="D29" i="8"/>
  <c r="AC158" i="3"/>
  <c r="AC159" i="3" s="1"/>
  <c r="S159" i="3"/>
  <c r="S214" i="3" s="1"/>
  <c r="S157" i="4"/>
  <c r="S158" i="4" s="1"/>
  <c r="T37" i="3"/>
  <c r="H26" i="6"/>
  <c r="P50" i="3"/>
  <c r="P17" i="3"/>
  <c r="T159" i="3"/>
  <c r="T214" i="3" s="1"/>
  <c r="T215" i="3" s="1"/>
  <c r="T157" i="4"/>
  <c r="T158" i="4" s="1"/>
  <c r="L70" i="3"/>
  <c r="L72" i="3" s="1"/>
  <c r="M3" i="3"/>
  <c r="Z3" i="3"/>
  <c r="L95" i="3"/>
  <c r="P67" i="4"/>
  <c r="P189" i="4"/>
  <c r="P82" i="4"/>
  <c r="M139" i="3"/>
  <c r="M125" i="3"/>
  <c r="M203" i="3"/>
  <c r="M209" i="3" s="1"/>
  <c r="M212" i="3" s="1"/>
  <c r="M215" i="3" s="1"/>
  <c r="M110" i="3"/>
  <c r="E67" i="6" s="1"/>
  <c r="M144" i="3"/>
  <c r="W52" i="3"/>
  <c r="Y48" i="4"/>
  <c r="Y14" i="4"/>
  <c r="P79" i="4"/>
  <c r="K122" i="4"/>
  <c r="K104" i="4"/>
  <c r="K95" i="4"/>
  <c r="K115" i="4"/>
  <c r="K125" i="4"/>
  <c r="K99" i="4"/>
  <c r="K93" i="4"/>
  <c r="K20" i="4"/>
  <c r="K133" i="4"/>
  <c r="L92" i="4"/>
  <c r="K92" i="4"/>
  <c r="K101" i="4"/>
  <c r="K120" i="4"/>
  <c r="K199" i="4"/>
  <c r="K108" i="4"/>
  <c r="J68" i="4"/>
  <c r="S69" i="3"/>
  <c r="M77" i="4"/>
  <c r="M78" i="4" s="1"/>
  <c r="J44" i="2"/>
  <c r="J51" i="2" s="1"/>
  <c r="M78" i="3"/>
  <c r="M79" i="3" s="1"/>
  <c r="U158" i="3"/>
  <c r="F128" i="4"/>
  <c r="F204" i="4"/>
  <c r="F207" i="4" s="1"/>
  <c r="F208" i="4" s="1"/>
  <c r="F211" i="4" s="1"/>
  <c r="F214" i="4" s="1"/>
  <c r="AG25" i="3"/>
  <c r="AG44" i="3"/>
  <c r="AG48" i="3"/>
  <c r="AG185" i="3"/>
  <c r="AG16" i="3"/>
  <c r="AG37" i="3"/>
  <c r="AG67" i="3"/>
  <c r="J101" i="4"/>
  <c r="J133" i="4"/>
  <c r="J92" i="4"/>
  <c r="J120" i="4"/>
  <c r="J93" i="4"/>
  <c r="J99" i="4"/>
  <c r="J199" i="4"/>
  <c r="J104" i="4"/>
  <c r="J125" i="4"/>
  <c r="J122" i="4"/>
  <c r="J108" i="4"/>
  <c r="J96" i="4"/>
  <c r="J20" i="4"/>
  <c r="J95" i="4"/>
  <c r="J112" i="4"/>
  <c r="J115" i="4"/>
  <c r="R80" i="4" l="1"/>
  <c r="R66" i="4"/>
  <c r="R83" i="4"/>
  <c r="R34" i="4"/>
  <c r="R22" i="4"/>
  <c r="R13" i="4"/>
  <c r="M3" i="4"/>
  <c r="L94" i="4"/>
  <c r="Y1" i="4"/>
  <c r="N134" i="4"/>
  <c r="N102" i="4"/>
  <c r="O1" i="4"/>
  <c r="O93" i="4" s="1"/>
  <c r="N113" i="4"/>
  <c r="N93" i="4"/>
  <c r="W182" i="4"/>
  <c r="W44" i="4"/>
  <c r="AB135" i="3"/>
  <c r="AB114" i="3"/>
  <c r="AB103" i="3"/>
  <c r="T1" i="3"/>
  <c r="S94" i="3"/>
  <c r="S135" i="3"/>
  <c r="S127" i="3"/>
  <c r="S103" i="3"/>
  <c r="S114" i="3"/>
  <c r="S120" i="3"/>
  <c r="S131" i="3"/>
  <c r="AA190" i="3"/>
  <c r="AA67" i="3"/>
  <c r="AA68" i="3"/>
  <c r="AA47" i="3"/>
  <c r="W96" i="3"/>
  <c r="W183" i="3"/>
  <c r="AE110" i="3"/>
  <c r="AE203" i="3"/>
  <c r="AE209" i="3" s="1"/>
  <c r="AE212" i="3" s="1"/>
  <c r="AE215" i="3" s="1"/>
  <c r="AE139" i="3"/>
  <c r="AE125" i="3"/>
  <c r="I199" i="4"/>
  <c r="I115" i="4"/>
  <c r="I94" i="4"/>
  <c r="I15" i="4"/>
  <c r="I120" i="4"/>
  <c r="I93" i="4"/>
  <c r="I140" i="4"/>
  <c r="I99" i="4"/>
  <c r="I125" i="4"/>
  <c r="I122" i="4"/>
  <c r="I96" i="4"/>
  <c r="I20" i="4"/>
  <c r="I101" i="4"/>
  <c r="I95" i="4"/>
  <c r="I104" i="4"/>
  <c r="I108" i="4"/>
  <c r="I129" i="4"/>
  <c r="I112" i="4"/>
  <c r="I133" i="4"/>
  <c r="Q47" i="3"/>
  <c r="I26" i="6" s="1"/>
  <c r="Q181" i="3"/>
  <c r="J80" i="3"/>
  <c r="J83" i="3"/>
  <c r="J69" i="3" s="1"/>
  <c r="J193" i="3"/>
  <c r="J97" i="3"/>
  <c r="AE47" i="3"/>
  <c r="AE181" i="3"/>
  <c r="AE68" i="3"/>
  <c r="AE51" i="3"/>
  <c r="J195" i="3"/>
  <c r="J208" i="3"/>
  <c r="J209" i="3" s="1"/>
  <c r="J212" i="3" s="1"/>
  <c r="J215" i="3" s="1"/>
  <c r="W93" i="4"/>
  <c r="W125" i="4"/>
  <c r="W112" i="4"/>
  <c r="W133" i="4"/>
  <c r="Y92" i="4"/>
  <c r="W199" i="4"/>
  <c r="W122" i="4"/>
  <c r="W115" i="4"/>
  <c r="W120" i="4"/>
  <c r="W96" i="4"/>
  <c r="W94" i="4"/>
  <c r="W95" i="4"/>
  <c r="W20" i="4"/>
  <c r="W101" i="4"/>
  <c r="T125" i="3"/>
  <c r="T110" i="3"/>
  <c r="O78" i="3"/>
  <c r="O77" i="4"/>
  <c r="O78" i="4" s="1"/>
  <c r="L44" i="2"/>
  <c r="L51" i="2" s="1"/>
  <c r="L53" i="2" s="1"/>
  <c r="W83" i="4"/>
  <c r="AA209" i="3"/>
  <c r="AA212" i="3" s="1"/>
  <c r="AA215" i="3" s="1"/>
  <c r="F14" i="4"/>
  <c r="F46" i="4"/>
  <c r="F48" i="4"/>
  <c r="Z102" i="3"/>
  <c r="Z93" i="3"/>
  <c r="Z100" i="3"/>
  <c r="Z121" i="3"/>
  <c r="Z23" i="3"/>
  <c r="Z96" i="3"/>
  <c r="Z94" i="3"/>
  <c r="Z200" i="3"/>
  <c r="Z105" i="3"/>
  <c r="Z97" i="3"/>
  <c r="Z109" i="3"/>
  <c r="L93" i="3"/>
  <c r="L94" i="3"/>
  <c r="L23" i="3"/>
  <c r="M93" i="3"/>
  <c r="L102" i="3"/>
  <c r="L200" i="3"/>
  <c r="L116" i="3"/>
  <c r="L121" i="3"/>
  <c r="L96" i="3"/>
  <c r="L100" i="3"/>
  <c r="L97" i="3"/>
  <c r="H199" i="4"/>
  <c r="H122" i="4"/>
  <c r="H101" i="4"/>
  <c r="H94" i="4"/>
  <c r="H93" i="4"/>
  <c r="H112" i="4"/>
  <c r="H133" i="4"/>
  <c r="H99" i="4"/>
  <c r="I92" i="4"/>
  <c r="H125" i="4"/>
  <c r="H115" i="4"/>
  <c r="H20" i="4"/>
  <c r="H104" i="4"/>
  <c r="H120" i="4"/>
  <c r="H15" i="4"/>
  <c r="H95" i="4"/>
  <c r="H96" i="4"/>
  <c r="H108" i="4"/>
  <c r="H129" i="4"/>
  <c r="M182" i="4"/>
  <c r="M44" i="4"/>
  <c r="AE96" i="3"/>
  <c r="AE183" i="3"/>
  <c r="AE46" i="3"/>
  <c r="AE37" i="3" s="1"/>
  <c r="T180" i="4"/>
  <c r="T45" i="4"/>
  <c r="T49" i="4"/>
  <c r="T44" i="4"/>
  <c r="N109" i="4"/>
  <c r="N202" i="4"/>
  <c r="K14" i="4"/>
  <c r="K48" i="4"/>
  <c r="F25" i="3"/>
  <c r="F67" i="3"/>
  <c r="F44" i="3"/>
  <c r="F16" i="3"/>
  <c r="F81" i="3"/>
  <c r="F185" i="3"/>
  <c r="F84" i="3"/>
  <c r="F37" i="3"/>
  <c r="O13" i="4"/>
  <c r="O42" i="4"/>
  <c r="O184" i="4"/>
  <c r="O22" i="4"/>
  <c r="T205" i="4"/>
  <c r="T128" i="4"/>
  <c r="T124" i="4"/>
  <c r="X96" i="3"/>
  <c r="X46" i="3"/>
  <c r="X183" i="3"/>
  <c r="X37" i="3"/>
  <c r="J201" i="4"/>
  <c r="J105" i="4"/>
  <c r="K201" i="4"/>
  <c r="K105" i="4"/>
  <c r="O48" i="4"/>
  <c r="O14" i="4"/>
  <c r="O46" i="4"/>
  <c r="J129" i="3"/>
  <c r="Z116" i="3"/>
  <c r="AB17" i="3"/>
  <c r="AB50" i="3"/>
  <c r="K51" i="3"/>
  <c r="C106" i="6" s="1"/>
  <c r="K181" i="3"/>
  <c r="K46" i="3"/>
  <c r="K25" i="3" s="1"/>
  <c r="K47" i="3"/>
  <c r="K68" i="3"/>
  <c r="M122" i="4"/>
  <c r="L123" i="3"/>
  <c r="Z124" i="3"/>
  <c r="Z123" i="3"/>
  <c r="Z127" i="3"/>
  <c r="Z126" i="3"/>
  <c r="P192" i="4"/>
  <c r="P194" i="4" s="1"/>
  <c r="P96" i="4"/>
  <c r="S128" i="4"/>
  <c r="Y105" i="4"/>
  <c r="Y104" i="4"/>
  <c r="Y108" i="4"/>
  <c r="Y201" i="4"/>
  <c r="I69" i="3"/>
  <c r="I148" i="3"/>
  <c r="I84" i="3"/>
  <c r="F22" i="4"/>
  <c r="F13" i="4"/>
  <c r="F80" i="4"/>
  <c r="F66" i="4"/>
  <c r="F42" i="4"/>
  <c r="F184" i="4"/>
  <c r="F34" i="4"/>
  <c r="F83" i="4"/>
  <c r="M104" i="4"/>
  <c r="M20" i="4"/>
  <c r="M99" i="4"/>
  <c r="M93" i="4"/>
  <c r="N92" i="4"/>
  <c r="M199" i="4"/>
  <c r="M101" i="4"/>
  <c r="M95" i="4"/>
  <c r="M108" i="4"/>
  <c r="M92" i="4"/>
  <c r="L101" i="4"/>
  <c r="L93" i="4"/>
  <c r="L20" i="4"/>
  <c r="L96" i="4"/>
  <c r="L199" i="4"/>
  <c r="L115" i="4"/>
  <c r="L95" i="4"/>
  <c r="G94" i="3"/>
  <c r="G93" i="3"/>
  <c r="G18" i="3"/>
  <c r="G95" i="3"/>
  <c r="G200" i="3"/>
  <c r="G102" i="3"/>
  <c r="G23" i="3"/>
  <c r="G109" i="3"/>
  <c r="G126" i="3"/>
  <c r="G121" i="3"/>
  <c r="G105" i="3"/>
  <c r="H93" i="3"/>
  <c r="G14" i="3"/>
  <c r="G100" i="3"/>
  <c r="G116" i="3"/>
  <c r="G113" i="3"/>
  <c r="G134" i="3"/>
  <c r="G97" i="3"/>
  <c r="G123" i="3"/>
  <c r="G130" i="3"/>
  <c r="G141" i="3"/>
  <c r="AB96" i="3"/>
  <c r="AC109" i="3"/>
  <c r="AC105" i="3"/>
  <c r="AC202" i="3"/>
  <c r="X131" i="3"/>
  <c r="X130" i="3"/>
  <c r="X140" i="3"/>
  <c r="AC206" i="3"/>
  <c r="AC125" i="3"/>
  <c r="S82" i="4"/>
  <c r="S68" i="4" s="1"/>
  <c r="S79" i="4"/>
  <c r="S189" i="4"/>
  <c r="S194" i="4" s="1"/>
  <c r="AC190" i="3"/>
  <c r="AC195" i="3" s="1"/>
  <c r="AC83" i="3"/>
  <c r="AC69" i="3" s="1"/>
  <c r="AC68" i="3"/>
  <c r="AC80" i="3"/>
  <c r="AC47" i="3"/>
  <c r="L182" i="4"/>
  <c r="L44" i="4"/>
  <c r="L34" i="4" s="1"/>
  <c r="U182" i="4"/>
  <c r="G17" i="3"/>
  <c r="G50" i="3"/>
  <c r="W206" i="4"/>
  <c r="W104" i="4"/>
  <c r="W108" i="4"/>
  <c r="W105" i="4"/>
  <c r="W201" i="4"/>
  <c r="F17" i="3"/>
  <c r="F50" i="3"/>
  <c r="F48" i="3"/>
  <c r="F164" i="3"/>
  <c r="W164" i="3" s="1"/>
  <c r="R109" i="4"/>
  <c r="R202" i="4"/>
  <c r="AC205" i="3"/>
  <c r="AC208" i="3" s="1"/>
  <c r="AC129" i="3"/>
  <c r="R46" i="4"/>
  <c r="R48" i="4"/>
  <c r="R184" i="4"/>
  <c r="R42" i="4"/>
  <c r="W205" i="3"/>
  <c r="W208" i="3" s="1"/>
  <c r="W209" i="3" s="1"/>
  <c r="W212" i="3" s="1"/>
  <c r="W215" i="3" s="1"/>
  <c r="W129" i="3"/>
  <c r="O189" i="4"/>
  <c r="O67" i="4"/>
  <c r="O66" i="4"/>
  <c r="M115" i="4"/>
  <c r="L120" i="4"/>
  <c r="R206" i="4"/>
  <c r="R138" i="4"/>
  <c r="J45" i="4"/>
  <c r="J67" i="4"/>
  <c r="J180" i="4"/>
  <c r="J49" i="4"/>
  <c r="J44" i="4"/>
  <c r="J113" i="4"/>
  <c r="J116" i="4"/>
  <c r="L122" i="4"/>
  <c r="L125" i="4"/>
  <c r="U180" i="4"/>
  <c r="U49" i="4"/>
  <c r="U44" i="4"/>
  <c r="U45" i="4"/>
  <c r="U189" i="4"/>
  <c r="U194" i="4" s="1"/>
  <c r="U79" i="4"/>
  <c r="U66" i="4"/>
  <c r="U82" i="4"/>
  <c r="U68" i="4" s="1"/>
  <c r="U67" i="4"/>
  <c r="U128" i="4"/>
  <c r="P83" i="3"/>
  <c r="P69" i="3" s="1"/>
  <c r="P193" i="3"/>
  <c r="P195" i="3" s="1"/>
  <c r="P97" i="3"/>
  <c r="P80" i="3"/>
  <c r="O79" i="4"/>
  <c r="O192" i="4"/>
  <c r="L104" i="4"/>
  <c r="L201" i="4"/>
  <c r="L108" i="4"/>
  <c r="L105" i="4"/>
  <c r="Y119" i="4"/>
  <c r="Y126" i="4"/>
  <c r="Y125" i="4"/>
  <c r="Y120" i="4"/>
  <c r="Y123" i="4"/>
  <c r="R205" i="4"/>
  <c r="R124" i="4"/>
  <c r="N182" i="4"/>
  <c r="N44" i="4"/>
  <c r="N34" i="4" s="1"/>
  <c r="N95" i="4"/>
  <c r="U138" i="4"/>
  <c r="U109" i="4"/>
  <c r="U124" i="4"/>
  <c r="U202" i="4"/>
  <c r="U208" i="4" s="1"/>
  <c r="U211" i="4" s="1"/>
  <c r="S45" i="4"/>
  <c r="S180" i="4"/>
  <c r="S49" i="4"/>
  <c r="S67" i="4"/>
  <c r="S44" i="4"/>
  <c r="S22" i="4" s="1"/>
  <c r="AB105" i="3"/>
  <c r="AB109" i="3"/>
  <c r="AB125" i="3" s="1"/>
  <c r="AB202" i="3"/>
  <c r="AB106" i="3"/>
  <c r="L110" i="3"/>
  <c r="D67" i="6" s="1"/>
  <c r="L125" i="3"/>
  <c r="L203" i="3"/>
  <c r="N128" i="4"/>
  <c r="N204" i="4"/>
  <c r="M205" i="4"/>
  <c r="M124" i="4"/>
  <c r="N206" i="4"/>
  <c r="N138" i="4"/>
  <c r="Y182" i="4"/>
  <c r="Y95" i="4"/>
  <c r="Y44" i="4"/>
  <c r="Y138" i="4"/>
  <c r="O204" i="4"/>
  <c r="O207" i="4" s="1"/>
  <c r="O208" i="4" s="1"/>
  <c r="O211" i="4" s="1"/>
  <c r="O214" i="4" s="1"/>
  <c r="O128" i="4"/>
  <c r="AG205" i="3"/>
  <c r="AG208" i="3" s="1"/>
  <c r="AG209" i="3" s="1"/>
  <c r="AG212" i="3" s="1"/>
  <c r="AG215" i="3" s="1"/>
  <c r="AG129" i="3"/>
  <c r="N205" i="4"/>
  <c r="N124" i="4"/>
  <c r="M141" i="3"/>
  <c r="M142" i="3"/>
  <c r="N47" i="3"/>
  <c r="N68" i="3"/>
  <c r="N181" i="3"/>
  <c r="N51" i="3"/>
  <c r="F106" i="6" s="1"/>
  <c r="N46" i="3"/>
  <c r="N25" i="3"/>
  <c r="P46" i="4"/>
  <c r="P13" i="4"/>
  <c r="P34" i="4"/>
  <c r="P80" i="4"/>
  <c r="P184" i="4"/>
  <c r="P22" i="4"/>
  <c r="P42" i="4"/>
  <c r="K182" i="4"/>
  <c r="K44" i="4"/>
  <c r="K34" i="4"/>
  <c r="Y116" i="4"/>
  <c r="Y115" i="4"/>
  <c r="AB206" i="3"/>
  <c r="AB208" i="3" s="1"/>
  <c r="AB129" i="3"/>
  <c r="O80" i="4"/>
  <c r="O96" i="3"/>
  <c r="O183" i="3"/>
  <c r="O46" i="3"/>
  <c r="L207" i="3"/>
  <c r="L139" i="3"/>
  <c r="Z138" i="3"/>
  <c r="Z134" i="3"/>
  <c r="Z135" i="3"/>
  <c r="L134" i="4"/>
  <c r="L137" i="4"/>
  <c r="L133" i="4"/>
  <c r="M137" i="4"/>
  <c r="M133" i="4"/>
  <c r="M134" i="4"/>
  <c r="N210" i="3"/>
  <c r="N145" i="3"/>
  <c r="N156" i="3"/>
  <c r="N161" i="3" s="1"/>
  <c r="N170" i="3"/>
  <c r="N146" i="3"/>
  <c r="S183" i="3"/>
  <c r="S96" i="3"/>
  <c r="S47" i="3"/>
  <c r="S181" i="3"/>
  <c r="S51" i="3"/>
  <c r="S68" i="3"/>
  <c r="U69" i="3"/>
  <c r="U84" i="3"/>
  <c r="U210" i="3"/>
  <c r="U145" i="3"/>
  <c r="U148" i="3"/>
  <c r="U156" i="3"/>
  <c r="U170" i="3"/>
  <c r="U147" i="3"/>
  <c r="U213" i="3" s="1"/>
  <c r="P96" i="3"/>
  <c r="P46" i="3"/>
  <c r="P183" i="3"/>
  <c r="P37" i="3"/>
  <c r="T17" i="3"/>
  <c r="T50" i="3"/>
  <c r="U141" i="3"/>
  <c r="U50" i="3"/>
  <c r="U17" i="3"/>
  <c r="U48" i="3"/>
  <c r="T67" i="4"/>
  <c r="T189" i="4"/>
  <c r="T194" i="4" s="1"/>
  <c r="T82" i="4"/>
  <c r="T79" i="4"/>
  <c r="Q141" i="3"/>
  <c r="R204" i="4"/>
  <c r="R207" i="4" s="1"/>
  <c r="R208" i="4" s="1"/>
  <c r="R211" i="4" s="1"/>
  <c r="R214" i="4" s="1"/>
  <c r="R128" i="4"/>
  <c r="Q210" i="3"/>
  <c r="Q156" i="3"/>
  <c r="Q161" i="3" s="1"/>
  <c r="Q216" i="3" s="1"/>
  <c r="Q142" i="3"/>
  <c r="Q170" i="3"/>
  <c r="Q172" i="3" s="1"/>
  <c r="Q173" i="3" s="1"/>
  <c r="Q145" i="3"/>
  <c r="Q171" i="3"/>
  <c r="I5" i="6" s="1"/>
  <c r="Q185" i="3"/>
  <c r="Q67" i="3"/>
  <c r="Q44" i="3"/>
  <c r="Q16" i="3"/>
  <c r="Q25" i="3"/>
  <c r="Q37" i="3"/>
  <c r="Q14" i="4"/>
  <c r="Q48" i="4"/>
  <c r="H142" i="3"/>
  <c r="H144" i="3"/>
  <c r="H141" i="3"/>
  <c r="AG17" i="3"/>
  <c r="AG50" i="3"/>
  <c r="AE130" i="3"/>
  <c r="AE131" i="3"/>
  <c r="AE140" i="3"/>
  <c r="O79" i="3"/>
  <c r="AA78" i="3"/>
  <c r="AA79" i="3" s="1"/>
  <c r="AG68" i="3"/>
  <c r="AG190" i="3"/>
  <c r="J183" i="3"/>
  <c r="J96" i="3"/>
  <c r="J46" i="3"/>
  <c r="N78" i="4"/>
  <c r="Y77" i="4"/>
  <c r="Y78" i="4" s="1"/>
  <c r="N79" i="3"/>
  <c r="AG78" i="3"/>
  <c r="AG79" i="3" s="1"/>
  <c r="AG83" i="3" s="1"/>
  <c r="E26" i="6"/>
  <c r="M17" i="3"/>
  <c r="M50" i="3"/>
  <c r="M48" i="3"/>
  <c r="M48" i="4"/>
  <c r="M14" i="4"/>
  <c r="M44" i="3"/>
  <c r="M185" i="3"/>
  <c r="M67" i="3"/>
  <c r="M25" i="3"/>
  <c r="M37" i="3"/>
  <c r="M16" i="3"/>
  <c r="AB185" i="3"/>
  <c r="AB37" i="3"/>
  <c r="AB16" i="3"/>
  <c r="AB48" i="3"/>
  <c r="AB84" i="3"/>
  <c r="AB67" i="3"/>
  <c r="AB25" i="3"/>
  <c r="AB81" i="3"/>
  <c r="AB44" i="3"/>
  <c r="S25" i="3"/>
  <c r="S67" i="3"/>
  <c r="S185" i="3"/>
  <c r="S16" i="3"/>
  <c r="S37" i="3"/>
  <c r="S81" i="3"/>
  <c r="S48" i="3"/>
  <c r="S84" i="3"/>
  <c r="S44" i="3"/>
  <c r="AC16" i="3"/>
  <c r="AC185" i="3"/>
  <c r="AC67" i="3"/>
  <c r="AC37" i="3"/>
  <c r="AC25" i="3"/>
  <c r="AC81" i="3"/>
  <c r="AC84" i="3"/>
  <c r="AA130" i="3"/>
  <c r="AA140" i="3"/>
  <c r="AA131" i="3"/>
  <c r="P131" i="3"/>
  <c r="P140" i="3"/>
  <c r="P130" i="3"/>
  <c r="Q205" i="4"/>
  <c r="Q207" i="4" s="1"/>
  <c r="Q208" i="4" s="1"/>
  <c r="Q211" i="4" s="1"/>
  <c r="Q214" i="4" s="1"/>
  <c r="Q124" i="4"/>
  <c r="Q128" i="4"/>
  <c r="O170" i="3"/>
  <c r="O210" i="3"/>
  <c r="O156" i="3"/>
  <c r="O161" i="3" s="1"/>
  <c r="O146" i="3"/>
  <c r="O147" i="3"/>
  <c r="O145" i="3"/>
  <c r="AC214" i="3"/>
  <c r="U159" i="3"/>
  <c r="U157" i="4"/>
  <c r="U158" i="4" s="1"/>
  <c r="M145" i="3"/>
  <c r="M156" i="3"/>
  <c r="M161" i="3" s="1"/>
  <c r="M147" i="3"/>
  <c r="M146" i="3"/>
  <c r="M210" i="3"/>
  <c r="M170" i="3"/>
  <c r="N3" i="3"/>
  <c r="M70" i="3"/>
  <c r="M72" i="3" s="1"/>
  <c r="M95" i="3"/>
  <c r="D12" i="8"/>
  <c r="E12" i="8" s="1"/>
  <c r="F12" i="8" s="1"/>
  <c r="Q28" i="7"/>
  <c r="R28" i="7" s="1"/>
  <c r="K111" i="4"/>
  <c r="K117" i="3"/>
  <c r="K114" i="3"/>
  <c r="K113" i="3"/>
  <c r="S215" i="3"/>
  <c r="D8" i="8"/>
  <c r="P207" i="4"/>
  <c r="P208" i="4" s="1"/>
  <c r="P211" i="4" s="1"/>
  <c r="P214" i="4" s="1"/>
  <c r="X50" i="3"/>
  <c r="X48" i="3"/>
  <c r="X17" i="3"/>
  <c r="G202" i="4"/>
  <c r="G208" i="4" s="1"/>
  <c r="G211" i="4" s="1"/>
  <c r="G214" i="4" s="1"/>
  <c r="G143" i="4"/>
  <c r="G124" i="4"/>
  <c r="G109" i="4"/>
  <c r="G138" i="4"/>
  <c r="M97" i="3"/>
  <c r="M80" i="3"/>
  <c r="M193" i="3"/>
  <c r="M195" i="3" s="1"/>
  <c r="M83" i="3"/>
  <c r="M148" i="3" s="1"/>
  <c r="M81" i="3"/>
  <c r="K109" i="4"/>
  <c r="K202" i="4"/>
  <c r="K138" i="4"/>
  <c r="K124" i="4"/>
  <c r="H44" i="2"/>
  <c r="H51" i="2" s="1"/>
  <c r="H53" i="2" s="1"/>
  <c r="K77" i="4"/>
  <c r="K78" i="4" s="1"/>
  <c r="K78" i="3"/>
  <c r="K79" i="3" s="1"/>
  <c r="W68" i="3"/>
  <c r="W190" i="3"/>
  <c r="W195" i="3" s="1"/>
  <c r="W83" i="3"/>
  <c r="W80" i="3"/>
  <c r="W73" i="3"/>
  <c r="W67" i="3"/>
  <c r="P139" i="4"/>
  <c r="P129" i="4"/>
  <c r="W47" i="3"/>
  <c r="G19" i="4"/>
  <c r="G72" i="4"/>
  <c r="G12" i="4"/>
  <c r="G106" i="4"/>
  <c r="G70" i="4"/>
  <c r="K72" i="4"/>
  <c r="K19" i="4"/>
  <c r="K12" i="4"/>
  <c r="K70" i="4"/>
  <c r="K106" i="4"/>
  <c r="P83" i="4"/>
  <c r="P68" i="4"/>
  <c r="S213" i="4"/>
  <c r="S214" i="4" s="1"/>
  <c r="Q8" i="7"/>
  <c r="R8" i="7" s="1"/>
  <c r="J202" i="4"/>
  <c r="J124" i="4"/>
  <c r="J109" i="4"/>
  <c r="J138" i="4"/>
  <c r="J12" i="4"/>
  <c r="J19" i="4"/>
  <c r="J106" i="4"/>
  <c r="J72" i="4"/>
  <c r="J70" i="4"/>
  <c r="F139" i="4"/>
  <c r="F129" i="4"/>
  <c r="F130" i="4"/>
  <c r="J53" i="2"/>
  <c r="L22" i="3"/>
  <c r="L107" i="3"/>
  <c r="L15" i="3"/>
  <c r="L71" i="3"/>
  <c r="L73" i="3"/>
  <c r="T213" i="4"/>
  <c r="T214" i="4" s="1"/>
  <c r="I83" i="2"/>
  <c r="I98" i="2" s="1"/>
  <c r="I100" i="2" s="1"/>
  <c r="I108" i="2" s="1"/>
  <c r="I112" i="2" s="1"/>
  <c r="E10" i="7"/>
  <c r="L112" i="3"/>
  <c r="T145" i="3"/>
  <c r="T156" i="3"/>
  <c r="T161" i="3" s="1"/>
  <c r="T170" i="3"/>
  <c r="T210" i="3"/>
  <c r="T146" i="3"/>
  <c r="T147" i="3"/>
  <c r="T213" i="3" s="1"/>
  <c r="T148" i="3"/>
  <c r="W130" i="4"/>
  <c r="W129" i="4"/>
  <c r="W139" i="4"/>
  <c r="H67" i="3"/>
  <c r="H16" i="3"/>
  <c r="H44" i="3"/>
  <c r="H81" i="3"/>
  <c r="H48" i="3"/>
  <c r="H25" i="3"/>
  <c r="H185" i="3"/>
  <c r="H84" i="3"/>
  <c r="M192" i="4"/>
  <c r="M194" i="4" s="1"/>
  <c r="M79" i="4"/>
  <c r="M96" i="4"/>
  <c r="M82" i="4"/>
  <c r="M80" i="4"/>
  <c r="Z70" i="3"/>
  <c r="Z72" i="3" s="1"/>
  <c r="Z95" i="3"/>
  <c r="D44" i="7"/>
  <c r="S156" i="3"/>
  <c r="S161" i="3" s="1"/>
  <c r="S170" i="3"/>
  <c r="S145" i="3"/>
  <c r="S148" i="3"/>
  <c r="S147" i="3"/>
  <c r="S213" i="3" s="1"/>
  <c r="S210" i="3"/>
  <c r="S146" i="3"/>
  <c r="X69" i="3"/>
  <c r="X84" i="3"/>
  <c r="W16" i="3"/>
  <c r="W84" i="3"/>
  <c r="W81" i="3"/>
  <c r="W44" i="3"/>
  <c r="W37" i="3"/>
  <c r="W185" i="3"/>
  <c r="N3" i="4" l="1"/>
  <c r="M94" i="4"/>
  <c r="M69" i="4"/>
  <c r="M71" i="4" s="1"/>
  <c r="W42" i="4"/>
  <c r="W34" i="4"/>
  <c r="W80" i="4"/>
  <c r="W46" i="4"/>
  <c r="W22" i="4"/>
  <c r="W13" i="4"/>
  <c r="W66" i="4"/>
  <c r="W184" i="4"/>
  <c r="P1" i="4"/>
  <c r="P93" i="4" s="1"/>
  <c r="O119" i="4"/>
  <c r="O134" i="4"/>
  <c r="O126" i="4"/>
  <c r="O102" i="4"/>
  <c r="O105" i="4"/>
  <c r="O113" i="4"/>
  <c r="Y134" i="4"/>
  <c r="Y102" i="4"/>
  <c r="Y113" i="4"/>
  <c r="Y93" i="4"/>
  <c r="Q48" i="3"/>
  <c r="AA48" i="3"/>
  <c r="AA50" i="3"/>
  <c r="AA17" i="3"/>
  <c r="T135" i="3"/>
  <c r="T114" i="3"/>
  <c r="U1" i="3"/>
  <c r="T127" i="3"/>
  <c r="T131" i="3"/>
  <c r="T120" i="3"/>
  <c r="T106" i="3"/>
  <c r="T103" i="3"/>
  <c r="T94" i="3"/>
  <c r="T142" i="3"/>
  <c r="O194" i="4"/>
  <c r="AE17" i="3"/>
  <c r="AE50" i="3"/>
  <c r="Q17" i="3"/>
  <c r="Q50" i="3"/>
  <c r="I12" i="4"/>
  <c r="I106" i="4"/>
  <c r="I19" i="4"/>
  <c r="I72" i="4"/>
  <c r="I70" i="4"/>
  <c r="W106" i="4"/>
  <c r="W72" i="4"/>
  <c r="W70" i="4"/>
  <c r="W19" i="4"/>
  <c r="W12" i="4"/>
  <c r="I124" i="4"/>
  <c r="I202" i="4"/>
  <c r="I208" i="4" s="1"/>
  <c r="I211" i="4" s="1"/>
  <c r="I214" i="4" s="1"/>
  <c r="I109" i="4"/>
  <c r="I138" i="4"/>
  <c r="I143" i="4"/>
  <c r="N207" i="4"/>
  <c r="N208" i="4" s="1"/>
  <c r="N211" i="4" s="1"/>
  <c r="N214" i="4" s="1"/>
  <c r="U22" i="4"/>
  <c r="U184" i="4"/>
  <c r="U42" i="4"/>
  <c r="U13" i="4"/>
  <c r="U80" i="4"/>
  <c r="U83" i="4"/>
  <c r="L46" i="4"/>
  <c r="L66" i="4"/>
  <c r="L184" i="4"/>
  <c r="L13" i="4"/>
  <c r="L42" i="4"/>
  <c r="L22" i="4"/>
  <c r="L80" i="4"/>
  <c r="L83" i="4"/>
  <c r="AC50" i="3"/>
  <c r="AC17" i="3"/>
  <c r="AC48" i="3"/>
  <c r="X144" i="3"/>
  <c r="X141" i="3"/>
  <c r="X142" i="3"/>
  <c r="AC203" i="3"/>
  <c r="AC209" i="3" s="1"/>
  <c r="AC212" i="3" s="1"/>
  <c r="AC110" i="3"/>
  <c r="AC139" i="3"/>
  <c r="M202" i="4"/>
  <c r="M109" i="4"/>
  <c r="Y202" i="4"/>
  <c r="Y109" i="4"/>
  <c r="S129" i="4"/>
  <c r="S139" i="4"/>
  <c r="Z206" i="3"/>
  <c r="Z125" i="3"/>
  <c r="K185" i="3"/>
  <c r="K37" i="3"/>
  <c r="K44" i="3"/>
  <c r="K67" i="3"/>
  <c r="K16" i="3"/>
  <c r="J131" i="3"/>
  <c r="J130" i="3"/>
  <c r="J140" i="3"/>
  <c r="X25" i="3"/>
  <c r="X185" i="3"/>
  <c r="X44" i="3"/>
  <c r="X81" i="3"/>
  <c r="X16" i="3"/>
  <c r="X67" i="3"/>
  <c r="AE185" i="3"/>
  <c r="AE48" i="3"/>
  <c r="AE81" i="3"/>
  <c r="AE16" i="3"/>
  <c r="AE84" i="3"/>
  <c r="AE67" i="3"/>
  <c r="AE44" i="3"/>
  <c r="AE25" i="3"/>
  <c r="AC215" i="3"/>
  <c r="U139" i="4"/>
  <c r="U129" i="4"/>
  <c r="U48" i="4"/>
  <c r="U14" i="4"/>
  <c r="U46" i="4"/>
  <c r="J204" i="4"/>
  <c r="J207" i="4" s="1"/>
  <c r="J208" i="4" s="1"/>
  <c r="J211" i="4" s="1"/>
  <c r="J214" i="4" s="1"/>
  <c r="J128" i="4"/>
  <c r="J13" i="4"/>
  <c r="J34" i="4"/>
  <c r="J80" i="4"/>
  <c r="J83" i="4"/>
  <c r="J66" i="4"/>
  <c r="J184" i="4"/>
  <c r="J22" i="4"/>
  <c r="J42" i="4"/>
  <c r="J14" i="4"/>
  <c r="J48" i="4"/>
  <c r="J46" i="4"/>
  <c r="W140" i="3"/>
  <c r="W131" i="3"/>
  <c r="W130" i="3"/>
  <c r="AC130" i="3"/>
  <c r="AC140" i="3"/>
  <c r="W109" i="4"/>
  <c r="W202" i="4"/>
  <c r="W208" i="4" s="1"/>
  <c r="W211" i="4" s="1"/>
  <c r="W214" i="4" s="1"/>
  <c r="W124" i="4"/>
  <c r="W138" i="4"/>
  <c r="U34" i="4"/>
  <c r="G139" i="3"/>
  <c r="G125" i="3"/>
  <c r="G144" i="3"/>
  <c r="G110" i="3"/>
  <c r="G203" i="3"/>
  <c r="G209" i="3" s="1"/>
  <c r="G212" i="3" s="1"/>
  <c r="G215" i="3" s="1"/>
  <c r="G15" i="3"/>
  <c r="G22" i="3"/>
  <c r="G71" i="3"/>
  <c r="G107" i="3"/>
  <c r="G73" i="3"/>
  <c r="L70" i="4"/>
  <c r="L72" i="4"/>
  <c r="L12" i="4"/>
  <c r="L106" i="4"/>
  <c r="L19" i="4"/>
  <c r="M12" i="4"/>
  <c r="M19" i="4"/>
  <c r="M70" i="4"/>
  <c r="M106" i="4"/>
  <c r="M72" i="4"/>
  <c r="C26" i="6"/>
  <c r="K17" i="3"/>
  <c r="K50" i="3"/>
  <c r="K48" i="3"/>
  <c r="T129" i="4"/>
  <c r="T139" i="4"/>
  <c r="T42" i="4"/>
  <c r="T22" i="4"/>
  <c r="T13" i="4"/>
  <c r="T184" i="4"/>
  <c r="T80" i="4"/>
  <c r="T34" i="4"/>
  <c r="T14" i="4"/>
  <c r="T48" i="4"/>
  <c r="T46" i="4"/>
  <c r="M42" i="4"/>
  <c r="M34" i="4"/>
  <c r="M13" i="4"/>
  <c r="M66" i="4"/>
  <c r="M46" i="4"/>
  <c r="M22" i="4"/>
  <c r="M184" i="4"/>
  <c r="H138" i="4"/>
  <c r="H109" i="4"/>
  <c r="H124" i="4"/>
  <c r="H202" i="4"/>
  <c r="H208" i="4" s="1"/>
  <c r="H211" i="4" s="1"/>
  <c r="H214" i="4" s="1"/>
  <c r="H143" i="4"/>
  <c r="H19" i="4"/>
  <c r="H72" i="4"/>
  <c r="H12" i="4"/>
  <c r="H106" i="4"/>
  <c r="H70" i="4"/>
  <c r="Z110" i="3"/>
  <c r="Z203" i="3"/>
  <c r="O96" i="4"/>
  <c r="O82" i="4"/>
  <c r="T66" i="4"/>
  <c r="Y204" i="4"/>
  <c r="Y128" i="4"/>
  <c r="K66" i="4"/>
  <c r="K22" i="4"/>
  <c r="K42" i="4"/>
  <c r="K184" i="4"/>
  <c r="K46" i="4"/>
  <c r="K13" i="4"/>
  <c r="N48" i="3"/>
  <c r="N44" i="3"/>
  <c r="N37" i="3"/>
  <c r="N16" i="3"/>
  <c r="N67" i="3"/>
  <c r="N185" i="3"/>
  <c r="F26" i="6"/>
  <c r="N17" i="3"/>
  <c r="N50" i="3"/>
  <c r="O139" i="4"/>
  <c r="O129" i="4"/>
  <c r="O130" i="4"/>
  <c r="Y42" i="4"/>
  <c r="Y13" i="4"/>
  <c r="Y184" i="4"/>
  <c r="Y34" i="4"/>
  <c r="Y22" i="4"/>
  <c r="Y66" i="4"/>
  <c r="Y46" i="4"/>
  <c r="N130" i="4"/>
  <c r="N139" i="4"/>
  <c r="N129" i="4"/>
  <c r="AB110" i="3"/>
  <c r="AB139" i="3"/>
  <c r="AB203" i="3"/>
  <c r="AB209" i="3" s="1"/>
  <c r="AB212" i="3" s="1"/>
  <c r="AB215" i="3" s="1"/>
  <c r="AB140" i="3"/>
  <c r="AB144" i="3" s="1"/>
  <c r="AB130" i="3"/>
  <c r="AB131" i="3"/>
  <c r="AG140" i="3"/>
  <c r="AG131" i="3"/>
  <c r="AG130" i="3"/>
  <c r="S42" i="4"/>
  <c r="S184" i="4"/>
  <c r="S34" i="4"/>
  <c r="S83" i="4"/>
  <c r="S13" i="4"/>
  <c r="S66" i="4"/>
  <c r="S80" i="4"/>
  <c r="S14" i="4"/>
  <c r="S48" i="4"/>
  <c r="S46" i="4"/>
  <c r="N13" i="4"/>
  <c r="N22" i="4"/>
  <c r="N46" i="4"/>
  <c r="N66" i="4"/>
  <c r="N42" i="4"/>
  <c r="N184" i="4"/>
  <c r="Y205" i="4"/>
  <c r="Y124" i="4"/>
  <c r="L202" i="4"/>
  <c r="L124" i="4"/>
  <c r="L109" i="4"/>
  <c r="N162" i="3"/>
  <c r="N164" i="3"/>
  <c r="N216" i="3"/>
  <c r="N163" i="3"/>
  <c r="O44" i="3"/>
  <c r="O67" i="3"/>
  <c r="O48" i="3"/>
  <c r="O37" i="3"/>
  <c r="O16" i="3"/>
  <c r="O185" i="3"/>
  <c r="O25" i="3"/>
  <c r="N171" i="3"/>
  <c r="F5" i="6" s="1"/>
  <c r="N172" i="3"/>
  <c r="N175" i="3" s="1"/>
  <c r="M206" i="4"/>
  <c r="M138" i="4"/>
  <c r="L206" i="4"/>
  <c r="L138" i="4"/>
  <c r="Z207" i="3"/>
  <c r="Z139" i="3"/>
  <c r="T83" i="4"/>
  <c r="T68" i="4"/>
  <c r="P16" i="3"/>
  <c r="P44" i="3"/>
  <c r="P185" i="3"/>
  <c r="P25" i="3"/>
  <c r="P81" i="3"/>
  <c r="P67" i="3"/>
  <c r="P84" i="3"/>
  <c r="P48" i="3"/>
  <c r="U171" i="3"/>
  <c r="AC171" i="3" s="1"/>
  <c r="U172" i="3"/>
  <c r="S50" i="3"/>
  <c r="S17" i="3"/>
  <c r="Q174" i="3"/>
  <c r="R139" i="4"/>
  <c r="R129" i="4"/>
  <c r="Q162" i="3"/>
  <c r="Q164" i="3"/>
  <c r="Q163" i="3"/>
  <c r="AG97" i="3"/>
  <c r="AG193" i="3"/>
  <c r="AG195" i="3" s="1"/>
  <c r="AG80" i="3"/>
  <c r="AG81" i="3"/>
  <c r="Y80" i="4"/>
  <c r="Y82" i="4"/>
  <c r="Y96" i="4"/>
  <c r="Y192" i="4"/>
  <c r="Y194" i="4" s="1"/>
  <c r="Y79" i="4"/>
  <c r="J44" i="3"/>
  <c r="J81" i="3"/>
  <c r="J25" i="3"/>
  <c r="J37" i="3"/>
  <c r="J16" i="3"/>
  <c r="J185" i="3"/>
  <c r="J67" i="3"/>
  <c r="J48" i="3"/>
  <c r="J84" i="3"/>
  <c r="AA83" i="3"/>
  <c r="AA81" i="3"/>
  <c r="AA80" i="3"/>
  <c r="AA97" i="3"/>
  <c r="AA193" i="3"/>
  <c r="AA195" i="3" s="1"/>
  <c r="AE141" i="3"/>
  <c r="AE144" i="3"/>
  <c r="AE142" i="3"/>
  <c r="H146" i="3"/>
  <c r="H170" i="3"/>
  <c r="H156" i="3"/>
  <c r="H161" i="3" s="1"/>
  <c r="H147" i="3"/>
  <c r="H145" i="3"/>
  <c r="H148" i="3"/>
  <c r="N97" i="3"/>
  <c r="N147" i="3"/>
  <c r="N81" i="3"/>
  <c r="N83" i="3"/>
  <c r="N80" i="3"/>
  <c r="N165" i="3"/>
  <c r="N193" i="3"/>
  <c r="N195" i="3" s="1"/>
  <c r="N79" i="4"/>
  <c r="N96" i="4"/>
  <c r="N80" i="4"/>
  <c r="N192" i="4"/>
  <c r="N194" i="4" s="1"/>
  <c r="N82" i="4"/>
  <c r="AG69" i="3"/>
  <c r="AG84" i="3"/>
  <c r="O81" i="3"/>
  <c r="O193" i="3"/>
  <c r="O195" i="3" s="1"/>
  <c r="O83" i="3"/>
  <c r="O80" i="3"/>
  <c r="O97" i="3"/>
  <c r="AA142" i="3"/>
  <c r="AA144" i="3"/>
  <c r="AA141" i="3"/>
  <c r="Q139" i="4"/>
  <c r="Q129" i="4"/>
  <c r="P142" i="3"/>
  <c r="P141" i="3"/>
  <c r="P144" i="3"/>
  <c r="O216" i="3"/>
  <c r="O165" i="3"/>
  <c r="O163" i="3"/>
  <c r="AA163" i="3" s="1"/>
  <c r="O162" i="3"/>
  <c r="AA162" i="3" s="1"/>
  <c r="O164" i="3"/>
  <c r="AA164" i="3" s="1"/>
  <c r="O171" i="3"/>
  <c r="O172" i="3"/>
  <c r="M68" i="4"/>
  <c r="M83" i="4"/>
  <c r="F143" i="4"/>
  <c r="F140" i="4"/>
  <c r="F141" i="4"/>
  <c r="S171" i="3"/>
  <c r="S172" i="3"/>
  <c r="Z15" i="3"/>
  <c r="Z71" i="3"/>
  <c r="Z22" i="3"/>
  <c r="Z107" i="3"/>
  <c r="Z73" i="3"/>
  <c r="W69" i="3"/>
  <c r="K192" i="4"/>
  <c r="K194" i="4" s="1"/>
  <c r="K82" i="4"/>
  <c r="K79" i="4"/>
  <c r="K80" i="4"/>
  <c r="K96" i="4"/>
  <c r="O3" i="3"/>
  <c r="N70" i="3"/>
  <c r="N72" i="3" s="1"/>
  <c r="AG3" i="3"/>
  <c r="N95" i="3"/>
  <c r="S164" i="3"/>
  <c r="AC164" i="3" s="1"/>
  <c r="S165" i="3"/>
  <c r="S162" i="3"/>
  <c r="AC162" i="3" s="1"/>
  <c r="S216" i="3"/>
  <c r="S163" i="3"/>
  <c r="AC163" i="3" s="1"/>
  <c r="L111" i="4"/>
  <c r="M111" i="4"/>
  <c r="Z112" i="3"/>
  <c r="L117" i="3"/>
  <c r="L114" i="3"/>
  <c r="L113" i="3"/>
  <c r="E8" i="8"/>
  <c r="F8" i="8" s="1"/>
  <c r="K205" i="3"/>
  <c r="K208" i="3" s="1"/>
  <c r="K209" i="3" s="1"/>
  <c r="K212" i="3" s="1"/>
  <c r="K215" i="3" s="1"/>
  <c r="K129" i="3"/>
  <c r="M171" i="3"/>
  <c r="E5" i="6" s="1"/>
  <c r="M172" i="3"/>
  <c r="T171" i="3"/>
  <c r="T172" i="3"/>
  <c r="W143" i="4"/>
  <c r="W141" i="4"/>
  <c r="W140" i="4"/>
  <c r="T162" i="3"/>
  <c r="T164" i="3"/>
  <c r="T216" i="3"/>
  <c r="T165" i="3"/>
  <c r="T163" i="3"/>
  <c r="F10" i="7"/>
  <c r="E44" i="7"/>
  <c r="P140" i="4"/>
  <c r="P143" i="4"/>
  <c r="P141" i="4"/>
  <c r="G145" i="4"/>
  <c r="G144" i="4"/>
  <c r="G155" i="4"/>
  <c r="G160" i="4" s="1"/>
  <c r="G146" i="4"/>
  <c r="G169" i="4"/>
  <c r="G147" i="4"/>
  <c r="K116" i="4"/>
  <c r="K113" i="4"/>
  <c r="K112" i="4"/>
  <c r="M15" i="3"/>
  <c r="M107" i="3"/>
  <c r="M71" i="3"/>
  <c r="M22" i="3"/>
  <c r="M73" i="3"/>
  <c r="M165" i="3"/>
  <c r="M164" i="3"/>
  <c r="M163" i="3"/>
  <c r="M216" i="3"/>
  <c r="M162" i="3"/>
  <c r="U213" i="4"/>
  <c r="U214" i="4" s="1"/>
  <c r="W48" i="3"/>
  <c r="W50" i="3"/>
  <c r="W17" i="3"/>
  <c r="K193" i="3"/>
  <c r="K195" i="3" s="1"/>
  <c r="K80" i="3"/>
  <c r="K97" i="3"/>
  <c r="K81" i="3"/>
  <c r="K83" i="3"/>
  <c r="M84" i="3"/>
  <c r="M69" i="3"/>
  <c r="U214" i="3"/>
  <c r="U215" i="3" s="1"/>
  <c r="U161" i="3"/>
  <c r="R18" i="3" l="1"/>
  <c r="R14" i="3"/>
  <c r="J214" i="6"/>
  <c r="N94" i="4"/>
  <c r="N69" i="4"/>
  <c r="N71" i="4" s="1"/>
  <c r="Y3" i="4"/>
  <c r="O3" i="4"/>
  <c r="P134" i="4"/>
  <c r="Q1" i="4"/>
  <c r="P105" i="4"/>
  <c r="P102" i="4"/>
  <c r="P126" i="4"/>
  <c r="P113" i="4"/>
  <c r="P119" i="4"/>
  <c r="P130" i="4"/>
  <c r="U14" i="3"/>
  <c r="U114" i="3"/>
  <c r="U135" i="3"/>
  <c r="S18" i="3"/>
  <c r="Q14" i="3"/>
  <c r="Q18" i="3"/>
  <c r="W18" i="3"/>
  <c r="K18" i="3"/>
  <c r="AC1" i="3"/>
  <c r="AC18" i="3" s="1"/>
  <c r="X14" i="3"/>
  <c r="U120" i="3"/>
  <c r="M14" i="3"/>
  <c r="AG14" i="3"/>
  <c r="AA18" i="3"/>
  <c r="U103" i="3"/>
  <c r="AE18" i="3"/>
  <c r="X18" i="3"/>
  <c r="AG18" i="3"/>
  <c r="K14" i="3"/>
  <c r="U18" i="3"/>
  <c r="AA14" i="3"/>
  <c r="W14" i="3"/>
  <c r="N14" i="3"/>
  <c r="U106" i="3"/>
  <c r="P18" i="3"/>
  <c r="J14" i="3"/>
  <c r="J18" i="3"/>
  <c r="AE14" i="3"/>
  <c r="O18" i="3"/>
  <c r="M18" i="3"/>
  <c r="P14" i="3"/>
  <c r="U127" i="3"/>
  <c r="AC14" i="3"/>
  <c r="N18" i="3"/>
  <c r="O14" i="3"/>
  <c r="S14" i="3"/>
  <c r="U94" i="3"/>
  <c r="AB14" i="3"/>
  <c r="T14" i="3"/>
  <c r="AB18" i="3"/>
  <c r="T18" i="3"/>
  <c r="U131" i="3"/>
  <c r="Z14" i="3"/>
  <c r="L14" i="3"/>
  <c r="U146" i="3"/>
  <c r="Z18" i="3"/>
  <c r="L18" i="3"/>
  <c r="U142" i="3"/>
  <c r="I155" i="4"/>
  <c r="I160" i="4" s="1"/>
  <c r="I147" i="4"/>
  <c r="I146" i="4"/>
  <c r="I145" i="4"/>
  <c r="I169" i="4"/>
  <c r="I144" i="4"/>
  <c r="O68" i="4"/>
  <c r="O83" i="4"/>
  <c r="T140" i="4"/>
  <c r="T143" i="4"/>
  <c r="G148" i="3"/>
  <c r="G147" i="3"/>
  <c r="G170" i="3"/>
  <c r="G145" i="3"/>
  <c r="G146" i="3"/>
  <c r="G156" i="3"/>
  <c r="G161" i="3" s="1"/>
  <c r="AC141" i="3"/>
  <c r="AC142" i="3"/>
  <c r="AC144" i="3"/>
  <c r="U140" i="4"/>
  <c r="U143" i="4"/>
  <c r="J144" i="3"/>
  <c r="J142" i="3"/>
  <c r="J141" i="3"/>
  <c r="S143" i="4"/>
  <c r="S140" i="4"/>
  <c r="X145" i="3"/>
  <c r="X170" i="3"/>
  <c r="X172" i="3" s="1"/>
  <c r="X174" i="3" s="1"/>
  <c r="X156" i="3"/>
  <c r="X161" i="3" s="1"/>
  <c r="X165" i="3" s="1"/>
  <c r="X146" i="3"/>
  <c r="X147" i="3"/>
  <c r="X148" i="3"/>
  <c r="H144" i="4"/>
  <c r="H147" i="4"/>
  <c r="H155" i="4"/>
  <c r="H160" i="4" s="1"/>
  <c r="H145" i="4"/>
  <c r="H169" i="4"/>
  <c r="H146" i="4"/>
  <c r="W141" i="3"/>
  <c r="W142" i="3"/>
  <c r="W144" i="3"/>
  <c r="J139" i="4"/>
  <c r="J130" i="4"/>
  <c r="J129" i="4"/>
  <c r="AB170" i="3"/>
  <c r="AB172" i="3" s="1"/>
  <c r="AB174" i="3" s="1"/>
  <c r="AB156" i="3"/>
  <c r="AB161" i="3" s="1"/>
  <c r="AB165" i="3" s="1"/>
  <c r="AB145" i="3"/>
  <c r="AB147" i="3"/>
  <c r="AB148" i="3"/>
  <c r="AB146" i="3"/>
  <c r="Y207" i="4"/>
  <c r="Y208" i="4" s="1"/>
  <c r="Y211" i="4" s="1"/>
  <c r="Y214" i="4" s="1"/>
  <c r="AG142" i="3"/>
  <c r="AG144" i="3"/>
  <c r="AG141" i="3"/>
  <c r="N141" i="4"/>
  <c r="N140" i="4"/>
  <c r="N143" i="4"/>
  <c r="N147" i="4" s="1"/>
  <c r="Y130" i="4"/>
  <c r="Y139" i="4"/>
  <c r="Y129" i="4"/>
  <c r="AB162" i="3"/>
  <c r="AB163" i="3"/>
  <c r="AB164" i="3"/>
  <c r="AB141" i="3"/>
  <c r="AB142" i="3"/>
  <c r="O140" i="4"/>
  <c r="O141" i="4"/>
  <c r="O143" i="4"/>
  <c r="N173" i="3"/>
  <c r="N174" i="3"/>
  <c r="U175" i="3"/>
  <c r="U173" i="3"/>
  <c r="U174" i="3"/>
  <c r="R140" i="4"/>
  <c r="R143" i="4"/>
  <c r="O69" i="3"/>
  <c r="O84" i="3"/>
  <c r="O148" i="3"/>
  <c r="N83" i="4"/>
  <c r="N68" i="4"/>
  <c r="N69" i="3"/>
  <c r="N84" i="3"/>
  <c r="N148" i="3"/>
  <c r="H171" i="3"/>
  <c r="H172" i="3"/>
  <c r="Y83" i="4"/>
  <c r="Y68" i="4"/>
  <c r="H165" i="3"/>
  <c r="H162" i="3"/>
  <c r="H164" i="3"/>
  <c r="H163" i="3"/>
  <c r="AE156" i="3"/>
  <c r="AE161" i="3" s="1"/>
  <c r="AE170" i="3"/>
  <c r="AE147" i="3"/>
  <c r="AE146" i="3"/>
  <c r="AE145" i="3"/>
  <c r="AE148" i="3"/>
  <c r="AA69" i="3"/>
  <c r="AA84" i="3"/>
  <c r="AA147" i="3"/>
  <c r="AA145" i="3"/>
  <c r="AA156" i="3"/>
  <c r="AA161" i="3" s="1"/>
  <c r="AA165" i="3" s="1"/>
  <c r="AA170" i="3"/>
  <c r="AA172" i="3" s="1"/>
  <c r="AA174" i="3" s="1"/>
  <c r="AA146" i="3"/>
  <c r="AA148" i="3"/>
  <c r="P170" i="3"/>
  <c r="P146" i="3"/>
  <c r="P147" i="3"/>
  <c r="P210" i="3"/>
  <c r="P156" i="3"/>
  <c r="P161" i="3" s="1"/>
  <c r="P145" i="3"/>
  <c r="P148" i="3"/>
  <c r="Q141" i="4"/>
  <c r="Q143" i="4"/>
  <c r="Q140" i="4"/>
  <c r="G5" i="6"/>
  <c r="AA171" i="3"/>
  <c r="O174" i="3"/>
  <c r="O175" i="3"/>
  <c r="AA175" i="3" s="1"/>
  <c r="O173" i="3"/>
  <c r="AA173" i="3" s="1"/>
  <c r="G170" i="4"/>
  <c r="G171" i="4"/>
  <c r="G10" i="7"/>
  <c r="F44" i="7"/>
  <c r="W144" i="4"/>
  <c r="W145" i="4"/>
  <c r="W169" i="4"/>
  <c r="W147" i="4"/>
  <c r="W155" i="4"/>
  <c r="W160" i="4" s="1"/>
  <c r="W146" i="4"/>
  <c r="M174" i="3"/>
  <c r="M173" i="3"/>
  <c r="M175" i="3"/>
  <c r="M113" i="4"/>
  <c r="M112" i="4"/>
  <c r="M116" i="4"/>
  <c r="O70" i="3"/>
  <c r="O72" i="3" s="1"/>
  <c r="P3" i="3"/>
  <c r="Q3" i="3" s="1"/>
  <c r="O95" i="3"/>
  <c r="AA3" i="3"/>
  <c r="U162" i="3"/>
  <c r="U164" i="3"/>
  <c r="U216" i="3"/>
  <c r="U165" i="3"/>
  <c r="U163" i="3"/>
  <c r="K84" i="3"/>
  <c r="K69" i="3"/>
  <c r="K128" i="4"/>
  <c r="K204" i="4"/>
  <c r="K207" i="4" s="1"/>
  <c r="K208" i="4" s="1"/>
  <c r="K211" i="4" s="1"/>
  <c r="K214" i="4" s="1"/>
  <c r="G162" i="4"/>
  <c r="G161" i="4"/>
  <c r="G163" i="4"/>
  <c r="G164" i="4"/>
  <c r="P144" i="4"/>
  <c r="P145" i="4"/>
  <c r="P147" i="4"/>
  <c r="P169" i="4"/>
  <c r="P146" i="4"/>
  <c r="P155" i="4"/>
  <c r="P160" i="4" s="1"/>
  <c r="T174" i="3"/>
  <c r="T173" i="3"/>
  <c r="T175" i="3"/>
  <c r="L113" i="4"/>
  <c r="L116" i="4"/>
  <c r="L112" i="4"/>
  <c r="N15" i="3"/>
  <c r="N71" i="3"/>
  <c r="N22" i="3"/>
  <c r="N73" i="3"/>
  <c r="N107" i="3"/>
  <c r="K68" i="4"/>
  <c r="K83" i="4"/>
  <c r="S175" i="3"/>
  <c r="AC175" i="3" s="1"/>
  <c r="S174" i="3"/>
  <c r="S173" i="3"/>
  <c r="AC173" i="3" s="1"/>
  <c r="F169" i="4"/>
  <c r="F147" i="4"/>
  <c r="F144" i="4"/>
  <c r="F145" i="4"/>
  <c r="F155" i="4"/>
  <c r="F160" i="4" s="1"/>
  <c r="F146" i="4"/>
  <c r="K131" i="3"/>
  <c r="K130" i="3"/>
  <c r="K140" i="3"/>
  <c r="L205" i="3"/>
  <c r="L208" i="3" s="1"/>
  <c r="L209" i="3" s="1"/>
  <c r="L212" i="3" s="1"/>
  <c r="L215" i="3" s="1"/>
  <c r="L129" i="3"/>
  <c r="AG95" i="3"/>
  <c r="AG70" i="3"/>
  <c r="AG72" i="3" s="1"/>
  <c r="Z117" i="3"/>
  <c r="Z113" i="3"/>
  <c r="Z114" i="3"/>
  <c r="AB171" i="3" l="1"/>
  <c r="J5" i="6"/>
  <c r="Q119" i="4"/>
  <c r="Q105" i="4"/>
  <c r="Q93" i="4"/>
  <c r="O94" i="4"/>
  <c r="O69" i="4"/>
  <c r="O71" i="4" s="1"/>
  <c r="P3" i="4"/>
  <c r="Y94" i="4"/>
  <c r="Y69" i="4"/>
  <c r="Y71" i="4" s="1"/>
  <c r="N70" i="4"/>
  <c r="N106" i="4"/>
  <c r="N12" i="4"/>
  <c r="N19" i="4"/>
  <c r="N72" i="4"/>
  <c r="R1" i="4"/>
  <c r="Q134" i="4"/>
  <c r="Q102" i="4"/>
  <c r="Q126" i="4"/>
  <c r="Q113" i="4"/>
  <c r="Q130" i="4"/>
  <c r="AC103" i="3"/>
  <c r="AC94" i="3"/>
  <c r="AC135" i="3"/>
  <c r="AC127" i="3"/>
  <c r="AC120" i="3"/>
  <c r="AC114" i="3"/>
  <c r="AC106" i="3"/>
  <c r="AC131" i="3"/>
  <c r="I170" i="4"/>
  <c r="I171" i="4"/>
  <c r="I163" i="4"/>
  <c r="I161" i="4"/>
  <c r="I162" i="4"/>
  <c r="I164" i="4"/>
  <c r="W156" i="3"/>
  <c r="W161" i="3" s="1"/>
  <c r="W165" i="3" s="1"/>
  <c r="W145" i="3"/>
  <c r="W146" i="3"/>
  <c r="W170" i="3"/>
  <c r="W172" i="3" s="1"/>
  <c r="W174" i="3" s="1"/>
  <c r="W147" i="3"/>
  <c r="W148" i="3"/>
  <c r="H170" i="4"/>
  <c r="H171" i="4"/>
  <c r="H162" i="4"/>
  <c r="H163" i="4"/>
  <c r="H161" i="4"/>
  <c r="H164" i="4"/>
  <c r="J148" i="3"/>
  <c r="J210" i="3"/>
  <c r="J146" i="3"/>
  <c r="J147" i="3"/>
  <c r="J145" i="3"/>
  <c r="J170" i="3"/>
  <c r="J156" i="3"/>
  <c r="J161" i="3" s="1"/>
  <c r="AC156" i="3"/>
  <c r="AC161" i="3" s="1"/>
  <c r="AC165" i="3" s="1"/>
  <c r="AC170" i="3"/>
  <c r="AC172" i="3" s="1"/>
  <c r="AC174" i="3" s="1"/>
  <c r="AC146" i="3"/>
  <c r="AC145" i="3"/>
  <c r="AC148" i="3"/>
  <c r="AC147" i="3"/>
  <c r="G172" i="3"/>
  <c r="G171" i="3"/>
  <c r="T169" i="4"/>
  <c r="T155" i="4"/>
  <c r="T160" i="4" s="1"/>
  <c r="T146" i="4"/>
  <c r="T147" i="4"/>
  <c r="T144" i="4"/>
  <c r="J141" i="4"/>
  <c r="J140" i="4"/>
  <c r="J143" i="4"/>
  <c r="S169" i="4"/>
  <c r="S147" i="4"/>
  <c r="S155" i="4"/>
  <c r="S160" i="4" s="1"/>
  <c r="S144" i="4"/>
  <c r="S146" i="4"/>
  <c r="U155" i="4"/>
  <c r="U160" i="4" s="1"/>
  <c r="U146" i="4"/>
  <c r="U169" i="4"/>
  <c r="U147" i="4"/>
  <c r="U144" i="4"/>
  <c r="G165" i="3"/>
  <c r="G163" i="3"/>
  <c r="G162" i="3"/>
  <c r="G164" i="3"/>
  <c r="O147" i="4"/>
  <c r="O144" i="4"/>
  <c r="O145" i="4"/>
  <c r="O146" i="4"/>
  <c r="O155" i="4"/>
  <c r="O160" i="4" s="1"/>
  <c r="O169" i="4"/>
  <c r="Y143" i="4"/>
  <c r="Y140" i="4"/>
  <c r="Y141" i="4"/>
  <c r="AB173" i="3"/>
  <c r="AB175" i="3"/>
  <c r="N145" i="4"/>
  <c r="N144" i="4"/>
  <c r="N169" i="4"/>
  <c r="N155" i="4"/>
  <c r="N160" i="4" s="1"/>
  <c r="N146" i="4"/>
  <c r="AG145" i="3"/>
  <c r="AG146" i="3"/>
  <c r="AG170" i="3"/>
  <c r="AG156" i="3"/>
  <c r="AG161" i="3" s="1"/>
  <c r="AG147" i="3"/>
  <c r="AG148" i="3"/>
  <c r="R147" i="4"/>
  <c r="R155" i="4"/>
  <c r="R160" i="4" s="1"/>
  <c r="R145" i="4"/>
  <c r="R144" i="4"/>
  <c r="R169" i="4"/>
  <c r="R146" i="4"/>
  <c r="AE172" i="3"/>
  <c r="AE171" i="3"/>
  <c r="H173" i="3"/>
  <c r="H174" i="3"/>
  <c r="H175" i="3"/>
  <c r="AE163" i="3"/>
  <c r="AE162" i="3"/>
  <c r="AE165" i="3"/>
  <c r="AE164" i="3"/>
  <c r="Q145" i="4"/>
  <c r="Q144" i="4"/>
  <c r="Q155" i="4"/>
  <c r="Q160" i="4" s="1"/>
  <c r="Q169" i="4"/>
  <c r="P162" i="3"/>
  <c r="P216" i="3"/>
  <c r="P165" i="3"/>
  <c r="P164" i="3"/>
  <c r="P163" i="3"/>
  <c r="P171" i="3"/>
  <c r="H5" i="6" s="1"/>
  <c r="P172" i="3"/>
  <c r="F170" i="4"/>
  <c r="F171" i="4"/>
  <c r="K142" i="3"/>
  <c r="K141" i="3"/>
  <c r="K144" i="3"/>
  <c r="W171" i="4"/>
  <c r="W170" i="4"/>
  <c r="Z205" i="3"/>
  <c r="Z208" i="3" s="1"/>
  <c r="Z209" i="3" s="1"/>
  <c r="Z212" i="3" s="1"/>
  <c r="Z215" i="3" s="1"/>
  <c r="Z129" i="3"/>
  <c r="AG107" i="3"/>
  <c r="AG73" i="3"/>
  <c r="AG22" i="3"/>
  <c r="AG71" i="3"/>
  <c r="AG15" i="3"/>
  <c r="P70" i="3"/>
  <c r="P72" i="3" s="1"/>
  <c r="P95" i="3"/>
  <c r="H10" i="7"/>
  <c r="O10" i="7" s="1"/>
  <c r="O44" i="7" s="1"/>
  <c r="G44" i="7"/>
  <c r="P162" i="4"/>
  <c r="P164" i="4"/>
  <c r="P163" i="4"/>
  <c r="P161" i="4"/>
  <c r="O22" i="3"/>
  <c r="O73" i="3"/>
  <c r="O71" i="3"/>
  <c r="O15" i="3"/>
  <c r="O107" i="3"/>
  <c r="L140" i="3"/>
  <c r="L130" i="3"/>
  <c r="L131" i="3"/>
  <c r="P170" i="4"/>
  <c r="P171" i="4"/>
  <c r="W161" i="4"/>
  <c r="W162" i="4"/>
  <c r="W164" i="4"/>
  <c r="W163" i="4"/>
  <c r="F162" i="4"/>
  <c r="F163" i="4"/>
  <c r="F164" i="4"/>
  <c r="F161" i="4"/>
  <c r="L128" i="4"/>
  <c r="L204" i="4"/>
  <c r="L207" i="4" s="1"/>
  <c r="L208" i="4" s="1"/>
  <c r="L211" i="4" s="1"/>
  <c r="L214" i="4" s="1"/>
  <c r="K139" i="4"/>
  <c r="K130" i="4"/>
  <c r="K129" i="4"/>
  <c r="AA70" i="3"/>
  <c r="AA72" i="3" s="1"/>
  <c r="AA95" i="3"/>
  <c r="M128" i="4"/>
  <c r="M204" i="4"/>
  <c r="M207" i="4" s="1"/>
  <c r="M208" i="4" s="1"/>
  <c r="M211" i="4" s="1"/>
  <c r="M214" i="4" s="1"/>
  <c r="G172" i="4"/>
  <c r="G174" i="4"/>
  <c r="G173" i="4"/>
  <c r="P94" i="4" l="1"/>
  <c r="Q3" i="4"/>
  <c r="P69" i="4"/>
  <c r="P71" i="4" s="1"/>
  <c r="O12" i="4"/>
  <c r="O72" i="4"/>
  <c r="O19" i="4"/>
  <c r="O106" i="4"/>
  <c r="O70" i="4"/>
  <c r="Y106" i="4"/>
  <c r="Y70" i="4"/>
  <c r="Y19" i="4"/>
  <c r="Y72" i="4"/>
  <c r="Y12" i="4"/>
  <c r="S1" i="4"/>
  <c r="S162" i="4" s="1"/>
  <c r="R105" i="4"/>
  <c r="R102" i="4"/>
  <c r="R134" i="4"/>
  <c r="R126" i="4"/>
  <c r="R93" i="4"/>
  <c r="R119" i="4"/>
  <c r="R113" i="4"/>
  <c r="R130" i="4"/>
  <c r="R141" i="4"/>
  <c r="I173" i="4"/>
  <c r="I174" i="4"/>
  <c r="I172" i="4"/>
  <c r="U170" i="4"/>
  <c r="J155" i="4"/>
  <c r="J160" i="4" s="1"/>
  <c r="J146" i="4"/>
  <c r="J147" i="4"/>
  <c r="J144" i="4"/>
  <c r="J145" i="4"/>
  <c r="J169" i="4"/>
  <c r="T170" i="4"/>
  <c r="G173" i="3"/>
  <c r="G175" i="3"/>
  <c r="G174" i="3"/>
  <c r="J171" i="3"/>
  <c r="B5" i="6" s="1"/>
  <c r="J172" i="3"/>
  <c r="H173" i="4"/>
  <c r="H174" i="4"/>
  <c r="H172" i="4"/>
  <c r="U161" i="4"/>
  <c r="U163" i="4"/>
  <c r="U164" i="4"/>
  <c r="S163" i="4"/>
  <c r="S161" i="4"/>
  <c r="S164" i="4"/>
  <c r="S170" i="4"/>
  <c r="S171" i="4"/>
  <c r="T161" i="4"/>
  <c r="T164" i="4"/>
  <c r="T163" i="4"/>
  <c r="J163" i="3"/>
  <c r="J162" i="3"/>
  <c r="J216" i="3"/>
  <c r="J164" i="3"/>
  <c r="J165" i="3"/>
  <c r="AG171" i="3"/>
  <c r="AG172" i="3"/>
  <c r="N162" i="4"/>
  <c r="N163" i="4"/>
  <c r="N161" i="4"/>
  <c r="N164" i="4"/>
  <c r="Y145" i="4"/>
  <c r="Y144" i="4"/>
  <c r="Y147" i="4"/>
  <c r="Y155" i="4"/>
  <c r="Y160" i="4" s="1"/>
  <c r="Y169" i="4"/>
  <c r="Y146" i="4"/>
  <c r="O170" i="4"/>
  <c r="O171" i="4"/>
  <c r="AG163" i="3"/>
  <c r="AG165" i="3"/>
  <c r="AG162" i="3"/>
  <c r="AG164" i="3"/>
  <c r="N170" i="4"/>
  <c r="N171" i="4"/>
  <c r="O164" i="4"/>
  <c r="O163" i="4"/>
  <c r="O162" i="4"/>
  <c r="O161" i="4"/>
  <c r="R161" i="4"/>
  <c r="R164" i="4"/>
  <c r="R163" i="4"/>
  <c r="R162" i="4"/>
  <c r="R171" i="4"/>
  <c r="R170" i="4"/>
  <c r="AE175" i="3"/>
  <c r="AE174" i="3"/>
  <c r="AE173" i="3"/>
  <c r="Q161" i="4"/>
  <c r="Q162" i="4"/>
  <c r="Q163" i="4"/>
  <c r="P173" i="3"/>
  <c r="P175" i="3"/>
  <c r="P174" i="3"/>
  <c r="Q171" i="4"/>
  <c r="Q173" i="4" s="1"/>
  <c r="Q170" i="4"/>
  <c r="L139" i="4"/>
  <c r="L130" i="4"/>
  <c r="L129" i="4"/>
  <c r="Z130" i="3"/>
  <c r="Z131" i="3"/>
  <c r="Z140" i="3"/>
  <c r="M129" i="4"/>
  <c r="M139" i="4"/>
  <c r="M130" i="4"/>
  <c r="P173" i="4"/>
  <c r="P174" i="4"/>
  <c r="P172" i="4"/>
  <c r="L144" i="3"/>
  <c r="L141" i="3"/>
  <c r="L142" i="3"/>
  <c r="Q70" i="3"/>
  <c r="W174" i="4"/>
  <c r="W173" i="4"/>
  <c r="W172" i="4"/>
  <c r="H44" i="7"/>
  <c r="K210" i="3"/>
  <c r="K148" i="3"/>
  <c r="K170" i="3"/>
  <c r="K156" i="3"/>
  <c r="K161" i="3" s="1"/>
  <c r="K147" i="3"/>
  <c r="K146" i="3"/>
  <c r="K145" i="3"/>
  <c r="AA15" i="3"/>
  <c r="AA71" i="3"/>
  <c r="AA107" i="3"/>
  <c r="AA22" i="3"/>
  <c r="AA73" i="3"/>
  <c r="K141" i="4"/>
  <c r="K140" i="4"/>
  <c r="K143" i="4"/>
  <c r="P71" i="3"/>
  <c r="P15" i="3"/>
  <c r="P107" i="3"/>
  <c r="P73" i="3"/>
  <c r="P22" i="3"/>
  <c r="F172" i="4"/>
  <c r="F173" i="4"/>
  <c r="F174" i="4"/>
  <c r="Q94" i="4" l="1"/>
  <c r="Q69" i="4"/>
  <c r="Q71" i="4" s="1"/>
  <c r="R3" i="4"/>
  <c r="P12" i="4"/>
  <c r="P106" i="4"/>
  <c r="P70" i="4"/>
  <c r="P19" i="4"/>
  <c r="P72" i="4"/>
  <c r="S102" i="4"/>
  <c r="S93" i="4"/>
  <c r="T1" i="4"/>
  <c r="S113" i="4"/>
  <c r="S134" i="4"/>
  <c r="S119" i="4"/>
  <c r="S126" i="4"/>
  <c r="S105" i="4"/>
  <c r="S130" i="4"/>
  <c r="S141" i="4"/>
  <c r="S145" i="4"/>
  <c r="S174" i="4"/>
  <c r="S172" i="4"/>
  <c r="S173" i="4"/>
  <c r="J170" i="4"/>
  <c r="J171" i="4"/>
  <c r="J174" i="3"/>
  <c r="J173" i="3"/>
  <c r="J175" i="3"/>
  <c r="J161" i="4"/>
  <c r="J164" i="4"/>
  <c r="J163" i="4"/>
  <c r="J162" i="4"/>
  <c r="N172" i="4"/>
  <c r="N173" i="4"/>
  <c r="N174" i="4"/>
  <c r="O173" i="4"/>
  <c r="O172" i="4"/>
  <c r="O174" i="4"/>
  <c r="Y161" i="4"/>
  <c r="Y164" i="4"/>
  <c r="Y162" i="4"/>
  <c r="Y163" i="4"/>
  <c r="AG174" i="3"/>
  <c r="AG173" i="3"/>
  <c r="AG175" i="3"/>
  <c r="Y171" i="4"/>
  <c r="Y170" i="4"/>
  <c r="R174" i="4"/>
  <c r="R173" i="4"/>
  <c r="R172" i="4"/>
  <c r="Q172" i="4"/>
  <c r="D10" i="8"/>
  <c r="E10" i="8" s="1"/>
  <c r="E27" i="8" s="1"/>
  <c r="Q10" i="7"/>
  <c r="R10" i="7" s="1"/>
  <c r="K144" i="4"/>
  <c r="K145" i="4"/>
  <c r="K146" i="4"/>
  <c r="K169" i="4"/>
  <c r="K147" i="4"/>
  <c r="K155" i="4"/>
  <c r="K160" i="4" s="1"/>
  <c r="Q22" i="3"/>
  <c r="Q15" i="3"/>
  <c r="Q107" i="3"/>
  <c r="S3" i="3"/>
  <c r="AB3" i="3"/>
  <c r="L156" i="3"/>
  <c r="L161" i="3" s="1"/>
  <c r="L145" i="3"/>
  <c r="L210" i="3"/>
  <c r="L170" i="3"/>
  <c r="L148" i="3"/>
  <c r="L147" i="3"/>
  <c r="L146" i="3"/>
  <c r="K165" i="3"/>
  <c r="K163" i="3"/>
  <c r="K164" i="3"/>
  <c r="K216" i="3"/>
  <c r="K162" i="3"/>
  <c r="M141" i="4"/>
  <c r="M140" i="4"/>
  <c r="M143" i="4"/>
  <c r="K172" i="3"/>
  <c r="K171" i="3"/>
  <c r="C5" i="6" s="1"/>
  <c r="Z144" i="3"/>
  <c r="Z142" i="3"/>
  <c r="Z141" i="3"/>
  <c r="L140" i="4"/>
  <c r="L143" i="4"/>
  <c r="L141" i="4"/>
  <c r="R94" i="4" l="1"/>
  <c r="S3" i="4"/>
  <c r="Q106" i="4"/>
  <c r="Q19" i="4"/>
  <c r="Q12" i="4"/>
  <c r="Q70" i="4"/>
  <c r="Q72" i="4"/>
  <c r="U1" i="4"/>
  <c r="T134" i="4"/>
  <c r="T105" i="4"/>
  <c r="T93" i="4"/>
  <c r="T113" i="4"/>
  <c r="T119" i="4"/>
  <c r="T126" i="4"/>
  <c r="T102" i="4"/>
  <c r="T130" i="4"/>
  <c r="T141" i="4"/>
  <c r="T145" i="4"/>
  <c r="T162" i="4"/>
  <c r="T171" i="4"/>
  <c r="J173" i="4"/>
  <c r="J174" i="4"/>
  <c r="J172" i="4"/>
  <c r="Y173" i="4"/>
  <c r="Y172" i="4"/>
  <c r="Y174" i="4"/>
  <c r="K175" i="3"/>
  <c r="K174" i="3"/>
  <c r="K173" i="3"/>
  <c r="M146" i="4"/>
  <c r="M169" i="4"/>
  <c r="M147" i="4"/>
  <c r="M144" i="4"/>
  <c r="M145" i="4"/>
  <c r="M155" i="4"/>
  <c r="M160" i="4" s="1"/>
  <c r="L171" i="3"/>
  <c r="L172" i="3"/>
  <c r="AB95" i="3"/>
  <c r="AB70" i="3"/>
  <c r="AB72" i="3" s="1"/>
  <c r="L145" i="4"/>
  <c r="L144" i="4"/>
  <c r="L169" i="4"/>
  <c r="L147" i="4"/>
  <c r="L155" i="4"/>
  <c r="L160" i="4" s="1"/>
  <c r="L146" i="4"/>
  <c r="Z156" i="3"/>
  <c r="Z161" i="3" s="1"/>
  <c r="Z165" i="3" s="1"/>
  <c r="Z148" i="3"/>
  <c r="Z145" i="3"/>
  <c r="Z147" i="3"/>
  <c r="Z170" i="3"/>
  <c r="Z172" i="3" s="1"/>
  <c r="Z174" i="3" s="1"/>
  <c r="Z146" i="3"/>
  <c r="T3" i="3"/>
  <c r="S95" i="3"/>
  <c r="S70" i="3"/>
  <c r="S72" i="3" s="1"/>
  <c r="K170" i="4"/>
  <c r="K171" i="4"/>
  <c r="D27" i="8"/>
  <c r="Q44" i="7"/>
  <c r="L164" i="3"/>
  <c r="Z164" i="3" s="1"/>
  <c r="L165" i="3"/>
  <c r="L216" i="3"/>
  <c r="L162" i="3"/>
  <c r="Z162" i="3" s="1"/>
  <c r="L163" i="3"/>
  <c r="Z163" i="3" s="1"/>
  <c r="K161" i="4"/>
  <c r="K163" i="4"/>
  <c r="K162" i="4"/>
  <c r="K164" i="4"/>
  <c r="F10" i="8"/>
  <c r="R12" i="4" l="1"/>
  <c r="R19" i="4"/>
  <c r="R72" i="4"/>
  <c r="R70" i="4"/>
  <c r="S94" i="4"/>
  <c r="T3" i="4"/>
  <c r="S69" i="4"/>
  <c r="S71" i="4" s="1"/>
  <c r="R106" i="4"/>
  <c r="T172" i="4"/>
  <c r="T173" i="4"/>
  <c r="T174" i="4"/>
  <c r="O11" i="4"/>
  <c r="S11" i="4"/>
  <c r="U134" i="4"/>
  <c r="Y11" i="4"/>
  <c r="O15" i="4"/>
  <c r="F11" i="4"/>
  <c r="P11" i="4"/>
  <c r="T11" i="4"/>
  <c r="Y15" i="4"/>
  <c r="S15" i="4"/>
  <c r="P15" i="4"/>
  <c r="U102" i="4"/>
  <c r="Q15" i="4"/>
  <c r="U105" i="4"/>
  <c r="U126" i="4"/>
  <c r="U113" i="4"/>
  <c r="T15" i="4"/>
  <c r="N11" i="4"/>
  <c r="U11" i="4"/>
  <c r="N15" i="4"/>
  <c r="V11" i="4"/>
  <c r="U93" i="4"/>
  <c r="K15" i="4"/>
  <c r="J15" i="4"/>
  <c r="U119" i="4"/>
  <c r="U15" i="4"/>
  <c r="G11" i="4"/>
  <c r="K11" i="4"/>
  <c r="J11" i="4"/>
  <c r="I11" i="4"/>
  <c r="H11" i="4"/>
  <c r="L15" i="4"/>
  <c r="W15" i="4"/>
  <c r="W11" i="4"/>
  <c r="M11" i="4"/>
  <c r="M15" i="4"/>
  <c r="L11" i="4"/>
  <c r="U130" i="4"/>
  <c r="U141" i="4"/>
  <c r="U145" i="4"/>
  <c r="U162" i="4"/>
  <c r="U171" i="4"/>
  <c r="L171" i="4"/>
  <c r="L170" i="4"/>
  <c r="S73" i="3"/>
  <c r="S107" i="3"/>
  <c r="S22" i="3"/>
  <c r="S15" i="3"/>
  <c r="S71" i="3"/>
  <c r="AB22" i="3"/>
  <c r="AB71" i="3"/>
  <c r="AB15" i="3"/>
  <c r="AB73" i="3"/>
  <c r="AB107" i="3"/>
  <c r="L173" i="3"/>
  <c r="Z173" i="3" s="1"/>
  <c r="L175" i="3"/>
  <c r="Z175" i="3" s="1"/>
  <c r="L174" i="3"/>
  <c r="K172" i="4"/>
  <c r="K173" i="4"/>
  <c r="K174" i="4"/>
  <c r="T95" i="3"/>
  <c r="T70" i="3"/>
  <c r="T72" i="3" s="1"/>
  <c r="U3" i="3"/>
  <c r="L163" i="4"/>
  <c r="L164" i="4"/>
  <c r="L161" i="4"/>
  <c r="L162" i="4"/>
  <c r="Z171" i="3"/>
  <c r="D5" i="6"/>
  <c r="M162" i="4"/>
  <c r="M163" i="4"/>
  <c r="M161" i="4"/>
  <c r="M164" i="4"/>
  <c r="M171" i="4"/>
  <c r="M170" i="4"/>
  <c r="T94" i="4" l="1"/>
  <c r="T69" i="4"/>
  <c r="T71" i="4" s="1"/>
  <c r="U3" i="4"/>
  <c r="S12" i="4"/>
  <c r="S72" i="4"/>
  <c r="S19" i="4"/>
  <c r="S70" i="4"/>
  <c r="S106" i="4"/>
  <c r="U172" i="4"/>
  <c r="U173" i="4"/>
  <c r="U174" i="4"/>
  <c r="M172" i="4"/>
  <c r="M173" i="4"/>
  <c r="M174" i="4"/>
  <c r="T107" i="3"/>
  <c r="T71" i="3"/>
  <c r="T15" i="3"/>
  <c r="T73" i="3"/>
  <c r="T22" i="3"/>
  <c r="U70" i="3"/>
  <c r="U72" i="3" s="1"/>
  <c r="AC3" i="3"/>
  <c r="U95" i="3"/>
  <c r="L172" i="4"/>
  <c r="L173" i="4"/>
  <c r="L174" i="4"/>
  <c r="U69" i="4" l="1"/>
  <c r="U71" i="4" s="1"/>
  <c r="U94" i="4"/>
  <c r="T19" i="4"/>
  <c r="T106" i="4"/>
  <c r="T12" i="4"/>
  <c r="T70" i="4"/>
  <c r="T72" i="4"/>
  <c r="U107" i="3"/>
  <c r="U73" i="3"/>
  <c r="U15" i="3"/>
  <c r="U22" i="3"/>
  <c r="U71" i="3"/>
  <c r="AC70" i="3"/>
  <c r="AC72" i="3" s="1"/>
  <c r="AC95" i="3"/>
  <c r="U72" i="4" l="1"/>
  <c r="U70" i="4"/>
  <c r="U19" i="4"/>
  <c r="U12" i="4"/>
  <c r="U106" i="4"/>
  <c r="AC71" i="3"/>
  <c r="AC22" i="3"/>
  <c r="AC15" i="3"/>
  <c r="AC73" i="3"/>
  <c r="AC107" i="3"/>
  <c r="Q77" i="4"/>
  <c r="Q78" i="4" s="1"/>
  <c r="N44" i="2"/>
  <c r="Q78" i="3"/>
  <c r="Q79" i="3" s="1"/>
  <c r="Q97" i="3" s="1"/>
  <c r="N51" i="2" l="1"/>
  <c r="N53" i="2" s="1"/>
  <c r="N54" i="2" s="1"/>
  <c r="Q96" i="4"/>
  <c r="Q174" i="4"/>
  <c r="Q192" i="4"/>
  <c r="Q194" i="4" s="1"/>
  <c r="Q164" i="4"/>
  <c r="Q146" i="4"/>
  <c r="Q79" i="4"/>
  <c r="Q80" i="4"/>
  <c r="Q82" i="4"/>
  <c r="Q83" i="3"/>
  <c r="Q147" i="3"/>
  <c r="Q175" i="3"/>
  <c r="Q193" i="3"/>
  <c r="Q195" i="3" s="1"/>
  <c r="Q165" i="3"/>
  <c r="Q81" i="3"/>
  <c r="Q80" i="3"/>
  <c r="Q147" i="4" l="1"/>
  <c r="Q83" i="4"/>
  <c r="Q68" i="4"/>
  <c r="Q84" i="3"/>
  <c r="Q148" i="3"/>
  <c r="Q69" i="3"/>
</calcChain>
</file>

<file path=xl/comments1.xml><?xml version="1.0" encoding="utf-8"?>
<comments xmlns="http://schemas.openxmlformats.org/spreadsheetml/2006/main">
  <authors>
    <author>Hernando Suarez</author>
  </authors>
  <commentList>
    <comment ref="D111" authorId="0">
      <text>
        <r>
          <rPr>
            <b/>
            <sz val="9"/>
            <color indexed="81"/>
            <rFont val="Tahoma"/>
            <family val="2"/>
          </rPr>
          <t xml:space="preserve">INCLUYE LOS GASTOS FIJOS DE LA UEN CANCUN
</t>
        </r>
      </text>
    </comment>
    <comment ref="D114" authorId="0">
      <text>
        <r>
          <rPr>
            <b/>
            <sz val="9"/>
            <color indexed="81"/>
            <rFont val="Tahoma"/>
            <family val="2"/>
          </rPr>
          <t xml:space="preserve">INCLUYE LOS GASTOS VARIABLES DE LA UEN CANCUN
</t>
        </r>
      </text>
    </comment>
  </commentList>
</comments>
</file>

<file path=xl/comments2.xml><?xml version="1.0" encoding="utf-8"?>
<comments xmlns="http://schemas.openxmlformats.org/spreadsheetml/2006/main">
  <authors>
    <author>Hernando Suarez</author>
  </authors>
  <commentList>
    <comment ref="D112" authorId="0">
      <text>
        <r>
          <rPr>
            <b/>
            <sz val="9"/>
            <color indexed="81"/>
            <rFont val="Tahoma"/>
            <family val="2"/>
          </rPr>
          <t xml:space="preserve">INCLUYE LOS GASTOS FIJOS DE LA UEN CANCUN
</t>
        </r>
      </text>
    </comment>
    <comment ref="D115" authorId="0">
      <text>
        <r>
          <rPr>
            <b/>
            <sz val="9"/>
            <color indexed="81"/>
            <rFont val="Tahoma"/>
            <family val="2"/>
          </rPr>
          <t xml:space="preserve">INCLUYE LOS GASTOS VARIABLES DE LA UEN CANCUN
</t>
        </r>
      </text>
    </comment>
  </commentList>
</comments>
</file>

<file path=xl/comments3.xml><?xml version="1.0" encoding="utf-8"?>
<comments xmlns="http://schemas.openxmlformats.org/spreadsheetml/2006/main">
  <authors>
    <author>Hernando Suarez</author>
  </authors>
  <commentList>
    <comment ref="A168" authorId="0">
      <text>
        <r>
          <rPr>
            <b/>
            <sz val="9"/>
            <color indexed="81"/>
            <rFont val="Tahoma"/>
            <family val="2"/>
          </rPr>
          <t xml:space="preserve">INCLUYE LOS GASTOS FIJOS DE LA UEN CANCUN
</t>
        </r>
      </text>
    </comment>
    <comment ref="A169" authorId="0">
      <text>
        <r>
          <rPr>
            <b/>
            <sz val="9"/>
            <color indexed="81"/>
            <rFont val="Tahoma"/>
            <family val="2"/>
          </rPr>
          <t xml:space="preserve">INCLUYE LOS GASTOS VARIABLES DE LA UEN CANCUN
</t>
        </r>
      </text>
    </comment>
  </commentList>
</comments>
</file>

<file path=xl/sharedStrings.xml><?xml version="1.0" encoding="utf-8"?>
<sst xmlns="http://schemas.openxmlformats.org/spreadsheetml/2006/main" count="742" uniqueCount="349">
  <si>
    <t>Ingresos</t>
  </si>
  <si>
    <t>Total Ingresos Operacionales</t>
  </si>
  <si>
    <t>Ingresos Operacionales</t>
  </si>
  <si>
    <t>Total costos de Ventas</t>
  </si>
  <si>
    <t>(-) Costo de Ventas</t>
  </si>
  <si>
    <t>Utilidad Bruta</t>
  </si>
  <si>
    <t>Resultado del Ejercicio</t>
  </si>
  <si>
    <t>ACTIVOS</t>
  </si>
  <si>
    <t>Total Activo Corriente</t>
  </si>
  <si>
    <t>Disponible</t>
  </si>
  <si>
    <t>Deudores</t>
  </si>
  <si>
    <t>Inventarios</t>
  </si>
  <si>
    <t>Total Activo no corriente</t>
  </si>
  <si>
    <t>Propiedad planta y equipo</t>
  </si>
  <si>
    <t>Diferidos</t>
  </si>
  <si>
    <t xml:space="preserve">Total Activo </t>
  </si>
  <si>
    <t>PASIVO Y PATRIMONIO</t>
  </si>
  <si>
    <t>Total Pasivo Corriente</t>
  </si>
  <si>
    <t>Proveedores</t>
  </si>
  <si>
    <t>Cuentas por Pagar</t>
  </si>
  <si>
    <t>Impuestos, Gravamenes y Tasas</t>
  </si>
  <si>
    <t>Total Pasivo</t>
  </si>
  <si>
    <t>Patrimonio</t>
  </si>
  <si>
    <t>Capital Social</t>
  </si>
  <si>
    <t>Resultado ejercicio anterior</t>
  </si>
  <si>
    <t>Total Patrimonio</t>
  </si>
  <si>
    <t>Total Pasivo más Patrimonio</t>
  </si>
  <si>
    <t>Obligaciones Laborales</t>
  </si>
  <si>
    <t>Margen de Contribución Bruta en %</t>
  </si>
  <si>
    <t>Utilidad Operacional</t>
  </si>
  <si>
    <t>Gastos Operacionales de Administración</t>
  </si>
  <si>
    <t>Gastos Operacionales de Ventas</t>
  </si>
  <si>
    <t>Total Gastos Operacionales (Administración+Ventas)</t>
  </si>
  <si>
    <t>Gastos No Operacionales</t>
  </si>
  <si>
    <t>Total Gastos No Operacionales</t>
  </si>
  <si>
    <t>SEPTIEMBRE</t>
  </si>
  <si>
    <t>OCTUBRE</t>
  </si>
  <si>
    <t>NOVIEMBRE</t>
  </si>
  <si>
    <t>DICIEMBRE</t>
  </si>
  <si>
    <t>Ingresos No Operacionales</t>
  </si>
  <si>
    <t>ENERO</t>
  </si>
  <si>
    <t>FEBRERO</t>
  </si>
  <si>
    <t>MARZO</t>
  </si>
  <si>
    <t>ABRIL</t>
  </si>
  <si>
    <t>MAYO</t>
  </si>
  <si>
    <t>Resultado antes de Impuestos</t>
  </si>
  <si>
    <t>Impuesto de Renta y Complementarios</t>
  </si>
  <si>
    <t>CIFRAS  PARA  APOYO</t>
  </si>
  <si>
    <t>INFORMACION 2014 CIFRAS ACUMULADAS</t>
  </si>
  <si>
    <t>2 0 1 3</t>
  </si>
  <si>
    <t>2 0 1 4</t>
  </si>
  <si>
    <t>DETALLE DE CUENTAS</t>
  </si>
  <si>
    <t>CAJA Y BANCOS</t>
  </si>
  <si>
    <t>CLIENTES</t>
  </si>
  <si>
    <t>ROTACIÓN DE CARTERA VECES AÑO</t>
  </si>
  <si>
    <t>CxC / DÍAS VENTA EN CLIENTES</t>
  </si>
  <si>
    <t>CARTERA vs ACTIVOS</t>
  </si>
  <si>
    <t>CARTERA vs CAPITAL DE TRABAJO</t>
  </si>
  <si>
    <t>CARTERA vs VENTAS NETAS AÑO</t>
  </si>
  <si>
    <t>SUB TOTAL ACTIVO CORRIENTE</t>
  </si>
  <si>
    <t>PROVISION PARA CTAS. INCOBRABLES</t>
  </si>
  <si>
    <t>INVENTARIO EN DÍAS VENTA</t>
  </si>
  <si>
    <t>INVENTARIO vs VENTAS NETAS</t>
  </si>
  <si>
    <t>TOTAL ACTIVO CORRIENTE</t>
  </si>
  <si>
    <t>ACTIVO CORRIENTE vs ACTIVO TOTAL</t>
  </si>
  <si>
    <t>TERRENOS</t>
  </si>
  <si>
    <t>EDIFICIOS Y CONSTRUCCIONES</t>
  </si>
  <si>
    <t>EQUIPO DE TRANSPORTE</t>
  </si>
  <si>
    <t>MAQUINARIA Y EQUIPO DE PRODUCCION</t>
  </si>
  <si>
    <t>MOBILIARIO Y EQUIPO DE OFICINA</t>
  </si>
  <si>
    <t>EQUIPO DE COMPUTO</t>
  </si>
  <si>
    <t>ACTIVO INTANGIBLE</t>
  </si>
  <si>
    <t>SUB TOTAL ACTIVOS FIJOS</t>
  </si>
  <si>
    <t>DEPRECIACION ACUMULADA</t>
  </si>
  <si>
    <t>TOTAL ACTIVOS FIJOS</t>
  </si>
  <si>
    <t>ACTIVO FIJO NETO vs ACTIVO TOTAL</t>
  </si>
  <si>
    <t>INVERSIONES Y ACCIONES</t>
  </si>
  <si>
    <t>IMPUESTOS POR RECUPERAR</t>
  </si>
  <si>
    <t>SEGUROS Y GASTOS ANTICIPADOS</t>
  </si>
  <si>
    <t>DEPOSITOS EN GARANTIA</t>
  </si>
  <si>
    <t>TOTAL ACTIVO DIFERIDO</t>
  </si>
  <si>
    <t>ACTIVO DIFERIDO vs ACTIVO TOTAL</t>
  </si>
  <si>
    <t>T O T A L   A C T I V O</t>
  </si>
  <si>
    <t>CAPITAL DE TRABAJO</t>
  </si>
  <si>
    <t>CAP TRABAJO vs ACTIVO TOTAL</t>
  </si>
  <si>
    <t>INDICE DE LIQUIDEZ</t>
  </si>
  <si>
    <t>PRUEBA ACIDA</t>
  </si>
  <si>
    <t>CREDITOS BANCARIOS</t>
  </si>
  <si>
    <t>PROVEEDORES</t>
  </si>
  <si>
    <t>ACREEDORES DIVERSOS</t>
  </si>
  <si>
    <t>ANTICIPO DE CLIENTES</t>
  </si>
  <si>
    <t>IMPUESTOS POR PAGAR</t>
  </si>
  <si>
    <t>PASIVO CORRIENTE</t>
  </si>
  <si>
    <t>PASIVO A LARGO PLAZO</t>
  </si>
  <si>
    <t>T O T A L   P A S I V O</t>
  </si>
  <si>
    <t>PASIVO TOTAL vs ACTIVO TOTAL (ENDEUDAM)</t>
  </si>
  <si>
    <t>PASIVO TOTAL vs ACTIVO CORRIENTE</t>
  </si>
  <si>
    <t>PASIVO FCIERO vs TOTAL ACTIVOS</t>
  </si>
  <si>
    <t>COMPRAS NETAS PROMEDIO DÍA</t>
  </si>
  <si>
    <t>RELACION VNPD / CNPD</t>
  </si>
  <si>
    <t>CxP PROVEEDORES / DÍAS COMPRA</t>
  </si>
  <si>
    <t>PASIVOS EN DÍAS VENTA</t>
  </si>
  <si>
    <t>CAPITAL SOCIAL</t>
  </si>
  <si>
    <t>UTILIDAD (PERDIDA) DEL EJERCICIO</t>
  </si>
  <si>
    <t>TOTAL  CAPITAL  CONTABLE</t>
  </si>
  <si>
    <t>CAPITAL CONTABLE vs PASIVOS</t>
  </si>
  <si>
    <t>CAPITAL CONTABLE vs ACTIVO TOTAL</t>
  </si>
  <si>
    <t>SUMA PASIVO Y CAPITAL</t>
  </si>
  <si>
    <t>VENTAS BRUTAS NACIONALES PRODUCC</t>
  </si>
  <si>
    <t>DESCUENTOS SOBRE VENTAS</t>
  </si>
  <si>
    <t>BONIFICACIONES</t>
  </si>
  <si>
    <t>V E N T A S   N E T A S</t>
  </si>
  <si>
    <t>VENTAS NETAS MES</t>
  </si>
  <si>
    <t>VENTAS NETAS PROMEDIO MES</t>
  </si>
  <si>
    <t>VENTAS NETAS PROMEDIO DÍA</t>
  </si>
  <si>
    <t>VENTAS NETAS vs ACTIVOS FIJOS</t>
  </si>
  <si>
    <t>VENTAS NETAS vs CAPITAL CONTABLE</t>
  </si>
  <si>
    <t>INFORMACIÓN  DEO  AREA DE OPERACIONES</t>
  </si>
  <si>
    <t>COSTO PRODUCTO VENDIDO</t>
  </si>
  <si>
    <t>COSTO PROD VENDIDO S/VTAS NETAS</t>
  </si>
  <si>
    <t>COSTO PRODUCTO VENDIDO  PROM MES</t>
  </si>
  <si>
    <t>CONTRIBUCION BRUTA</t>
  </si>
  <si>
    <t>CONTR BRUTA VS VENTAS NETAS</t>
  </si>
  <si>
    <t>INFORMACIÓN  DEO  AREA COMERCIAL</t>
  </si>
  <si>
    <t>GASTO FIJO DE VENTAS</t>
  </si>
  <si>
    <t>GASTO FIJO VTAS  S/VTAS NETAS</t>
  </si>
  <si>
    <t>GASTO FIJO VENTAS   PROM MES</t>
  </si>
  <si>
    <t>GASTO VARIABLE DE VENTAS</t>
  </si>
  <si>
    <t>GASTO VARIABLE VTAS  S/VTAS NETAS</t>
  </si>
  <si>
    <t>GASTO FIJO DE MERCADOTECNIA</t>
  </si>
  <si>
    <t>GASTO FIJO MERCADEO   PROM MES</t>
  </si>
  <si>
    <t>GASTO FIJO MERCADEO  S/VTAS NETAS</t>
  </si>
  <si>
    <t>GASTO VARIABLE DE MERCADOTECNIA</t>
  </si>
  <si>
    <t>GASTO VARIABLE MCDEO  S/VTAS NETAS</t>
  </si>
  <si>
    <t>GASTO TOTAL MERCADOTECNIA</t>
  </si>
  <si>
    <t>GASTO MERCADEO vs CONTR BRUTA</t>
  </si>
  <si>
    <t>GASTO MERCADEO vs VTAS NETAS</t>
  </si>
  <si>
    <t>GASTOS DE MERCADEO  PROM MES</t>
  </si>
  <si>
    <t>GASTO COMERCIALIZACION</t>
  </si>
  <si>
    <t>GASTO COMERCIALIZ S/VTAS NETAS</t>
  </si>
  <si>
    <t>GASTO COMERCIALIZACIÓN  PROM MES</t>
  </si>
  <si>
    <t>INFORMACIÓN  DEO  AREA  DE ADMINISTRACIÓN . . .   Y  RESULTADOS</t>
  </si>
  <si>
    <t>GASTO DE ADMINISTRACION</t>
  </si>
  <si>
    <t>GASTO ADMINISTRACIÓN S/VTAS NETAS</t>
  </si>
  <si>
    <t>GASTO ADMINISTRACIÓN PROM MES</t>
  </si>
  <si>
    <t>GASTOS LEGALES</t>
  </si>
  <si>
    <t>DEPRECIACIONES Y AMORTIZAC.</t>
  </si>
  <si>
    <t>GASTO INTEGRAL ADMINISTRACION</t>
  </si>
  <si>
    <t>GASTO INTEGRAL ADMON  vs  CONTR BRUTA</t>
  </si>
  <si>
    <t>TOTAL COSTO DE OPERACION</t>
  </si>
  <si>
    <t>GASTO OVERHEAD vs VTAS NETAS</t>
  </si>
  <si>
    <t>GASTO OVERHEAD  PROM MES</t>
  </si>
  <si>
    <t>UTILIDAD (PERDIDA) OPERACION</t>
  </si>
  <si>
    <t>UTILIDAD OPERATIVA S/VTAS NETAS</t>
  </si>
  <si>
    <t>UTILIDAD OPERATIVA   PROM MES</t>
  </si>
  <si>
    <t>RETORNO DE LA INVERSION ROI/UT OPE</t>
  </si>
  <si>
    <t>UTILIDAD OPERAT vs ACTIVO TOTAL</t>
  </si>
  <si>
    <t>INTERESES Y COMISIONES</t>
  </si>
  <si>
    <t>UTILIDAD VTA. DE ACTIVOS</t>
  </si>
  <si>
    <t>OTROS PRODUCTOS</t>
  </si>
  <si>
    <t>UTILIDAD (PERDIDA) ANTES DE PROVIS.</t>
  </si>
  <si>
    <t>TOTAL DE PROVISIONES</t>
  </si>
  <si>
    <t>UTILIDAD NETA S/VTAS NETAS</t>
  </si>
  <si>
    <t>UTILIDAD NETA   PROM MES</t>
  </si>
  <si>
    <t>UTILIDAD NETA / CAPITAL DE TRABAJO</t>
  </si>
  <si>
    <t>UTIL NETA / CAP CONTABLE NETO</t>
  </si>
  <si>
    <t>TOTAL FUERZA  LABORAL</t>
  </si>
  <si>
    <t>EBITDA MES ACUMULADO</t>
  </si>
  <si>
    <t>EBITDA PROYECTADO</t>
  </si>
  <si>
    <t>VALOR EMPRESA 6 VECES EBITDA</t>
  </si>
  <si>
    <t>RETORNO INVERSION ROI/EBITDA</t>
  </si>
  <si>
    <t>A C T I V O S</t>
  </si>
  <si>
    <t>P A S I V O S</t>
  </si>
  <si>
    <t>P A T R I M O N I O</t>
  </si>
  <si>
    <t>ESTADO DE RESULTADOS</t>
  </si>
  <si>
    <t>COSTO DE VENTAS</t>
  </si>
  <si>
    <t>FUERZA  LABORAL DECORARE</t>
  </si>
  <si>
    <t>INVENTARIOS</t>
  </si>
  <si>
    <t>OBLIGACIONES LABORALES</t>
  </si>
  <si>
    <t>PASIVOS ESTIMADOS Y PROVISIONES</t>
  </si>
  <si>
    <t>DECORARE SAS</t>
  </si>
  <si>
    <t>COSTO DE VTAS / VTAS NETAS</t>
  </si>
  <si>
    <t>B A L A N C E   G E N E R A L   A Ñ O   2 0 1 3</t>
  </si>
  <si>
    <t>B A L A N C E   G E N E R A L   A Ñ O   2 0 1 4</t>
  </si>
  <si>
    <t>OTROS INGRESOS</t>
  </si>
  <si>
    <t>OTROS EGRESOS</t>
  </si>
  <si>
    <t>ISR</t>
  </si>
  <si>
    <t>UTILIDAD ( PERDIDA ) NETA</t>
  </si>
  <si>
    <t>ESTADO  DE  RESULTADOS  ACUMULADOS  AÑO  2 0 1 3</t>
  </si>
  <si>
    <t>ESTADO  DE  RESULTADOS  ACUMULADOS  AÑO  2 0 1 4</t>
  </si>
  <si>
    <t>GASTOS DE ENVÍO / TRANSPORTES</t>
  </si>
  <si>
    <t>INFORMACIÓN 2013 CIF ACUM</t>
  </si>
  <si>
    <t>GASTO TOTAL VENTAS</t>
  </si>
  <si>
    <t>GASTO TRANSPORTES S/VTAS NETAS</t>
  </si>
  <si>
    <t>GASTO TRANSPORTES PROM MES</t>
  </si>
  <si>
    <t>JUNIO</t>
  </si>
  <si>
    <t>JULIO</t>
  </si>
  <si>
    <t xml:space="preserve">Pasivos Estimados y provisiones </t>
  </si>
  <si>
    <t>Otros pasivos para futuras capitalizaciones</t>
  </si>
  <si>
    <t>Clientes</t>
  </si>
  <si>
    <t>OTROS DEUDORES</t>
  </si>
  <si>
    <t>Maquinaria y Equipo</t>
  </si>
  <si>
    <t>Muebles y Enseres</t>
  </si>
  <si>
    <t>Equipo de Procesamiento de Datos</t>
  </si>
  <si>
    <t>Depreciación Acumulada</t>
  </si>
  <si>
    <t>DIFERIDOS</t>
  </si>
  <si>
    <t>OTROS PASIVOS</t>
  </si>
  <si>
    <t>Gastos de Personal</t>
  </si>
  <si>
    <t>AGOSTO</t>
  </si>
  <si>
    <t>Gastos de depreciación</t>
  </si>
  <si>
    <t>Gastos legales</t>
  </si>
  <si>
    <t>Honorarios</t>
  </si>
  <si>
    <t xml:space="preserve">Impuestos </t>
  </si>
  <si>
    <t>Arrendamiento</t>
  </si>
  <si>
    <t>Servicios</t>
  </si>
  <si>
    <t>Mantenimiento y reparaciones</t>
  </si>
  <si>
    <t>Amortizaciones</t>
  </si>
  <si>
    <t>Diversos</t>
  </si>
  <si>
    <t xml:space="preserve">Gastos de viaje </t>
  </si>
  <si>
    <t xml:space="preserve">Gastos Diversos </t>
  </si>
  <si>
    <t>Gastos de Personal Marketing (Fijos)</t>
  </si>
  <si>
    <t>Gastos de marketing Variables</t>
  </si>
  <si>
    <t xml:space="preserve">Gastos de Personal Ventas </t>
  </si>
  <si>
    <t xml:space="preserve">Comisiones </t>
  </si>
  <si>
    <t>Bonificaciones</t>
  </si>
  <si>
    <t>Comisiones Marketing</t>
  </si>
  <si>
    <t>Bonificaciones  Marketing</t>
  </si>
  <si>
    <t>Adecuacion e Instalacion</t>
  </si>
  <si>
    <t>ANTICIPOS Y AVANCES</t>
  </si>
  <si>
    <t>ANTICIPOS DE IMPUESTOS</t>
  </si>
  <si>
    <t>DEUDORES VARIOS</t>
  </si>
  <si>
    <t>CUENTAS POR COBRAR A TRABAJADORES</t>
  </si>
  <si>
    <t>PUBLICIDAD PROPAGANDA Y AVISOS</t>
  </si>
  <si>
    <t>ORGANIZACIÓN Y PREOPERATIVOS</t>
  </si>
  <si>
    <t>LICENCIAS</t>
  </si>
  <si>
    <t>GASTOS PGADOS POR ANTICIPADO</t>
  </si>
  <si>
    <t>Gastos pagados por anticipado</t>
  </si>
  <si>
    <t>Organización y preoperativos</t>
  </si>
  <si>
    <t>Licencias</t>
  </si>
  <si>
    <t>Publicidad, propaganda y avisos</t>
  </si>
  <si>
    <t>Anticipos y avances</t>
  </si>
  <si>
    <t>Anticipo de impuestos y contribuciones</t>
  </si>
  <si>
    <t>Cuentas por cobrar a trabajadores</t>
  </si>
  <si>
    <t>Deudores varios</t>
  </si>
  <si>
    <t>Servicios Varios</t>
  </si>
  <si>
    <t>Servicio de transporte</t>
  </si>
  <si>
    <t xml:space="preserve">DEUDAS DE DIFICIL COBRO TRASLADO PAGARE           </t>
  </si>
  <si>
    <t>Marketing y publicidad</t>
  </si>
  <si>
    <t>ENERO ACUMULADO</t>
  </si>
  <si>
    <t>FEBRERO ACUMULADO</t>
  </si>
  <si>
    <t>MARZO ACUMULADO</t>
  </si>
  <si>
    <t>ABRIL ACUMULADO</t>
  </si>
  <si>
    <t>MAYO  ACUMULADO</t>
  </si>
  <si>
    <t>JUNIO ACUMULADO</t>
  </si>
  <si>
    <t>JULIO  ACUMULADO</t>
  </si>
  <si>
    <t>AGOSTO  ACUMULADO</t>
  </si>
  <si>
    <t>SEPTIEMBRE ACUMULADO</t>
  </si>
  <si>
    <t>ENERO INDIVIDUAL</t>
  </si>
  <si>
    <t>Valor</t>
  </si>
  <si>
    <t>Porcentual</t>
  </si>
  <si>
    <t>Capital de Trabajo</t>
  </si>
  <si>
    <t>Capital de trabajo</t>
  </si>
  <si>
    <t>Margen de contribución</t>
  </si>
  <si>
    <t>Prueba Acida</t>
  </si>
  <si>
    <t>T</t>
  </si>
  <si>
    <t>B A L A N C E   G E N E R A L   A Ñ O   2 0 1 5</t>
  </si>
  <si>
    <t>Reserva Obligatorias</t>
  </si>
  <si>
    <t>Cuentas por Cobrar terceros</t>
  </si>
  <si>
    <t>Dedas en acuerdo de pago -Distrivalles-</t>
  </si>
  <si>
    <t>RESERVA LEGAL</t>
  </si>
  <si>
    <t>UTILIDADES O PERDIDAS ACUMULADAS</t>
  </si>
  <si>
    <t xml:space="preserve">Bonificaciones ventas </t>
  </si>
  <si>
    <t>-</t>
  </si>
  <si>
    <t>DECORARE S.A.S.</t>
  </si>
  <si>
    <t>TOTAL INGRESOS</t>
  </si>
  <si>
    <t>Salario Coord. Admin. y Financiero</t>
  </si>
  <si>
    <t>Salario Jeje Bodega/ capacitador Junior</t>
  </si>
  <si>
    <t>Salarios Responsables de Zona</t>
  </si>
  <si>
    <t xml:space="preserve">Salario Coordinador Capacitación nacional </t>
  </si>
  <si>
    <t>Salario Jefe Especificacion</t>
  </si>
  <si>
    <t>Salario Especificadora</t>
  </si>
  <si>
    <t>Salario Gerente Comercial</t>
  </si>
  <si>
    <t>Salario Responsable Comercial</t>
  </si>
  <si>
    <t xml:space="preserve">Salario Responsable tecnico </t>
  </si>
  <si>
    <t>Aux. Transporte</t>
  </si>
  <si>
    <t>Aux. Rodamiento</t>
  </si>
  <si>
    <t>Honorarios Contador Externo</t>
  </si>
  <si>
    <t>Gastos Administrativos (seguros)</t>
  </si>
  <si>
    <t>Depreciaciones</t>
  </si>
  <si>
    <t>Comisiones</t>
  </si>
  <si>
    <t>Dotacion</t>
  </si>
  <si>
    <t xml:space="preserve">Provisiones Sociales operación </t>
  </si>
  <si>
    <t xml:space="preserve">Servicio telefonia Celular </t>
  </si>
  <si>
    <t>Envío documentos</t>
  </si>
  <si>
    <t>Transporte mercancía</t>
  </si>
  <si>
    <t>Mantenimiento y Reparaciones</t>
  </si>
  <si>
    <t>Gastos de Viajes</t>
  </si>
  <si>
    <t>Gastos de Representacion</t>
  </si>
  <si>
    <t>Impuesto Industria y Cio.</t>
  </si>
  <si>
    <t>Marketing y Publicidad</t>
  </si>
  <si>
    <t>Materiales y Suministros</t>
  </si>
  <si>
    <t xml:space="preserve">Gastos de ventas </t>
  </si>
  <si>
    <t>TOTAL GASTOS OPERACIONALES</t>
  </si>
  <si>
    <t>TOTAL GASTOS NO OPERACIONALES</t>
  </si>
  <si>
    <t xml:space="preserve">IMPUESTO DE RENTA Y COMPLEMENTARIOS               </t>
  </si>
  <si>
    <t>TOTAL GASTOS POR IMPUESTOS A LAS GANANCIAS</t>
  </si>
  <si>
    <t xml:space="preserve">INDUSTRIAS MANUFACTURERAS                         </t>
  </si>
  <si>
    <t xml:space="preserve">COSTO COMERCIO AL POR MAYOR Y AL POR MENOR              </t>
  </si>
  <si>
    <t>TOTAL COSTOS DE VENTAS</t>
  </si>
  <si>
    <t>GASTOS OPERACIONALES</t>
  </si>
  <si>
    <t>CONTROL DE LA EJECUCION PRESUPUESTAL</t>
  </si>
  <si>
    <t>Ingresos No Opetracionales</t>
  </si>
  <si>
    <t>Fijo</t>
  </si>
  <si>
    <t>Variable</t>
  </si>
  <si>
    <t>Gastos de personal (totales)</t>
  </si>
  <si>
    <t xml:space="preserve">Acumulado </t>
  </si>
  <si>
    <t>CUENTA</t>
  </si>
  <si>
    <t>Tipo de gasto</t>
  </si>
  <si>
    <t>Diferencia</t>
  </si>
  <si>
    <t>Absoluto</t>
  </si>
  <si>
    <t>Relativo</t>
  </si>
  <si>
    <t>GASTOS NO OPERACIONALES</t>
  </si>
  <si>
    <t>Gastos no Operacionales</t>
  </si>
  <si>
    <t xml:space="preserve">Provisiones Sociales Administracion </t>
  </si>
  <si>
    <t xml:space="preserve">Amortizaciones </t>
  </si>
  <si>
    <t>Diferencia en $</t>
  </si>
  <si>
    <t>CONTRIBUCION BRUTA ACUMULADO</t>
  </si>
  <si>
    <t xml:space="preserve">Margen de contribución (mensual) Acumulado </t>
  </si>
  <si>
    <t>EGRESO POR INTERESES Y COMISIONES</t>
  </si>
  <si>
    <t>Diferencia en %</t>
  </si>
  <si>
    <t>Industrias Manufactureras</t>
  </si>
  <si>
    <t>Costo de Venta</t>
  </si>
  <si>
    <r>
      <t>Gastos Legales</t>
    </r>
    <r>
      <rPr>
        <b/>
        <sz val="10"/>
        <color rgb="FF002060"/>
        <rFont val="Tahoma"/>
        <family val="2"/>
      </rPr>
      <t xml:space="preserve"> </t>
    </r>
  </si>
  <si>
    <t>ESTADO  DE  RESULTADOS  ACUMULADOS  AÑO  2 0 1 5</t>
  </si>
  <si>
    <t>Ejecucion 2015</t>
  </si>
  <si>
    <t>Presupuesto 2015</t>
  </si>
  <si>
    <t>COMPARATIVO  EJECUCION AÑO 2014 vs 2015</t>
  </si>
  <si>
    <t>enero</t>
  </si>
  <si>
    <t>febrero</t>
  </si>
  <si>
    <t>marzo</t>
  </si>
  <si>
    <t>abril</t>
  </si>
  <si>
    <t>junio</t>
  </si>
  <si>
    <t xml:space="preserve">julio </t>
  </si>
  <si>
    <t>agosto</t>
  </si>
  <si>
    <t>mayo</t>
  </si>
  <si>
    <t>VENTAS NETAS MES (Variación)</t>
  </si>
  <si>
    <t>Gastos notariales</t>
  </si>
  <si>
    <t>Impuesto Industria y Comercio.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</si>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</sst>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(* #,##0.00_);_(* \(#,##0.00\);_(* &quot;-&quot;??_);_(@_)"/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(* #,##0_);_(* \(#,##0\);_(* &quot;-&quot;??_);_(@_)"/>
    <numFmt numFmtId="168" formatCode="##,##0.00_);[Red]\(##,##0.00\)"/>
    <numFmt numFmtId="169" formatCode="##,##0_);[Red]\(##,##0\)"/>
    <numFmt numFmtId="170" formatCode="[$$-240A]\ #,##0_ ;[Red]\-[$$-240A]\ #,##0\ "/>
    <numFmt numFmtId="171" formatCode="&quot;$&quot;\ #,##0\ ;\(&quot;$&quot;\ #,##0\)"/>
    <numFmt numFmtId="172" formatCode="#,##0.00_ ;[Red]\-#,##0.00\ "/>
    <numFmt numFmtId="173" formatCode="#,##0.0_ ;[Red]\-#,##0.0\ "/>
    <numFmt numFmtId="174" formatCode="#,##0\ ;\(#,##0\)"/>
    <numFmt numFmtId="175" formatCode="#,##0_ ;[Red]\-#,##0\ "/>
    <numFmt numFmtId="176" formatCode="#,##0.0"/>
    <numFmt numFmtId="177" formatCode="[$$-240A]\ #,##0.00;[Red][$$-240A]\ #,##0.00"/>
    <numFmt numFmtId="178" formatCode="0.0%"/>
    <numFmt numFmtId="179" formatCode="0.0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Verdana   "/>
    </font>
    <font>
      <b/>
      <sz val="12"/>
      <color rgb="FF002060"/>
      <name val="Tahoma"/>
      <family val="2"/>
    </font>
    <font>
      <sz val="12"/>
      <color rgb="FF002060"/>
      <name val="Tahoma"/>
      <family val="2"/>
    </font>
    <font>
      <sz val="12"/>
      <color theme="1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name val="Geneva"/>
    </font>
    <font>
      <sz val="10"/>
      <name val="Arial"/>
      <family val="2"/>
    </font>
    <font>
      <b/>
      <sz val="9"/>
      <color rgb="FF002060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sz val="10"/>
      <color indexed="8"/>
      <name val="MS Sans Serif"/>
      <family val="2"/>
    </font>
    <font>
      <sz val="8"/>
      <name val="Calibri"/>
      <family val="2"/>
      <scheme val="minor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sz val="12"/>
      <name val="Tahoma"/>
      <family val="2"/>
    </font>
    <font>
      <sz val="12"/>
      <color rgb="FFFF0000"/>
      <name val="Tahoma"/>
      <family val="2"/>
    </font>
    <font>
      <b/>
      <sz val="12"/>
      <color rgb="FFFF0000"/>
      <name val="Tahoma"/>
      <family val="2"/>
    </font>
    <font>
      <sz val="12"/>
      <color rgb="FF002060"/>
      <name val="Calibri"/>
      <family val="2"/>
      <scheme val="minor"/>
    </font>
    <font>
      <b/>
      <sz val="10"/>
      <color rgb="FF002060"/>
      <name val="Tahoma"/>
      <family val="2"/>
    </font>
    <font>
      <sz val="10"/>
      <color rgb="FF002060"/>
      <name val="Tahoma"/>
      <family val="2"/>
    </font>
    <font>
      <b/>
      <sz val="11"/>
      <color rgb="FF002060"/>
      <name val="Tahoma"/>
      <family val="2"/>
    </font>
    <font>
      <sz val="10"/>
      <color theme="0"/>
      <name val="Tahoma"/>
      <family val="2"/>
    </font>
    <font>
      <b/>
      <sz val="16"/>
      <color theme="0"/>
      <name val="Tahoma"/>
      <family val="2"/>
    </font>
    <font>
      <b/>
      <sz val="12"/>
      <color theme="0"/>
      <name val="Tahoma"/>
      <family val="2"/>
    </font>
    <font>
      <sz val="12"/>
      <color theme="0"/>
      <name val="Tahoma"/>
      <family val="2"/>
    </font>
    <font>
      <b/>
      <sz val="10"/>
      <color theme="0"/>
      <name val="Tahoma"/>
      <family val="2"/>
    </font>
    <font>
      <sz val="11"/>
      <color theme="1"/>
      <name val="Tahoma"/>
      <family val="2"/>
    </font>
    <font>
      <sz val="10"/>
      <color theme="4" tint="-0.499984740745262"/>
      <name val="Tahoma"/>
      <family val="2"/>
    </font>
    <font>
      <b/>
      <sz val="10"/>
      <color theme="4" tint="-0.499984740745262"/>
      <name val="Tahoma"/>
      <family val="2"/>
    </font>
    <font>
      <sz val="10"/>
      <color theme="1"/>
      <name val="Tahoma"/>
      <family val="2"/>
    </font>
    <font>
      <b/>
      <sz val="10"/>
      <color theme="9" tint="-0.499984740745262"/>
      <name val="Tahoma"/>
      <family val="2"/>
    </font>
    <font>
      <b/>
      <sz val="10"/>
      <color theme="6" tint="-0.499984740745262"/>
      <name val="Tahoma"/>
      <family val="2"/>
    </font>
    <font>
      <sz val="10"/>
      <color theme="9" tint="-0.499984740745262"/>
      <name val="Tahoma"/>
      <family val="2"/>
    </font>
    <font>
      <sz val="10"/>
      <color theme="6" tint="-0.499984740745262"/>
      <name val="Tahoma"/>
      <family val="2"/>
    </font>
    <font>
      <sz val="10"/>
      <color rgb="FF002060"/>
      <name val="Calibri"/>
      <family val="2"/>
      <scheme val="minor"/>
    </font>
    <font>
      <sz val="10"/>
      <color rgb="FF002060"/>
      <name val="Verdana   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8"/>
      <color rgb="FF000000"/>
      <name val="Verdana"/>
      <family val="2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thin">
        <color rgb="FFFF0000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rgb="FFFF0000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rgb="FFFF000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FF0000"/>
      </right>
      <top/>
      <bottom style="hair">
        <color auto="1"/>
      </bottom>
      <diagonal/>
    </border>
    <border>
      <left style="thin">
        <color rgb="FFFF0000"/>
      </left>
      <right/>
      <top/>
      <bottom/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auto="1"/>
      </left>
      <right/>
      <top style="thin">
        <color theme="0"/>
      </top>
      <bottom style="thin">
        <color theme="0"/>
      </bottom>
      <diagonal/>
    </border>
    <border>
      <left/>
      <right style="hair">
        <color auto="1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hair">
        <color auto="1"/>
      </bottom>
      <diagonal/>
    </border>
    <border>
      <left/>
      <right/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7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7" applyNumberFormat="0" applyAlignment="0" applyProtection="0"/>
    <xf numFmtId="0" fontId="16" fillId="9" borderId="8" applyNumberFormat="0" applyAlignment="0" applyProtection="0"/>
    <xf numFmtId="0" fontId="17" fillId="9" borderId="7" applyNumberFormat="0" applyAlignment="0" applyProtection="0"/>
    <xf numFmtId="0" fontId="18" fillId="0" borderId="9" applyNumberFormat="0" applyFill="0" applyAlignment="0" applyProtection="0"/>
    <xf numFmtId="0" fontId="19" fillId="10" borderId="10" applyNumberFormat="0" applyAlignment="0" applyProtection="0"/>
    <xf numFmtId="0" fontId="20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/>
    <xf numFmtId="0" fontId="27" fillId="0" borderId="0"/>
    <xf numFmtId="0" fontId="27" fillId="0" borderId="0"/>
    <xf numFmtId="166" fontId="2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30" fillId="0" borderId="0"/>
    <xf numFmtId="0" fontId="31" fillId="0" borderId="0"/>
    <xf numFmtId="0" fontId="1" fillId="0" borderId="0"/>
    <xf numFmtId="0" fontId="27" fillId="0" borderId="0"/>
    <xf numFmtId="0" fontId="31" fillId="0" borderId="0"/>
    <xf numFmtId="0" fontId="31" fillId="0" borderId="0"/>
    <xf numFmtId="0" fontId="27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405">
    <xf numFmtId="0" fontId="0" fillId="0" borderId="0" xfId="0"/>
    <xf numFmtId="0" fontId="2" fillId="2" borderId="0" xfId="0" applyFont="1" applyFill="1" applyBorder="1" applyAlignment="1">
      <alignment horizontal="left"/>
    </xf>
    <xf numFmtId="0" fontId="6" fillId="2" borderId="0" xfId="0" applyFont="1" applyFill="1" applyBorder="1"/>
    <xf numFmtId="0" fontId="5" fillId="2" borderId="0" xfId="0" applyFont="1" applyFill="1" applyBorder="1"/>
    <xf numFmtId="0" fontId="6" fillId="3" borderId="0" xfId="0" applyFont="1" applyFill="1" applyBorder="1"/>
    <xf numFmtId="167" fontId="6" fillId="2" borderId="0" xfId="1" applyNumberFormat="1" applyFont="1" applyFill="1" applyBorder="1"/>
    <xf numFmtId="0" fontId="5" fillId="3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9" fontId="5" fillId="2" borderId="0" xfId="2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5" fillId="2" borderId="0" xfId="0" applyFont="1" applyFill="1" applyBorder="1" applyAlignment="1"/>
    <xf numFmtId="0" fontId="6" fillId="2" borderId="0" xfId="4" applyNumberFormat="1" applyFont="1" applyFill="1" applyBorder="1"/>
    <xf numFmtId="0" fontId="5" fillId="3" borderId="0" xfId="4" applyNumberFormat="1" applyFont="1" applyFill="1" applyBorder="1"/>
    <xf numFmtId="0" fontId="6" fillId="0" borderId="0" xfId="0" applyFont="1"/>
    <xf numFmtId="0" fontId="6" fillId="2" borderId="0" xfId="0" applyFont="1" applyFill="1"/>
    <xf numFmtId="0" fontId="5" fillId="3" borderId="0" xfId="0" applyFont="1" applyFill="1"/>
    <xf numFmtId="167" fontId="5" fillId="3" borderId="2" xfId="1" applyNumberFormat="1" applyFont="1" applyFill="1" applyBorder="1"/>
    <xf numFmtId="0" fontId="5" fillId="2" borderId="0" xfId="0" applyFont="1" applyFill="1"/>
    <xf numFmtId="167" fontId="6" fillId="0" borderId="0" xfId="0" applyNumberFormat="1" applyFont="1"/>
    <xf numFmtId="167" fontId="5" fillId="3" borderId="0" xfId="1" applyNumberFormat="1" applyFont="1" applyFill="1" applyBorder="1"/>
    <xf numFmtId="167" fontId="5" fillId="2" borderId="0" xfId="1" applyNumberFormat="1" applyFont="1" applyFill="1" applyBorder="1"/>
    <xf numFmtId="167" fontId="5" fillId="2" borderId="0" xfId="1" applyNumberFormat="1" applyFont="1" applyFill="1"/>
    <xf numFmtId="168" fontId="6" fillId="0" borderId="0" xfId="4" applyNumberFormat="1" applyFont="1" applyBorder="1"/>
    <xf numFmtId="0" fontId="7" fillId="0" borderId="0" xfId="0" applyFont="1"/>
    <xf numFmtId="167" fontId="5" fillId="3" borderId="0" xfId="0" applyNumberFormat="1" applyFont="1" applyFill="1" applyBorder="1" applyAlignment="1"/>
    <xf numFmtId="167" fontId="6" fillId="2" borderId="0" xfId="0" applyNumberFormat="1" applyFont="1" applyFill="1" applyBorder="1" applyAlignment="1"/>
    <xf numFmtId="167" fontId="6" fillId="2" borderId="0" xfId="1" applyNumberFormat="1" applyFont="1" applyFill="1" applyBorder="1" applyAlignment="1"/>
    <xf numFmtId="43" fontId="5" fillId="2" borderId="0" xfId="0" applyNumberFormat="1" applyFont="1" applyFill="1" applyBorder="1" applyAlignment="1"/>
    <xf numFmtId="0" fontId="6" fillId="0" borderId="0" xfId="4" applyNumberFormat="1" applyFont="1" applyBorder="1" applyAlignment="1"/>
    <xf numFmtId="169" fontId="5" fillId="3" borderId="0" xfId="0" applyNumberFormat="1" applyFont="1" applyFill="1" applyBorder="1" applyAlignment="1"/>
    <xf numFmtId="0" fontId="6" fillId="2" borderId="0" xfId="4" applyNumberFormat="1" applyFont="1" applyFill="1" applyBorder="1" applyAlignment="1"/>
    <xf numFmtId="38" fontId="5" fillId="3" borderId="0" xfId="0" applyNumberFormat="1" applyFont="1" applyFill="1" applyBorder="1" applyAlignment="1"/>
    <xf numFmtId="169" fontId="5" fillId="2" borderId="0" xfId="0" applyNumberFormat="1" applyFont="1" applyFill="1" applyBorder="1" applyAlignment="1"/>
    <xf numFmtId="169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167" fontId="6" fillId="0" borderId="0" xfId="0" applyNumberFormat="1" applyFont="1" applyBorder="1" applyAlignment="1"/>
    <xf numFmtId="43" fontId="2" fillId="2" borderId="0" xfId="0" applyNumberFormat="1" applyFont="1" applyFill="1" applyBorder="1" applyAlignment="1"/>
    <xf numFmtId="43" fontId="6" fillId="2" borderId="0" xfId="0" applyNumberFormat="1" applyFont="1" applyFill="1"/>
    <xf numFmtId="167" fontId="6" fillId="0" borderId="0" xfId="1" applyNumberFormat="1" applyFont="1" applyFill="1" applyBorder="1"/>
    <xf numFmtId="167" fontId="6" fillId="0" borderId="0" xfId="0" applyNumberFormat="1" applyFont="1" applyBorder="1"/>
    <xf numFmtId="43" fontId="6" fillId="2" borderId="0" xfId="1" applyNumberFormat="1" applyFont="1" applyFill="1" applyBorder="1"/>
    <xf numFmtId="0" fontId="5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167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36" borderId="1" xfId="0" applyFont="1" applyFill="1" applyBorder="1" applyAlignment="1">
      <alignment horizontal="center"/>
    </xf>
    <xf numFmtId="167" fontId="5" fillId="36" borderId="3" xfId="0" applyNumberFormat="1" applyFont="1" applyFill="1" applyBorder="1" applyAlignment="1">
      <alignment horizontal="center"/>
    </xf>
    <xf numFmtId="0" fontId="5" fillId="36" borderId="3" xfId="0" applyFont="1" applyFill="1" applyBorder="1" applyAlignment="1">
      <alignment horizontal="center"/>
    </xf>
    <xf numFmtId="43" fontId="6" fillId="0" borderId="0" xfId="1" applyNumberFormat="1" applyFont="1" applyFill="1" applyBorder="1"/>
    <xf numFmtId="38" fontId="7" fillId="0" borderId="0" xfId="0" applyNumberFormat="1" applyFont="1"/>
    <xf numFmtId="167" fontId="6" fillId="4" borderId="0" xfId="1" applyNumberFormat="1" applyFont="1" applyFill="1" applyBorder="1"/>
    <xf numFmtId="167" fontId="6" fillId="4" borderId="0" xfId="1" applyNumberFormat="1" applyFont="1" applyFill="1" applyBorder="1" applyAlignment="1"/>
    <xf numFmtId="38" fontId="33" fillId="0" borderId="0" xfId="0" applyNumberFormat="1" applyFont="1"/>
    <xf numFmtId="43" fontId="34" fillId="0" borderId="0" xfId="1" applyNumberFormat="1" applyFont="1"/>
    <xf numFmtId="167" fontId="35" fillId="4" borderId="0" xfId="1" applyNumberFormat="1" applyFont="1" applyFill="1" applyBorder="1"/>
    <xf numFmtId="167" fontId="7" fillId="4" borderId="0" xfId="1" applyNumberFormat="1" applyFont="1" applyFill="1" applyBorder="1"/>
    <xf numFmtId="167" fontId="6" fillId="40" borderId="0" xfId="1" applyNumberFormat="1" applyFont="1" applyFill="1" applyBorder="1"/>
    <xf numFmtId="43" fontId="6" fillId="40" borderId="0" xfId="1" applyNumberFormat="1" applyFont="1" applyFill="1" applyBorder="1"/>
    <xf numFmtId="37" fontId="6" fillId="4" borderId="0" xfId="1" applyNumberFormat="1" applyFont="1" applyFill="1" applyBorder="1"/>
    <xf numFmtId="0" fontId="33" fillId="0" borderId="0" xfId="0" applyFont="1"/>
    <xf numFmtId="0" fontId="6" fillId="0" borderId="0" xfId="0" applyFont="1" applyFill="1" applyBorder="1" applyAlignment="1">
      <alignment horizontal="left"/>
    </xf>
    <xf numFmtId="167" fontId="6" fillId="0" borderId="0" xfId="0" applyNumberFormat="1" applyFont="1" applyFill="1" applyBorder="1" applyAlignment="1"/>
    <xf numFmtId="167" fontId="6" fillId="0" borderId="0" xfId="1" applyNumberFormat="1" applyFont="1" applyFill="1" applyBorder="1" applyAlignment="1"/>
    <xf numFmtId="167" fontId="36" fillId="2" borderId="0" xfId="1" applyNumberFormat="1" applyFont="1" applyFill="1" applyBorder="1" applyAlignment="1"/>
    <xf numFmtId="167" fontId="37" fillId="2" borderId="0" xfId="0" applyNumberFormat="1" applyFont="1" applyFill="1" applyBorder="1" applyAlignment="1"/>
    <xf numFmtId="167" fontId="7" fillId="0" borderId="0" xfId="0" applyNumberFormat="1" applyFont="1"/>
    <xf numFmtId="37" fontId="6" fillId="0" borderId="0" xfId="0" applyNumberFormat="1" applyFont="1" applyFill="1" applyBorder="1" applyAlignment="1"/>
    <xf numFmtId="167" fontId="6" fillId="0" borderId="0" xfId="1" applyNumberFormat="1" applyFont="1" applyFill="1"/>
    <xf numFmtId="37" fontId="5" fillId="3" borderId="0" xfId="0" applyNumberFormat="1" applyFont="1" applyFill="1"/>
    <xf numFmtId="169" fontId="5" fillId="3" borderId="0" xfId="0" applyNumberFormat="1" applyFont="1" applyFill="1"/>
    <xf numFmtId="0" fontId="38" fillId="0" borderId="0" xfId="0" applyNumberFormat="1" applyFont="1"/>
    <xf numFmtId="169" fontId="6" fillId="0" borderId="0" xfId="0" applyNumberFormat="1" applyFont="1"/>
    <xf numFmtId="39" fontId="6" fillId="4" borderId="0" xfId="0" applyNumberFormat="1" applyFont="1" applyFill="1"/>
    <xf numFmtId="167" fontId="6" fillId="4" borderId="0" xfId="1" applyNumberFormat="1" applyFont="1" applyFill="1"/>
    <xf numFmtId="37" fontId="6" fillId="4" borderId="0" xfId="0" applyNumberFormat="1" applyFont="1" applyFill="1"/>
    <xf numFmtId="169" fontId="6" fillId="4" borderId="0" xfId="0" applyNumberFormat="1" applyFont="1" applyFill="1"/>
    <xf numFmtId="167" fontId="5" fillId="4" borderId="0" xfId="1" applyNumberFormat="1" applyFont="1" applyFill="1" applyBorder="1"/>
    <xf numFmtId="170" fontId="6" fillId="2" borderId="21" xfId="50" applyNumberFormat="1" applyFont="1" applyFill="1" applyBorder="1" applyAlignment="1" applyProtection="1">
      <alignment vertical="center"/>
    </xf>
    <xf numFmtId="170" fontId="6" fillId="2" borderId="24" xfId="50" applyNumberFormat="1" applyFont="1" applyFill="1" applyBorder="1" applyAlignment="1" applyProtection="1">
      <alignment vertical="center"/>
    </xf>
    <xf numFmtId="3" fontId="6" fillId="0" borderId="0" xfId="0" applyNumberFormat="1" applyFont="1"/>
    <xf numFmtId="38" fontId="5" fillId="0" borderId="0" xfId="0" applyNumberFormat="1" applyFont="1"/>
    <xf numFmtId="38" fontId="6" fillId="0" borderId="0" xfId="0" applyNumberFormat="1" applyFont="1"/>
    <xf numFmtId="0" fontId="5" fillId="0" borderId="0" xfId="0" applyFont="1"/>
    <xf numFmtId="3" fontId="6" fillId="4" borderId="0" xfId="0" applyNumberFormat="1" applyFont="1" applyFill="1"/>
    <xf numFmtId="169" fontId="5" fillId="41" borderId="2" xfId="0" applyNumberFormat="1" applyFont="1" applyFill="1" applyBorder="1"/>
    <xf numFmtId="3" fontId="5" fillId="41" borderId="0" xfId="0" applyNumberFormat="1" applyFont="1" applyFill="1"/>
    <xf numFmtId="3" fontId="5" fillId="41" borderId="2" xfId="0" applyNumberFormat="1" applyFont="1" applyFill="1" applyBorder="1"/>
    <xf numFmtId="38" fontId="5" fillId="41" borderId="2" xfId="0" applyNumberFormat="1" applyFont="1" applyFill="1" applyBorder="1"/>
    <xf numFmtId="38" fontId="5" fillId="41" borderId="0" xfId="0" applyNumberFormat="1" applyFont="1" applyFill="1"/>
    <xf numFmtId="169" fontId="5" fillId="41" borderId="0" xfId="0" applyNumberFormat="1" applyFont="1" applyFill="1"/>
    <xf numFmtId="169" fontId="5" fillId="41" borderId="0" xfId="0" applyNumberFormat="1" applyFont="1" applyFill="1" applyBorder="1" applyAlignment="1"/>
    <xf numFmtId="168" fontId="5" fillId="41" borderId="0" xfId="0" applyNumberFormat="1" applyFont="1" applyFill="1"/>
    <xf numFmtId="169" fontId="5" fillId="41" borderId="37" xfId="0" applyNumberFormat="1" applyFont="1" applyFill="1" applyBorder="1"/>
    <xf numFmtId="167" fontId="5" fillId="41" borderId="2" xfId="0" applyNumberFormat="1" applyFont="1" applyFill="1" applyBorder="1"/>
    <xf numFmtId="167" fontId="6" fillId="41" borderId="0" xfId="0" applyNumberFormat="1" applyFont="1" applyFill="1"/>
    <xf numFmtId="9" fontId="5" fillId="0" borderId="0" xfId="0" applyNumberFormat="1" applyFont="1" applyAlignment="1">
      <alignment horizontal="center"/>
    </xf>
    <xf numFmtId="169" fontId="5" fillId="4" borderId="0" xfId="0" applyNumberFormat="1" applyFont="1" applyFill="1"/>
    <xf numFmtId="169" fontId="5" fillId="0" borderId="0" xfId="0" applyNumberFormat="1" applyFont="1"/>
    <xf numFmtId="167" fontId="5" fillId="4" borderId="0" xfId="1" applyNumberFormat="1" applyFont="1" applyFill="1"/>
    <xf numFmtId="39" fontId="5" fillId="4" borderId="0" xfId="0" applyNumberFormat="1" applyFont="1" applyFill="1"/>
    <xf numFmtId="37" fontId="5" fillId="4" borderId="0" xfId="1" applyNumberFormat="1" applyFont="1" applyFill="1"/>
    <xf numFmtId="3" fontId="5" fillId="4" borderId="0" xfId="0" applyNumberFormat="1" applyFont="1" applyFill="1"/>
    <xf numFmtId="38" fontId="5" fillId="4" borderId="0" xfId="0" applyNumberFormat="1" applyFont="1" applyFill="1"/>
    <xf numFmtId="169" fontId="6" fillId="0" borderId="0" xfId="0" applyNumberFormat="1" applyFont="1" applyFill="1"/>
    <xf numFmtId="170" fontId="6" fillId="2" borderId="0" xfId="50" applyNumberFormat="1" applyFont="1" applyFill="1" applyBorder="1" applyAlignment="1" applyProtection="1">
      <alignment vertical="center"/>
    </xf>
    <xf numFmtId="167" fontId="5" fillId="3" borderId="37" xfId="1" applyNumberFormat="1" applyFont="1" applyFill="1" applyBorder="1"/>
    <xf numFmtId="0" fontId="5" fillId="4" borderId="1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3" fontId="40" fillId="0" borderId="45" xfId="1" applyNumberFormat="1" applyFont="1" applyFill="1" applyBorder="1" applyAlignment="1"/>
    <xf numFmtId="167" fontId="40" fillId="0" borderId="48" xfId="1" applyNumberFormat="1" applyFont="1" applyFill="1" applyBorder="1"/>
    <xf numFmtId="167" fontId="39" fillId="0" borderId="45" xfId="1" applyNumberFormat="1" applyFont="1" applyFill="1" applyBorder="1"/>
    <xf numFmtId="167" fontId="40" fillId="0" borderId="51" xfId="1" applyNumberFormat="1" applyFont="1" applyFill="1" applyBorder="1"/>
    <xf numFmtId="0" fontId="40" fillId="0" borderId="47" xfId="0" applyFont="1" applyFill="1" applyBorder="1" applyAlignment="1">
      <alignment horizontal="left"/>
    </xf>
    <xf numFmtId="0" fontId="40" fillId="0" borderId="47" xfId="4" applyNumberFormat="1" applyFont="1" applyFill="1" applyBorder="1"/>
    <xf numFmtId="0" fontId="40" fillId="0" borderId="47" xfId="0" applyFont="1" applyFill="1" applyBorder="1"/>
    <xf numFmtId="167" fontId="39" fillId="3" borderId="43" xfId="1" applyNumberFormat="1" applyFont="1" applyFill="1" applyBorder="1" applyAlignment="1">
      <alignment horizontal="center" wrapText="1"/>
    </xf>
    <xf numFmtId="0" fontId="40" fillId="0" borderId="0" xfId="0" applyFont="1" applyFill="1" applyBorder="1" applyAlignment="1">
      <alignment horizontal="left"/>
    </xf>
    <xf numFmtId="0" fontId="40" fillId="0" borderId="0" xfId="4" applyNumberFormat="1" applyFont="1" applyFill="1" applyBorder="1"/>
    <xf numFmtId="178" fontId="40" fillId="0" borderId="0" xfId="2" applyNumberFormat="1" applyFont="1" applyFill="1" applyBorder="1" applyAlignment="1"/>
    <xf numFmtId="178" fontId="39" fillId="0" borderId="50" xfId="2" applyNumberFormat="1" applyFont="1" applyFill="1" applyBorder="1"/>
    <xf numFmtId="167" fontId="39" fillId="0" borderId="0" xfId="1" applyNumberFormat="1" applyFont="1" applyFill="1" applyBorder="1"/>
    <xf numFmtId="167" fontId="39" fillId="3" borderId="55" xfId="1" applyNumberFormat="1" applyFont="1" applyFill="1" applyBorder="1" applyAlignment="1">
      <alignment horizontal="center" wrapText="1"/>
    </xf>
    <xf numFmtId="9" fontId="39" fillId="0" borderId="0" xfId="2" applyFont="1" applyFill="1" applyBorder="1"/>
    <xf numFmtId="167" fontId="40" fillId="0" borderId="45" xfId="1" applyNumberFormat="1" applyFont="1" applyFill="1" applyBorder="1"/>
    <xf numFmtId="167" fontId="40" fillId="0" borderId="0" xfId="1" applyNumberFormat="1" applyFont="1" applyFill="1" applyBorder="1" applyAlignment="1"/>
    <xf numFmtId="3" fontId="40" fillId="0" borderId="48" xfId="1" applyNumberFormat="1" applyFont="1" applyFill="1" applyBorder="1" applyAlignment="1"/>
    <xf numFmtId="167" fontId="39" fillId="0" borderId="50" xfId="1" applyNumberFormat="1" applyFont="1" applyFill="1" applyBorder="1"/>
    <xf numFmtId="3" fontId="40" fillId="0" borderId="0" xfId="1" applyNumberFormat="1" applyFont="1" applyFill="1" applyBorder="1" applyAlignment="1"/>
    <xf numFmtId="167" fontId="40" fillId="0" borderId="0" xfId="1" applyNumberFormat="1" applyFont="1" applyFill="1" applyBorder="1"/>
    <xf numFmtId="3" fontId="40" fillId="0" borderId="0" xfId="1" applyNumberFormat="1" applyFont="1" applyFill="1" applyBorder="1"/>
    <xf numFmtId="3" fontId="40" fillId="37" borderId="0" xfId="1" applyNumberFormat="1" applyFont="1" applyFill="1" applyBorder="1" applyAlignment="1"/>
    <xf numFmtId="3" fontId="40" fillId="37" borderId="48" xfId="1" applyNumberFormat="1" applyFont="1" applyFill="1" applyBorder="1" applyAlignment="1"/>
    <xf numFmtId="178" fontId="42" fillId="0" borderId="0" xfId="2" applyNumberFormat="1" applyFont="1" applyFill="1" applyBorder="1"/>
    <xf numFmtId="0" fontId="43" fillId="38" borderId="0" xfId="0" applyFont="1" applyFill="1" applyAlignment="1">
      <alignment horizontal="left"/>
    </xf>
    <xf numFmtId="167" fontId="44" fillId="38" borderId="0" xfId="1" applyNumberFormat="1" applyFont="1" applyFill="1" applyAlignment="1"/>
    <xf numFmtId="0" fontId="45" fillId="38" borderId="0" xfId="0" applyFont="1" applyFill="1"/>
    <xf numFmtId="0" fontId="44" fillId="38" borderId="0" xfId="0" applyFont="1" applyFill="1" applyAlignment="1">
      <alignment horizontal="center"/>
    </xf>
    <xf numFmtId="0" fontId="44" fillId="38" borderId="0" xfId="0" applyFont="1" applyFill="1" applyAlignment="1">
      <alignment horizontal="left"/>
    </xf>
    <xf numFmtId="0" fontId="44" fillId="38" borderId="0" xfId="0" applyFont="1" applyFill="1"/>
    <xf numFmtId="0" fontId="47" fillId="0" borderId="0" xfId="0" applyFont="1"/>
    <xf numFmtId="0" fontId="48" fillId="0" borderId="47" xfId="0" applyNumberFormat="1" applyFont="1" applyFill="1" applyBorder="1"/>
    <xf numFmtId="0" fontId="48" fillId="0" borderId="0" xfId="0" applyNumberFormat="1" applyFont="1" applyFill="1" applyBorder="1"/>
    <xf numFmtId="0" fontId="49" fillId="0" borderId="49" xfId="0" applyNumberFormat="1" applyFont="1" applyFill="1" applyBorder="1" applyAlignment="1">
      <alignment horizontal="right"/>
    </xf>
    <xf numFmtId="0" fontId="49" fillId="0" borderId="50" xfId="0" applyNumberFormat="1" applyFont="1" applyFill="1" applyBorder="1" applyAlignment="1">
      <alignment horizontal="right"/>
    </xf>
    <xf numFmtId="0" fontId="49" fillId="0" borderId="46" xfId="0" applyNumberFormat="1" applyFont="1" applyFill="1" applyBorder="1" applyAlignment="1">
      <alignment horizontal="center"/>
    </xf>
    <xf numFmtId="0" fontId="49" fillId="0" borderId="45" xfId="0" applyNumberFormat="1" applyFont="1" applyFill="1" applyBorder="1" applyAlignment="1">
      <alignment horizontal="center"/>
    </xf>
    <xf numFmtId="0" fontId="48" fillId="0" borderId="0" xfId="0" applyNumberFormat="1" applyFont="1" applyFill="1" applyBorder="1" applyAlignment="1">
      <alignment horizontal="center"/>
    </xf>
    <xf numFmtId="0" fontId="47" fillId="0" borderId="0" xfId="0" applyFont="1" applyFill="1"/>
    <xf numFmtId="0" fontId="49" fillId="0" borderId="49" xfId="0" applyNumberFormat="1" applyFont="1" applyFill="1" applyBorder="1" applyAlignment="1">
      <alignment horizontal="left"/>
    </xf>
    <xf numFmtId="0" fontId="49" fillId="0" borderId="50" xfId="0" applyNumberFormat="1" applyFont="1" applyFill="1" applyBorder="1" applyAlignment="1">
      <alignment horizontal="left"/>
    </xf>
    <xf numFmtId="0" fontId="48" fillId="0" borderId="46" xfId="0" applyNumberFormat="1" applyFont="1" applyFill="1" applyBorder="1"/>
    <xf numFmtId="0" fontId="48" fillId="0" borderId="45" xfId="0" applyNumberFormat="1" applyFont="1" applyFill="1" applyBorder="1"/>
    <xf numFmtId="167" fontId="47" fillId="0" borderId="0" xfId="0" applyNumberFormat="1" applyFont="1"/>
    <xf numFmtId="0" fontId="50" fillId="0" borderId="0" xfId="0" applyFont="1"/>
    <xf numFmtId="17" fontId="39" fillId="42" borderId="40" xfId="1" applyNumberFormat="1" applyFont="1" applyFill="1" applyBorder="1" applyAlignment="1">
      <alignment horizontal="center"/>
    </xf>
    <xf numFmtId="9" fontId="50" fillId="0" borderId="0" xfId="0" applyNumberFormat="1" applyFont="1"/>
    <xf numFmtId="167" fontId="50" fillId="0" borderId="0" xfId="0" applyNumberFormat="1" applyFont="1"/>
    <xf numFmtId="0" fontId="28" fillId="0" borderId="47" xfId="0" applyFont="1" applyFill="1" applyBorder="1" applyAlignment="1">
      <alignment horizontal="right"/>
    </xf>
    <xf numFmtId="0" fontId="28" fillId="0" borderId="47" xfId="0" applyFont="1" applyFill="1" applyBorder="1" applyAlignment="1">
      <alignment horizontal="center"/>
    </xf>
    <xf numFmtId="0" fontId="40" fillId="2" borderId="33" xfId="50" applyFont="1" applyFill="1" applyBorder="1" applyAlignment="1" applyProtection="1">
      <alignment vertical="center"/>
    </xf>
    <xf numFmtId="0" fontId="39" fillId="37" borderId="15" xfId="50" applyFont="1" applyFill="1" applyBorder="1" applyAlignment="1" applyProtection="1">
      <alignment horizontal="center" vertical="center"/>
    </xf>
    <xf numFmtId="0" fontId="39" fillId="37" borderId="16" xfId="50" applyFont="1" applyFill="1" applyBorder="1" applyAlignment="1" applyProtection="1">
      <alignment horizontal="center" vertical="center"/>
    </xf>
    <xf numFmtId="0" fontId="39" fillId="37" borderId="14" xfId="50" applyFont="1" applyFill="1" applyBorder="1" applyAlignment="1" applyProtection="1">
      <alignment horizontal="center" vertical="center"/>
    </xf>
    <xf numFmtId="0" fontId="39" fillId="37" borderId="29" xfId="50" applyFont="1" applyFill="1" applyBorder="1" applyAlignment="1" applyProtection="1">
      <alignment horizontal="center" vertical="center"/>
    </xf>
    <xf numFmtId="0" fontId="40" fillId="2" borderId="0" xfId="50" applyFont="1" applyFill="1" applyBorder="1" applyAlignment="1" applyProtection="1">
      <alignment vertical="center"/>
    </xf>
    <xf numFmtId="0" fontId="40" fillId="2" borderId="0" xfId="50" applyFont="1" applyFill="1" applyAlignment="1" applyProtection="1">
      <alignment vertical="center"/>
    </xf>
    <xf numFmtId="0" fontId="40" fillId="2" borderId="30" xfId="50" applyFont="1" applyFill="1" applyBorder="1" applyAlignment="1" applyProtection="1">
      <alignment vertical="center"/>
    </xf>
    <xf numFmtId="0" fontId="40" fillId="2" borderId="0" xfId="50" applyFont="1" applyFill="1" applyBorder="1" applyAlignment="1" applyProtection="1">
      <alignment horizontal="center" vertical="center"/>
    </xf>
    <xf numFmtId="0" fontId="51" fillId="2" borderId="30" xfId="50" applyFont="1" applyFill="1" applyBorder="1" applyAlignment="1" applyProtection="1">
      <alignment horizontal="center" vertical="center"/>
    </xf>
    <xf numFmtId="0" fontId="40" fillId="2" borderId="19" xfId="50" applyFont="1" applyFill="1" applyBorder="1" applyAlignment="1" applyProtection="1">
      <alignment vertical="center"/>
    </xf>
    <xf numFmtId="0" fontId="40" fillId="2" borderId="20" xfId="50" applyFont="1" applyFill="1" applyBorder="1" applyAlignment="1" applyProtection="1">
      <alignment vertical="center"/>
    </xf>
    <xf numFmtId="0" fontId="51" fillId="2" borderId="0" xfId="50" applyFont="1" applyFill="1" applyBorder="1" applyAlignment="1" applyProtection="1">
      <alignment horizontal="center" vertical="center"/>
    </xf>
    <xf numFmtId="0" fontId="46" fillId="38" borderId="21" xfId="50" applyFont="1" applyFill="1" applyBorder="1" applyAlignment="1" applyProtection="1">
      <alignment horizontal="left" vertical="center" wrapText="1"/>
    </xf>
    <xf numFmtId="17" fontId="52" fillId="37" borderId="21" xfId="50" applyNumberFormat="1" applyFont="1" applyFill="1" applyBorder="1" applyAlignment="1" applyProtection="1">
      <alignment horizontal="center" vertical="center"/>
    </xf>
    <xf numFmtId="17" fontId="52" fillId="39" borderId="21" xfId="50" applyNumberFormat="1" applyFont="1" applyFill="1" applyBorder="1" applyAlignment="1" applyProtection="1">
      <alignment horizontal="center" vertical="center"/>
    </xf>
    <xf numFmtId="17" fontId="52" fillId="37" borderId="21" xfId="51" applyNumberFormat="1" applyFont="1" applyFill="1" applyBorder="1" applyAlignment="1">
      <alignment horizontal="center" vertical="center"/>
    </xf>
    <xf numFmtId="17" fontId="52" fillId="39" borderId="21" xfId="51" applyNumberFormat="1" applyFont="1" applyFill="1" applyBorder="1" applyAlignment="1">
      <alignment horizontal="center" vertical="center"/>
    </xf>
    <xf numFmtId="0" fontId="40" fillId="2" borderId="34" xfId="50" applyFont="1" applyFill="1" applyBorder="1" applyAlignment="1" applyProtection="1">
      <alignment horizontal="left" vertical="center"/>
    </xf>
    <xf numFmtId="0" fontId="51" fillId="2" borderId="35" xfId="50" applyFont="1" applyFill="1" applyBorder="1" applyAlignment="1" applyProtection="1">
      <alignment horizontal="center" vertical="center"/>
    </xf>
    <xf numFmtId="0" fontId="40" fillId="2" borderId="36" xfId="50" applyFont="1" applyFill="1" applyBorder="1" applyAlignment="1" applyProtection="1">
      <alignment vertical="center"/>
    </xf>
    <xf numFmtId="0" fontId="51" fillId="2" borderId="34" xfId="50" applyFont="1" applyFill="1" applyBorder="1" applyAlignment="1" applyProtection="1">
      <alignment horizontal="center" vertical="center"/>
    </xf>
    <xf numFmtId="0" fontId="40" fillId="2" borderId="21" xfId="50" applyFont="1" applyFill="1" applyBorder="1" applyAlignment="1" applyProtection="1">
      <alignment horizontal="left" vertical="center" wrapText="1"/>
    </xf>
    <xf numFmtId="170" fontId="40" fillId="2" borderId="21" xfId="50" applyNumberFormat="1" applyFont="1" applyFill="1" applyBorder="1" applyAlignment="1" applyProtection="1">
      <alignment vertical="center"/>
    </xf>
    <xf numFmtId="171" fontId="53" fillId="2" borderId="21" xfId="50" applyNumberFormat="1" applyFont="1" applyFill="1" applyBorder="1" applyAlignment="1" applyProtection="1">
      <alignment horizontal="left" vertical="center" wrapText="1"/>
    </xf>
    <xf numFmtId="0" fontId="53" fillId="2" borderId="30" xfId="50" applyFont="1" applyFill="1" applyBorder="1" applyAlignment="1" applyProtection="1">
      <alignment horizontal="center" vertical="center"/>
    </xf>
    <xf numFmtId="172" fontId="53" fillId="2" borderId="21" xfId="50" applyNumberFormat="1" applyFont="1" applyFill="1" applyBorder="1" applyAlignment="1" applyProtection="1">
      <alignment horizontal="center" vertical="center"/>
    </xf>
    <xf numFmtId="0" fontId="53" fillId="2" borderId="0" xfId="50" applyFont="1" applyFill="1" applyBorder="1" applyAlignment="1" applyProtection="1">
      <alignment horizontal="center" vertical="center"/>
    </xf>
    <xf numFmtId="0" fontId="53" fillId="2" borderId="0" xfId="50" applyFont="1" applyFill="1" applyAlignment="1" applyProtection="1">
      <alignment horizontal="center" vertical="center"/>
    </xf>
    <xf numFmtId="10" fontId="53" fillId="2" borderId="21" xfId="50" applyNumberFormat="1" applyFont="1" applyFill="1" applyBorder="1" applyAlignment="1" applyProtection="1">
      <alignment horizontal="center" vertical="center"/>
    </xf>
    <xf numFmtId="0" fontId="39" fillId="0" borderId="21" xfId="50" applyFont="1" applyFill="1" applyBorder="1" applyAlignment="1" applyProtection="1">
      <alignment horizontal="left" vertical="center" wrapText="1"/>
    </xf>
    <xf numFmtId="171" fontId="40" fillId="2" borderId="30" xfId="50" applyNumberFormat="1" applyFont="1" applyFill="1" applyBorder="1" applyAlignment="1" applyProtection="1">
      <alignment vertical="center"/>
    </xf>
    <xf numFmtId="170" fontId="39" fillId="2" borderId="21" xfId="50" applyNumberFormat="1" applyFont="1" applyFill="1" applyBorder="1" applyAlignment="1" applyProtection="1">
      <alignment vertical="center"/>
    </xf>
    <xf numFmtId="171" fontId="40" fillId="2" borderId="0" xfId="50" applyNumberFormat="1" applyFont="1" applyFill="1" applyBorder="1" applyAlignment="1" applyProtection="1">
      <alignment vertical="center"/>
    </xf>
    <xf numFmtId="171" fontId="40" fillId="2" borderId="0" xfId="50" applyNumberFormat="1" applyFont="1" applyFill="1" applyAlignment="1" applyProtection="1">
      <alignment vertical="center"/>
    </xf>
    <xf numFmtId="174" fontId="40" fillId="2" borderId="30" xfId="50" applyNumberFormat="1" applyFont="1" applyFill="1" applyBorder="1" applyAlignment="1" applyProtection="1">
      <alignment vertical="center"/>
    </xf>
    <xf numFmtId="174" fontId="40" fillId="2" borderId="0" xfId="50" applyNumberFormat="1" applyFont="1" applyFill="1" applyAlignment="1" applyProtection="1">
      <alignment vertical="center"/>
    </xf>
    <xf numFmtId="0" fontId="39" fillId="2" borderId="21" xfId="50" applyFont="1" applyFill="1" applyBorder="1" applyAlignment="1" applyProtection="1">
      <alignment horizontal="left" vertical="center" wrapText="1"/>
    </xf>
    <xf numFmtId="174" fontId="40" fillId="2" borderId="0" xfId="50" applyNumberFormat="1" applyFont="1" applyFill="1" applyBorder="1" applyAlignment="1" applyProtection="1">
      <alignment vertical="center"/>
    </xf>
    <xf numFmtId="171" fontId="51" fillId="2" borderId="21" xfId="50" applyNumberFormat="1" applyFont="1" applyFill="1" applyBorder="1" applyAlignment="1" applyProtection="1">
      <alignment horizontal="left" vertical="center" wrapText="1"/>
    </xf>
    <xf numFmtId="170" fontId="51" fillId="2" borderId="24" xfId="50" applyNumberFormat="1" applyFont="1" applyFill="1" applyBorder="1" applyAlignment="1" applyProtection="1">
      <alignment horizontal="center" vertical="center"/>
    </xf>
    <xf numFmtId="10" fontId="53" fillId="2" borderId="25" xfId="50" applyNumberFormat="1" applyFont="1" applyFill="1" applyBorder="1" applyAlignment="1" applyProtection="1">
      <alignment horizontal="center" vertical="center"/>
    </xf>
    <xf numFmtId="0" fontId="51" fillId="2" borderId="0" xfId="50" applyFont="1" applyFill="1" applyBorder="1" applyAlignment="1" applyProtection="1">
      <alignment horizontal="left" vertical="center"/>
    </xf>
    <xf numFmtId="0" fontId="46" fillId="38" borderId="24" xfId="50" applyFont="1" applyFill="1" applyBorder="1" applyAlignment="1" applyProtection="1">
      <alignment horizontal="left" vertical="center" wrapText="1"/>
    </xf>
    <xf numFmtId="0" fontId="40" fillId="2" borderId="23" xfId="50" applyFont="1" applyFill="1" applyBorder="1" applyAlignment="1" applyProtection="1">
      <alignment vertical="center"/>
    </xf>
    <xf numFmtId="0" fontId="53" fillId="2" borderId="0" xfId="50" applyFont="1" applyFill="1" applyAlignment="1" applyProtection="1">
      <alignment vertical="center"/>
    </xf>
    <xf numFmtId="171" fontId="53" fillId="0" borderId="21" xfId="50" applyNumberFormat="1" applyFont="1" applyBorder="1" applyAlignment="1" applyProtection="1">
      <alignment horizontal="left" vertical="center" wrapText="1"/>
    </xf>
    <xf numFmtId="0" fontId="53" fillId="2" borderId="30" xfId="50" applyFont="1" applyFill="1" applyBorder="1" applyAlignment="1" applyProtection="1">
      <alignment vertical="center"/>
    </xf>
    <xf numFmtId="170" fontId="53" fillId="2" borderId="21" xfId="50" applyNumberFormat="1" applyFont="1" applyFill="1" applyBorder="1" applyAlignment="1" applyProtection="1">
      <alignment horizontal="center" vertical="center"/>
    </xf>
    <xf numFmtId="177" fontId="53" fillId="2" borderId="21" xfId="50" applyNumberFormat="1" applyFont="1" applyFill="1" applyBorder="1" applyAlignment="1" applyProtection="1">
      <alignment horizontal="center" vertical="center"/>
    </xf>
    <xf numFmtId="0" fontId="53" fillId="2" borderId="0" xfId="50" applyFont="1" applyFill="1" applyBorder="1" applyAlignment="1" applyProtection="1">
      <alignment vertical="center"/>
    </xf>
    <xf numFmtId="175" fontId="53" fillId="2" borderId="21" xfId="50" applyNumberFormat="1" applyFont="1" applyFill="1" applyBorder="1" applyAlignment="1" applyProtection="1">
      <alignment horizontal="center" vertical="center"/>
    </xf>
    <xf numFmtId="173" fontId="53" fillId="2" borderId="21" xfId="50" applyNumberFormat="1" applyFont="1" applyFill="1" applyBorder="1" applyAlignment="1" applyProtection="1">
      <alignment horizontal="center" vertical="center"/>
    </xf>
    <xf numFmtId="10" fontId="53" fillId="2" borderId="31" xfId="50" applyNumberFormat="1" applyFont="1" applyFill="1" applyBorder="1" applyAlignment="1" applyProtection="1">
      <alignment horizontal="center" vertical="center"/>
    </xf>
    <xf numFmtId="170" fontId="51" fillId="2" borderId="0" xfId="50" applyNumberFormat="1" applyFont="1" applyFill="1" applyBorder="1" applyAlignment="1" applyProtection="1">
      <alignment horizontal="center" vertical="center"/>
    </xf>
    <xf numFmtId="164" fontId="40" fillId="2" borderId="0" xfId="50" applyNumberFormat="1" applyFont="1" applyFill="1" applyAlignment="1" applyProtection="1">
      <alignment vertical="center"/>
    </xf>
    <xf numFmtId="164" fontId="39" fillId="2" borderId="0" xfId="50" applyNumberFormat="1" applyFont="1" applyFill="1" applyAlignment="1" applyProtection="1">
      <alignment horizontal="left" vertical="center" wrapText="1"/>
    </xf>
    <xf numFmtId="164" fontId="40" fillId="2" borderId="30" xfId="50" applyNumberFormat="1" applyFont="1" applyFill="1" applyBorder="1" applyAlignment="1" applyProtection="1">
      <alignment vertical="center"/>
    </xf>
    <xf numFmtId="164" fontId="40" fillId="2" borderId="21" xfId="50" applyNumberFormat="1" applyFont="1" applyFill="1" applyBorder="1" applyAlignment="1" applyProtection="1">
      <alignment horizontal="center" vertical="center"/>
    </xf>
    <xf numFmtId="164" fontId="40" fillId="0" borderId="21" xfId="50" applyNumberFormat="1" applyFont="1" applyFill="1" applyBorder="1" applyAlignment="1" applyProtection="1">
      <alignment horizontal="center" vertical="center"/>
    </xf>
    <xf numFmtId="164" fontId="40" fillId="2" borderId="0" xfId="50" applyNumberFormat="1" applyFont="1" applyFill="1" applyBorder="1" applyAlignment="1" applyProtection="1">
      <alignment vertical="center"/>
    </xf>
    <xf numFmtId="0" fontId="39" fillId="37" borderId="0" xfId="50" applyFont="1" applyFill="1" applyAlignment="1" applyProtection="1">
      <alignment horizontal="center" vertical="center" textRotation="90" wrapText="1"/>
    </xf>
    <xf numFmtId="10" fontId="40" fillId="2" borderId="0" xfId="50" applyNumberFormat="1" applyFont="1" applyFill="1" applyAlignment="1" applyProtection="1">
      <alignment vertical="center"/>
    </xf>
    <xf numFmtId="171" fontId="40" fillId="0" borderId="21" xfId="50" applyNumberFormat="1" applyFont="1" applyBorder="1" applyAlignment="1" applyProtection="1">
      <alignment horizontal="left" vertical="center" wrapText="1"/>
    </xf>
    <xf numFmtId="170" fontId="40" fillId="2" borderId="0" xfId="50" applyNumberFormat="1" applyFont="1" applyFill="1" applyBorder="1" applyAlignment="1" applyProtection="1">
      <alignment vertical="center"/>
    </xf>
    <xf numFmtId="171" fontId="39" fillId="2" borderId="21" xfId="50" applyNumberFormat="1" applyFont="1" applyFill="1" applyBorder="1" applyAlignment="1" applyProtection="1">
      <alignment horizontal="left" vertical="center" wrapText="1"/>
    </xf>
    <xf numFmtId="176" fontId="53" fillId="2" borderId="21" xfId="50" applyNumberFormat="1" applyFont="1" applyFill="1" applyBorder="1" applyAlignment="1" applyProtection="1">
      <alignment horizontal="center" vertical="center"/>
    </xf>
    <xf numFmtId="174" fontId="40" fillId="2" borderId="21" xfId="50" applyNumberFormat="1" applyFont="1" applyFill="1" applyBorder="1" applyAlignment="1" applyProtection="1">
      <alignment horizontal="left" vertical="center" wrapText="1"/>
    </xf>
    <xf numFmtId="0" fontId="52" fillId="37" borderId="0" xfId="50" applyFont="1" applyFill="1" applyAlignment="1" applyProtection="1">
      <alignment horizontal="center" vertical="center" textRotation="90" wrapText="1"/>
    </xf>
    <xf numFmtId="0" fontId="54" fillId="2" borderId="0" xfId="50" applyFont="1" applyFill="1" applyAlignment="1" applyProtection="1">
      <alignment vertical="center"/>
    </xf>
    <xf numFmtId="171" fontId="40" fillId="2" borderId="21" xfId="50" applyNumberFormat="1" applyFont="1" applyFill="1" applyBorder="1" applyAlignment="1" applyProtection="1">
      <alignment horizontal="left" vertical="center" wrapText="1"/>
    </xf>
    <xf numFmtId="0" fontId="54" fillId="2" borderId="30" xfId="50" applyFont="1" applyFill="1" applyBorder="1" applyAlignment="1" applyProtection="1">
      <alignment vertical="center"/>
    </xf>
    <xf numFmtId="170" fontId="54" fillId="2" borderId="21" xfId="50" applyNumberFormat="1" applyFont="1" applyFill="1" applyBorder="1" applyAlignment="1" applyProtection="1">
      <alignment vertical="center"/>
    </xf>
    <xf numFmtId="0" fontId="54" fillId="2" borderId="0" xfId="50" applyFont="1" applyFill="1" applyBorder="1" applyAlignment="1" applyProtection="1">
      <alignment vertical="center"/>
    </xf>
    <xf numFmtId="170" fontId="40" fillId="0" borderId="21" xfId="50" applyNumberFormat="1" applyFont="1" applyFill="1" applyBorder="1" applyAlignment="1" applyProtection="1">
      <alignment vertical="center"/>
    </xf>
    <xf numFmtId="10" fontId="53" fillId="0" borderId="21" xfId="50" applyNumberFormat="1" applyFont="1" applyFill="1" applyBorder="1" applyAlignment="1" applyProtection="1">
      <alignment horizontal="center" vertical="center"/>
    </xf>
    <xf numFmtId="170" fontId="39" fillId="0" borderId="21" xfId="50" applyNumberFormat="1" applyFont="1" applyFill="1" applyBorder="1" applyAlignment="1" applyProtection="1">
      <alignment vertical="center"/>
    </xf>
    <xf numFmtId="0" fontId="51" fillId="0" borderId="0" xfId="50" applyFont="1" applyFill="1" applyBorder="1" applyAlignment="1" applyProtection="1">
      <alignment horizontal="center" vertical="center"/>
    </xf>
    <xf numFmtId="170" fontId="53" fillId="0" borderId="21" xfId="50" applyNumberFormat="1" applyFont="1" applyFill="1" applyBorder="1" applyAlignment="1" applyProtection="1">
      <alignment horizontal="center" vertical="center"/>
    </xf>
    <xf numFmtId="0" fontId="40" fillId="0" borderId="30" xfId="50" applyFont="1" applyFill="1" applyBorder="1" applyAlignment="1" applyProtection="1">
      <alignment vertical="center"/>
    </xf>
    <xf numFmtId="0" fontId="40" fillId="2" borderId="26" xfId="50" applyFont="1" applyFill="1" applyBorder="1" applyAlignment="1" applyProtection="1">
      <alignment vertical="center"/>
    </xf>
    <xf numFmtId="0" fontId="51" fillId="2" borderId="0" xfId="50" applyFont="1" applyFill="1" applyAlignment="1" applyProtection="1">
      <alignment vertical="center"/>
    </xf>
    <xf numFmtId="171" fontId="51" fillId="0" borderId="21" xfId="50" applyNumberFormat="1" applyFont="1" applyBorder="1" applyAlignment="1" applyProtection="1">
      <alignment horizontal="left" vertical="center" wrapText="1"/>
    </xf>
    <xf numFmtId="0" fontId="51" fillId="2" borderId="30" xfId="50" applyFont="1" applyFill="1" applyBorder="1" applyAlignment="1" applyProtection="1">
      <alignment vertical="center"/>
    </xf>
    <xf numFmtId="10" fontId="51" fillId="2" borderId="21" xfId="50" applyNumberFormat="1" applyFont="1" applyFill="1" applyBorder="1" applyAlignment="1" applyProtection="1">
      <alignment horizontal="center" vertical="center"/>
    </xf>
    <xf numFmtId="0" fontId="51" fillId="2" borderId="0" xfId="50" applyFont="1" applyFill="1" applyBorder="1" applyAlignment="1" applyProtection="1">
      <alignment vertical="center"/>
    </xf>
    <xf numFmtId="170" fontId="51" fillId="2" borderId="21" xfId="50" applyNumberFormat="1" applyFont="1" applyFill="1" applyBorder="1" applyAlignment="1" applyProtection="1">
      <alignment horizontal="center" vertical="center"/>
    </xf>
    <xf numFmtId="177" fontId="51" fillId="2" borderId="21" xfId="50" applyNumberFormat="1" applyFont="1" applyFill="1" applyBorder="1" applyAlignment="1" applyProtection="1">
      <alignment horizontal="center" vertical="center"/>
    </xf>
    <xf numFmtId="171" fontId="39" fillId="37" borderId="21" xfId="50" applyNumberFormat="1" applyFont="1" applyFill="1" applyBorder="1" applyAlignment="1" applyProtection="1">
      <alignment horizontal="left" vertical="center" wrapText="1"/>
    </xf>
    <xf numFmtId="170" fontId="39" fillId="37" borderId="21" xfId="50" applyNumberFormat="1" applyFont="1" applyFill="1" applyBorder="1" applyAlignment="1" applyProtection="1">
      <alignment vertical="center"/>
    </xf>
    <xf numFmtId="170" fontId="39" fillId="39" borderId="21" xfId="50" applyNumberFormat="1" applyFont="1" applyFill="1" applyBorder="1" applyAlignment="1" applyProtection="1">
      <alignment vertical="center"/>
    </xf>
    <xf numFmtId="10" fontId="53" fillId="2" borderId="32" xfId="50" applyNumberFormat="1" applyFont="1" applyFill="1" applyBorder="1" applyAlignment="1" applyProtection="1">
      <alignment horizontal="center" vertical="center"/>
    </xf>
    <xf numFmtId="38" fontId="40" fillId="0" borderId="21" xfId="51" applyNumberFormat="1" applyFont="1" applyBorder="1" applyAlignment="1">
      <alignment horizontal="center" vertical="center"/>
    </xf>
    <xf numFmtId="175" fontId="40" fillId="2" borderId="0" xfId="50" applyNumberFormat="1" applyFont="1" applyFill="1" applyBorder="1" applyAlignment="1" applyProtection="1">
      <alignment horizontal="center" vertical="center"/>
    </xf>
    <xf numFmtId="175" fontId="40" fillId="2" borderId="0" xfId="50" applyNumberFormat="1" applyFont="1" applyFill="1" applyAlignment="1" applyProtection="1">
      <alignment horizontal="center" vertical="center"/>
    </xf>
    <xf numFmtId="0" fontId="40" fillId="2" borderId="0" xfId="50" applyFont="1" applyFill="1" applyAlignment="1" applyProtection="1">
      <alignment horizontal="center" vertical="center"/>
    </xf>
    <xf numFmtId="175" fontId="40" fillId="2" borderId="30" xfId="50" applyNumberFormat="1" applyFont="1" applyFill="1" applyBorder="1" applyAlignment="1" applyProtection="1">
      <alignment horizontal="center" vertical="center"/>
    </xf>
    <xf numFmtId="38" fontId="39" fillId="0" borderId="21" xfId="51" applyNumberFormat="1" applyFont="1" applyBorder="1" applyAlignment="1">
      <alignment horizontal="center" vertical="center"/>
    </xf>
    <xf numFmtId="0" fontId="39" fillId="2" borderId="0" xfId="50" applyFont="1" applyFill="1" applyAlignment="1" applyProtection="1">
      <alignment horizontal="center" vertical="center"/>
    </xf>
    <xf numFmtId="0" fontId="46" fillId="2" borderId="30" xfId="50" applyFont="1" applyFill="1" applyBorder="1" applyAlignment="1" applyProtection="1">
      <alignment vertical="center"/>
    </xf>
    <xf numFmtId="0" fontId="39" fillId="2" borderId="0" xfId="50" applyFont="1" applyFill="1" applyBorder="1" applyAlignment="1" applyProtection="1">
      <alignment horizontal="left" vertical="center" wrapText="1"/>
    </xf>
    <xf numFmtId="0" fontId="40" fillId="2" borderId="27" xfId="50" applyFont="1" applyFill="1" applyBorder="1" applyAlignment="1" applyProtection="1">
      <alignment vertical="center"/>
    </xf>
    <xf numFmtId="170" fontId="40" fillId="2" borderId="21" xfId="50" applyNumberFormat="1" applyFont="1" applyFill="1" applyBorder="1" applyAlignment="1" applyProtection="1">
      <alignment horizontal="left" vertical="center"/>
    </xf>
    <xf numFmtId="170" fontId="39" fillId="2" borderId="21" xfId="50" applyNumberFormat="1" applyFont="1" applyFill="1" applyBorder="1" applyAlignment="1" applyProtection="1">
      <alignment horizontal="left" vertical="center"/>
    </xf>
    <xf numFmtId="0" fontId="39" fillId="2" borderId="30" xfId="50" applyFont="1" applyFill="1" applyBorder="1" applyAlignment="1" applyProtection="1">
      <alignment vertical="center"/>
    </xf>
    <xf numFmtId="0" fontId="39" fillId="2" borderId="0" xfId="50" applyFont="1" applyFill="1" applyBorder="1" applyAlignment="1" applyProtection="1">
      <alignment vertical="center"/>
    </xf>
    <xf numFmtId="0" fontId="39" fillId="2" borderId="0" xfId="50" applyFont="1" applyFill="1" applyAlignment="1" applyProtection="1">
      <alignment vertical="center"/>
    </xf>
    <xf numFmtId="174" fontId="39" fillId="2" borderId="21" xfId="50" applyNumberFormat="1" applyFont="1" applyFill="1" applyBorder="1" applyAlignment="1" applyProtection="1">
      <alignment horizontal="left" vertical="center" wrapText="1"/>
    </xf>
    <xf numFmtId="170" fontId="40" fillId="2" borderId="0" xfId="50" applyNumberFormat="1" applyFont="1" applyFill="1" applyAlignment="1" applyProtection="1">
      <alignment vertical="center"/>
    </xf>
    <xf numFmtId="0" fontId="40" fillId="2" borderId="0" xfId="50" applyFont="1" applyFill="1" applyAlignment="1" applyProtection="1">
      <alignment vertical="center" wrapText="1"/>
    </xf>
    <xf numFmtId="0" fontId="40" fillId="2" borderId="28" xfId="50" applyFont="1" applyFill="1" applyBorder="1" applyAlignment="1" applyProtection="1">
      <alignment vertical="center"/>
    </xf>
    <xf numFmtId="0" fontId="40" fillId="2" borderId="0" xfId="0" applyFont="1" applyFill="1" applyBorder="1"/>
    <xf numFmtId="0" fontId="40" fillId="0" borderId="0" xfId="0" applyFont="1"/>
    <xf numFmtId="0" fontId="50" fillId="0" borderId="0" xfId="0" applyFont="1" applyFill="1"/>
    <xf numFmtId="0" fontId="39" fillId="2" borderId="1" xfId="0" applyFont="1" applyFill="1" applyBorder="1" applyAlignment="1">
      <alignment horizontal="center"/>
    </xf>
    <xf numFmtId="0" fontId="39" fillId="36" borderId="1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50" fillId="0" borderId="0" xfId="0" applyFont="1" applyAlignment="1">
      <alignment horizontal="center"/>
    </xf>
    <xf numFmtId="0" fontId="40" fillId="2" borderId="0" xfId="0" applyFont="1" applyFill="1"/>
    <xf numFmtId="0" fontId="40" fillId="0" borderId="0" xfId="0" applyFont="1" applyFill="1"/>
    <xf numFmtId="0" fontId="39" fillId="3" borderId="0" xfId="0" applyFont="1" applyFill="1"/>
    <xf numFmtId="167" fontId="39" fillId="3" borderId="2" xfId="1" applyNumberFormat="1" applyFont="1" applyFill="1" applyBorder="1"/>
    <xf numFmtId="167" fontId="39" fillId="0" borderId="2" xfId="1" applyNumberFormat="1" applyFont="1" applyFill="1" applyBorder="1"/>
    <xf numFmtId="0" fontId="39" fillId="2" borderId="0" xfId="0" applyFont="1" applyFill="1"/>
    <xf numFmtId="167" fontId="40" fillId="4" borderId="0" xfId="1" applyNumberFormat="1" applyFont="1" applyFill="1" applyBorder="1"/>
    <xf numFmtId="169" fontId="39" fillId="0" borderId="0" xfId="0" applyNumberFormat="1" applyFont="1" applyFill="1"/>
    <xf numFmtId="0" fontId="55" fillId="0" borderId="0" xfId="0" applyNumberFormat="1" applyFont="1"/>
    <xf numFmtId="167" fontId="40" fillId="2" borderId="0" xfId="1" applyNumberFormat="1" applyFont="1" applyFill="1" applyBorder="1"/>
    <xf numFmtId="167" fontId="40" fillId="0" borderId="21" xfId="1" applyNumberFormat="1" applyFont="1" applyFill="1" applyBorder="1" applyAlignment="1" applyProtection="1">
      <alignment vertical="center"/>
    </xf>
    <xf numFmtId="0" fontId="34" fillId="0" borderId="0" xfId="0" applyFont="1"/>
    <xf numFmtId="167" fontId="40" fillId="0" borderId="24" xfId="1" applyNumberFormat="1" applyFont="1" applyFill="1" applyBorder="1" applyAlignment="1" applyProtection="1">
      <alignment vertical="center"/>
    </xf>
    <xf numFmtId="167" fontId="40" fillId="0" borderId="0" xfId="0" applyNumberFormat="1" applyFont="1" applyBorder="1"/>
    <xf numFmtId="167" fontId="40" fillId="0" borderId="0" xfId="0" applyNumberFormat="1" applyFont="1"/>
    <xf numFmtId="167" fontId="39" fillId="3" borderId="0" xfId="1" applyNumberFormat="1" applyFont="1" applyFill="1" applyBorder="1"/>
    <xf numFmtId="167" fontId="40" fillId="0" borderId="0" xfId="1" applyNumberFormat="1" applyFont="1" applyFill="1"/>
    <xf numFmtId="167" fontId="39" fillId="0" borderId="0" xfId="1" applyNumberFormat="1" applyFont="1" applyFill="1"/>
    <xf numFmtId="167" fontId="39" fillId="2" borderId="0" xfId="1" applyNumberFormat="1" applyFont="1" applyFill="1" applyBorder="1"/>
    <xf numFmtId="168" fontId="40" fillId="0" borderId="0" xfId="4" applyNumberFormat="1" applyFont="1" applyBorder="1"/>
    <xf numFmtId="0" fontId="39" fillId="0" borderId="0" xfId="0" applyFont="1" applyFill="1"/>
    <xf numFmtId="43" fontId="40" fillId="0" borderId="0" xfId="1" applyNumberFormat="1" applyFont="1" applyFill="1" applyBorder="1"/>
    <xf numFmtId="43" fontId="40" fillId="0" borderId="0" xfId="0" applyNumberFormat="1" applyFont="1" applyFill="1"/>
    <xf numFmtId="0" fontId="39" fillId="2" borderId="0" xfId="0" applyFont="1" applyFill="1" applyBorder="1" applyAlignment="1">
      <alignment horizontal="center"/>
    </xf>
    <xf numFmtId="167" fontId="39" fillId="36" borderId="3" xfId="0" applyNumberFormat="1" applyFont="1" applyFill="1" applyBorder="1" applyAlignment="1">
      <alignment horizontal="center"/>
    </xf>
    <xf numFmtId="0" fontId="39" fillId="36" borderId="3" xfId="0" applyFont="1" applyFill="1" applyBorder="1" applyAlignment="1">
      <alignment horizontal="center"/>
    </xf>
    <xf numFmtId="0" fontId="39" fillId="2" borderId="0" xfId="0" applyFont="1" applyFill="1" applyBorder="1"/>
    <xf numFmtId="167" fontId="40" fillId="0" borderId="0" xfId="0" applyNumberFormat="1" applyFont="1" applyBorder="1" applyAlignment="1"/>
    <xf numFmtId="0" fontId="39" fillId="2" borderId="0" xfId="0" applyFont="1" applyFill="1" applyBorder="1" applyAlignment="1"/>
    <xf numFmtId="167" fontId="40" fillId="0" borderId="0" xfId="0" applyNumberFormat="1" applyFont="1" applyFill="1" applyBorder="1" applyAlignment="1"/>
    <xf numFmtId="0" fontId="40" fillId="3" borderId="0" xfId="0" applyFont="1" applyFill="1" applyBorder="1"/>
    <xf numFmtId="167" fontId="39" fillId="3" borderId="0" xfId="0" applyNumberFormat="1" applyFont="1" applyFill="1" applyBorder="1" applyAlignment="1"/>
    <xf numFmtId="167" fontId="40" fillId="2" borderId="0" xfId="0" applyNumberFormat="1" applyFont="1" applyFill="1" applyBorder="1" applyAlignment="1"/>
    <xf numFmtId="167" fontId="40" fillId="4" borderId="0" xfId="1" applyNumberFormat="1" applyFont="1" applyFill="1" applyBorder="1" applyAlignment="1"/>
    <xf numFmtId="167" fontId="39" fillId="0" borderId="0" xfId="1" applyNumberFormat="1" applyFont="1" applyFill="1" applyBorder="1" applyAlignment="1"/>
    <xf numFmtId="0" fontId="39" fillId="3" borderId="0" xfId="0" applyFont="1" applyFill="1" applyBorder="1" applyAlignment="1">
      <alignment horizontal="left"/>
    </xf>
    <xf numFmtId="0" fontId="39" fillId="2" borderId="0" xfId="0" applyFont="1" applyFill="1" applyBorder="1" applyAlignment="1">
      <alignment horizontal="left"/>
    </xf>
    <xf numFmtId="43" fontId="39" fillId="2" borderId="0" xfId="0" applyNumberFormat="1" applyFont="1" applyFill="1" applyBorder="1" applyAlignment="1"/>
    <xf numFmtId="9" fontId="39" fillId="2" borderId="0" xfId="2" applyFont="1" applyFill="1" applyBorder="1" applyAlignment="1">
      <alignment horizontal="center"/>
    </xf>
    <xf numFmtId="0" fontId="40" fillId="2" borderId="0" xfId="0" applyFont="1" applyFill="1" applyBorder="1" applyAlignment="1">
      <alignment horizontal="left"/>
    </xf>
    <xf numFmtId="167" fontId="40" fillId="2" borderId="0" xfId="1" applyNumberFormat="1" applyFont="1" applyFill="1" applyBorder="1" applyAlignment="1"/>
    <xf numFmtId="167" fontId="40" fillId="0" borderId="0" xfId="1" applyNumberFormat="1" applyFont="1" applyFill="1" applyBorder="1" applyAlignment="1">
      <alignment horizontal="center"/>
    </xf>
    <xf numFmtId="167" fontId="57" fillId="0" borderId="0" xfId="1" applyNumberFormat="1" applyFont="1" applyFill="1" applyBorder="1" applyAlignment="1"/>
    <xf numFmtId="167" fontId="50" fillId="0" borderId="0" xfId="0" applyNumberFormat="1" applyFont="1" applyFill="1" applyBorder="1"/>
    <xf numFmtId="168" fontId="4" fillId="0" borderId="0" xfId="4" applyNumberFormat="1" applyFont="1" applyFill="1" applyBorder="1"/>
    <xf numFmtId="0" fontId="40" fillId="2" borderId="0" xfId="4" applyNumberFormat="1" applyFont="1" applyFill="1" applyBorder="1"/>
    <xf numFmtId="0" fontId="40" fillId="0" borderId="0" xfId="4" applyNumberFormat="1" applyFont="1" applyBorder="1" applyAlignment="1"/>
    <xf numFmtId="0" fontId="39" fillId="3" borderId="0" xfId="4" applyNumberFormat="1" applyFont="1" applyFill="1" applyBorder="1"/>
    <xf numFmtId="169" fontId="39" fillId="3" borderId="0" xfId="0" applyNumberFormat="1" applyFont="1" applyFill="1" applyBorder="1" applyAlignment="1"/>
    <xf numFmtId="0" fontId="40" fillId="2" borderId="0" xfId="4" applyNumberFormat="1" applyFont="1" applyFill="1" applyBorder="1" applyAlignment="1"/>
    <xf numFmtId="38" fontId="39" fillId="3" borderId="0" xfId="0" applyNumberFormat="1" applyFont="1" applyFill="1" applyBorder="1" applyAlignment="1"/>
    <xf numFmtId="169" fontId="39" fillId="2" borderId="0" xfId="0" applyNumberFormat="1" applyFont="1" applyFill="1" applyBorder="1" applyAlignment="1"/>
    <xf numFmtId="169" fontId="40" fillId="2" borderId="0" xfId="0" applyNumberFormat="1" applyFont="1" applyFill="1" applyBorder="1" applyAlignment="1"/>
    <xf numFmtId="38" fontId="50" fillId="0" borderId="0" xfId="0" applyNumberFormat="1" applyFont="1" applyFill="1"/>
    <xf numFmtId="38" fontId="50" fillId="0" borderId="0" xfId="0" applyNumberFormat="1" applyFont="1"/>
    <xf numFmtId="38" fontId="34" fillId="0" borderId="0" xfId="0" applyNumberFormat="1" applyFont="1"/>
    <xf numFmtId="170" fontId="40" fillId="2" borderId="36" xfId="50" applyNumberFormat="1" applyFont="1" applyFill="1" applyBorder="1" applyAlignment="1" applyProtection="1">
      <alignment vertical="center"/>
    </xf>
    <xf numFmtId="170" fontId="40" fillId="2" borderId="23" xfId="50" applyNumberFormat="1" applyFont="1" applyFill="1" applyBorder="1" applyAlignment="1" applyProtection="1">
      <alignment vertical="center"/>
    </xf>
    <xf numFmtId="170" fontId="39" fillId="2" borderId="22" xfId="50" applyNumberFormat="1" applyFont="1" applyFill="1" applyBorder="1" applyAlignment="1" applyProtection="1">
      <alignment vertical="center"/>
    </xf>
    <xf numFmtId="177" fontId="53" fillId="0" borderId="21" xfId="50" applyNumberFormat="1" applyFont="1" applyFill="1" applyBorder="1" applyAlignment="1" applyProtection="1">
      <alignment horizontal="center" vertical="center"/>
    </xf>
    <xf numFmtId="0" fontId="53" fillId="0" borderId="30" xfId="50" applyFont="1" applyFill="1" applyBorder="1" applyAlignment="1" applyProtection="1">
      <alignment vertical="center"/>
    </xf>
    <xf numFmtId="0" fontId="51" fillId="0" borderId="30" xfId="50" applyFont="1" applyFill="1" applyBorder="1" applyAlignment="1" applyProtection="1">
      <alignment horizontal="center" vertical="center"/>
    </xf>
    <xf numFmtId="170" fontId="52" fillId="0" borderId="21" xfId="50" applyNumberFormat="1" applyFont="1" applyFill="1" applyBorder="1" applyAlignment="1" applyProtection="1">
      <alignment vertical="center"/>
    </xf>
    <xf numFmtId="38" fontId="40" fillId="0" borderId="21" xfId="51" applyNumberFormat="1" applyFont="1" applyFill="1" applyBorder="1" applyAlignment="1">
      <alignment horizontal="center" vertical="center"/>
    </xf>
    <xf numFmtId="170" fontId="46" fillId="2" borderId="0" xfId="50" applyNumberFormat="1" applyFont="1" applyFill="1" applyBorder="1" applyAlignment="1" applyProtection="1">
      <alignment horizontal="center" vertical="center"/>
    </xf>
    <xf numFmtId="0" fontId="40" fillId="2" borderId="0" xfId="50" applyFont="1" applyFill="1" applyAlignment="1" applyProtection="1">
      <alignment horizontal="left" vertical="center"/>
    </xf>
    <xf numFmtId="17" fontId="50" fillId="0" borderId="0" xfId="0" applyNumberFormat="1" applyFont="1"/>
    <xf numFmtId="167" fontId="50" fillId="0" borderId="0" xfId="1" applyNumberFormat="1" applyFont="1"/>
    <xf numFmtId="10" fontId="50" fillId="0" borderId="0" xfId="2" applyNumberFormat="1" applyFont="1"/>
    <xf numFmtId="10" fontId="53" fillId="2" borderId="38" xfId="50" applyNumberFormat="1" applyFont="1" applyFill="1" applyBorder="1" applyAlignment="1" applyProtection="1">
      <alignment horizontal="center" vertical="center"/>
    </xf>
    <xf numFmtId="43" fontId="53" fillId="2" borderId="21" xfId="1" applyNumberFormat="1" applyFont="1" applyFill="1" applyBorder="1" applyAlignment="1" applyProtection="1">
      <alignment horizontal="center" vertical="center"/>
    </xf>
    <xf numFmtId="43" fontId="50" fillId="0" borderId="0" xfId="1" applyNumberFormat="1" applyFont="1"/>
    <xf numFmtId="43" fontId="53" fillId="2" borderId="0" xfId="1" applyNumberFormat="1" applyFont="1" applyFill="1" applyBorder="1" applyAlignment="1" applyProtection="1">
      <alignment horizontal="center" vertical="center"/>
    </xf>
    <xf numFmtId="171" fontId="53" fillId="2" borderId="21" xfId="50" applyNumberFormat="1" applyFont="1" applyFill="1" applyBorder="1" applyAlignment="1" applyProtection="1">
      <alignment horizontal="center" vertical="center" wrapText="1"/>
    </xf>
    <xf numFmtId="43" fontId="50" fillId="0" borderId="0" xfId="0" applyNumberFormat="1" applyFont="1"/>
    <xf numFmtId="0" fontId="40" fillId="2" borderId="21" xfId="50" applyFont="1" applyFill="1" applyBorder="1" applyAlignment="1" applyProtection="1">
      <alignment vertical="center" wrapText="1"/>
    </xf>
    <xf numFmtId="170" fontId="40" fillId="2" borderId="38" xfId="50" applyNumberFormat="1" applyFont="1" applyFill="1" applyBorder="1" applyAlignment="1" applyProtection="1">
      <alignment vertical="center"/>
    </xf>
    <xf numFmtId="167" fontId="39" fillId="3" borderId="59" xfId="1" applyNumberFormat="1" applyFont="1" applyFill="1" applyBorder="1" applyAlignment="1">
      <alignment wrapText="1"/>
    </xf>
    <xf numFmtId="167" fontId="39" fillId="3" borderId="50" xfId="1" applyNumberFormat="1" applyFont="1" applyFill="1" applyBorder="1" applyAlignment="1">
      <alignment wrapText="1"/>
    </xf>
    <xf numFmtId="167" fontId="39" fillId="3" borderId="60" xfId="1" applyNumberFormat="1" applyFont="1" applyFill="1" applyBorder="1" applyAlignment="1">
      <alignment wrapText="1"/>
    </xf>
    <xf numFmtId="167" fontId="39" fillId="3" borderId="50" xfId="1" applyNumberFormat="1" applyFont="1" applyFill="1" applyBorder="1" applyAlignment="1">
      <alignment horizontal="center" wrapText="1"/>
    </xf>
    <xf numFmtId="0" fontId="40" fillId="40" borderId="0" xfId="0" applyFont="1" applyFill="1" applyBorder="1" applyAlignment="1">
      <alignment horizontal="left"/>
    </xf>
    <xf numFmtId="167" fontId="40" fillId="40" borderId="0" xfId="1" applyNumberFormat="1" applyFont="1" applyFill="1" applyBorder="1" applyAlignment="1"/>
    <xf numFmtId="167" fontId="39" fillId="40" borderId="0" xfId="1" applyNumberFormat="1" applyFont="1" applyFill="1" applyBorder="1" applyAlignment="1"/>
    <xf numFmtId="0" fontId="39" fillId="43" borderId="0" xfId="0" applyFont="1" applyFill="1"/>
    <xf numFmtId="0" fontId="39" fillId="2" borderId="1" xfId="0" applyFont="1" applyFill="1" applyBorder="1" applyAlignment="1">
      <alignment horizontal="left"/>
    </xf>
    <xf numFmtId="167" fontId="50" fillId="0" borderId="0" xfId="1" applyNumberFormat="1" applyFont="1" applyFill="1"/>
    <xf numFmtId="167" fontId="56" fillId="0" borderId="0" xfId="1" applyNumberFormat="1" applyFont="1" applyFill="1"/>
    <xf numFmtId="167" fontId="39" fillId="0" borderId="1" xfId="1" applyNumberFormat="1" applyFont="1" applyFill="1" applyBorder="1" applyAlignment="1">
      <alignment horizontal="center"/>
    </xf>
    <xf numFmtId="167" fontId="39" fillId="0" borderId="3" xfId="1" applyNumberFormat="1" applyFont="1" applyFill="1" applyBorder="1" applyAlignment="1">
      <alignment horizontal="center"/>
    </xf>
    <xf numFmtId="167" fontId="39" fillId="0" borderId="0" xfId="1" applyNumberFormat="1" applyFont="1" applyFill="1" applyBorder="1" applyAlignment="1">
      <alignment horizontal="center"/>
    </xf>
    <xf numFmtId="167" fontId="58" fillId="0" borderId="0" xfId="1" applyNumberFormat="1" applyFont="1" applyFill="1" applyBorder="1" applyAlignment="1"/>
    <xf numFmtId="167" fontId="2" fillId="0" borderId="0" xfId="1" applyNumberFormat="1" applyFont="1" applyFill="1" applyBorder="1" applyAlignment="1"/>
    <xf numFmtId="10" fontId="53" fillId="44" borderId="21" xfId="50" applyNumberFormat="1" applyFont="1" applyFill="1" applyBorder="1" applyAlignment="1" applyProtection="1">
      <alignment horizontal="center" vertical="center"/>
    </xf>
    <xf numFmtId="9" fontId="39" fillId="2" borderId="0" xfId="2" applyFont="1" applyFill="1" applyAlignment="1" applyProtection="1">
      <alignment vertical="center"/>
    </xf>
    <xf numFmtId="179" fontId="50" fillId="0" borderId="0" xfId="0" applyNumberFormat="1" applyFont="1"/>
    <xf numFmtId="9" fontId="50" fillId="0" borderId="0" xfId="2" applyFont="1"/>
    <xf numFmtId="10" fontId="50" fillId="0" borderId="0" xfId="0" applyNumberFormat="1" applyFont="1"/>
    <xf numFmtId="172" fontId="53" fillId="0" borderId="21" xfId="50" applyNumberFormat="1" applyFont="1" applyFill="1" applyBorder="1" applyAlignment="1" applyProtection="1">
      <alignment horizontal="center" vertical="center"/>
    </xf>
    <xf numFmtId="1" fontId="50" fillId="0" borderId="0" xfId="0" applyNumberFormat="1" applyFont="1"/>
    <xf numFmtId="1" fontId="59" fillId="0" borderId="0" xfId="0" applyNumberFormat="1" applyFont="1"/>
    <xf numFmtId="0" fontId="39" fillId="37" borderId="13" xfId="50" applyFont="1" applyFill="1" applyBorder="1" applyAlignment="1" applyProtection="1">
      <alignment horizontal="center" vertical="center"/>
    </xf>
    <xf numFmtId="0" fontId="39" fillId="37" borderId="17" xfId="50" applyFont="1" applyFill="1" applyBorder="1" applyAlignment="1" applyProtection="1">
      <alignment horizontal="center" vertical="center"/>
    </xf>
    <xf numFmtId="0" fontId="39" fillId="37" borderId="18" xfId="50" applyFont="1" applyFill="1" applyBorder="1" applyAlignment="1" applyProtection="1">
      <alignment horizontal="center" vertical="center"/>
    </xf>
    <xf numFmtId="0" fontId="52" fillId="37" borderId="21" xfId="50" applyFont="1" applyFill="1" applyBorder="1" applyAlignment="1" applyProtection="1">
      <alignment horizontal="center" vertical="center"/>
    </xf>
    <xf numFmtId="0" fontId="52" fillId="39" borderId="21" xfId="50" applyFont="1" applyFill="1" applyBorder="1" applyAlignment="1" applyProtection="1">
      <alignment horizontal="center" vertical="center"/>
    </xf>
    <xf numFmtId="171" fontId="51" fillId="0" borderId="21" xfId="50" applyNumberFormat="1" applyFont="1" applyBorder="1" applyAlignment="1" applyProtection="1">
      <alignment horizontal="left" vertical="center" wrapText="1"/>
    </xf>
    <xf numFmtId="0" fontId="40" fillId="2" borderId="0" xfId="50" applyFont="1" applyFill="1" applyAlignment="1" applyProtection="1">
      <alignment horizontal="center" vertical="center"/>
    </xf>
    <xf numFmtId="0" fontId="40" fillId="2" borderId="26" xfId="50" applyFont="1" applyFill="1" applyBorder="1" applyAlignment="1" applyProtection="1">
      <alignment horizontal="center" vertical="center"/>
    </xf>
    <xf numFmtId="167" fontId="41" fillId="42" borderId="41" xfId="1" applyNumberFormat="1" applyFont="1" applyFill="1" applyBorder="1" applyAlignment="1">
      <alignment horizontal="center" wrapText="1"/>
    </xf>
    <xf numFmtId="167" fontId="41" fillId="42" borderId="44" xfId="1" applyNumberFormat="1" applyFont="1" applyFill="1" applyBorder="1" applyAlignment="1">
      <alignment horizontal="center" wrapText="1"/>
    </xf>
    <xf numFmtId="0" fontId="5" fillId="3" borderId="39" xfId="0" applyFont="1" applyFill="1" applyBorder="1" applyAlignment="1">
      <alignment horizontal="center" wrapText="1"/>
    </xf>
    <xf numFmtId="0" fontId="5" fillId="3" borderId="42" xfId="0" applyFont="1" applyFill="1" applyBorder="1" applyAlignment="1">
      <alignment horizontal="center" wrapText="1"/>
    </xf>
    <xf numFmtId="0" fontId="5" fillId="3" borderId="52" xfId="0" applyFont="1" applyFill="1" applyBorder="1" applyAlignment="1">
      <alignment horizontal="center" wrapText="1"/>
    </xf>
    <xf numFmtId="0" fontId="5" fillId="3" borderId="53" xfId="0" applyFont="1" applyFill="1" applyBorder="1" applyAlignment="1">
      <alignment horizontal="center" wrapText="1"/>
    </xf>
    <xf numFmtId="167" fontId="41" fillId="42" borderId="40" xfId="1" applyNumberFormat="1" applyFont="1" applyFill="1" applyBorder="1" applyAlignment="1">
      <alignment horizontal="center" wrapText="1"/>
    </xf>
    <xf numFmtId="167" fontId="41" fillId="42" borderId="43" xfId="1" applyNumberFormat="1" applyFont="1" applyFill="1" applyBorder="1" applyAlignment="1">
      <alignment horizontal="center" wrapText="1"/>
    </xf>
    <xf numFmtId="167" fontId="39" fillId="3" borderId="57" xfId="1" applyNumberFormat="1" applyFont="1" applyFill="1" applyBorder="1" applyAlignment="1">
      <alignment horizontal="center" wrapText="1"/>
    </xf>
    <xf numFmtId="167" fontId="39" fillId="3" borderId="45" xfId="1" applyNumberFormat="1" applyFont="1" applyFill="1" applyBorder="1" applyAlignment="1">
      <alignment horizontal="center" wrapText="1"/>
    </xf>
    <xf numFmtId="167" fontId="39" fillId="3" borderId="58" xfId="1" applyNumberFormat="1" applyFont="1" applyFill="1" applyBorder="1" applyAlignment="1">
      <alignment horizontal="center" wrapText="1"/>
    </xf>
    <xf numFmtId="0" fontId="39" fillId="3" borderId="39" xfId="0" applyFont="1" applyFill="1" applyBorder="1" applyAlignment="1">
      <alignment horizontal="left" wrapText="1"/>
    </xf>
    <xf numFmtId="0" fontId="39" fillId="3" borderId="42" xfId="0" applyFont="1" applyFill="1" applyBorder="1" applyAlignment="1">
      <alignment horizontal="left" wrapText="1"/>
    </xf>
    <xf numFmtId="0" fontId="39" fillId="3" borderId="52" xfId="0" applyFont="1" applyFill="1" applyBorder="1" applyAlignment="1">
      <alignment horizontal="center" wrapText="1"/>
    </xf>
    <xf numFmtId="0" fontId="39" fillId="3" borderId="53" xfId="0" applyFont="1" applyFill="1" applyBorder="1" applyAlignment="1">
      <alignment horizontal="center" wrapText="1"/>
    </xf>
    <xf numFmtId="17" fontId="39" fillId="42" borderId="54" xfId="1" applyNumberFormat="1" applyFont="1" applyFill="1" applyBorder="1" applyAlignment="1">
      <alignment horizontal="center"/>
    </xf>
    <xf numFmtId="17" fontId="39" fillId="42" borderId="56" xfId="1" applyNumberFormat="1" applyFont="1" applyFill="1" applyBorder="1" applyAlignment="1">
      <alignment horizontal="center"/>
    </xf>
  </cellXfs>
  <cellStyles count="675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a" xfId="10" builtinId="26" customBuiltin="1"/>
    <cellStyle name="Cálculo" xfId="15" builtinId="22" customBuiltin="1"/>
    <cellStyle name="Celda de comprobación" xfId="17" builtinId="23" customBuiltin="1"/>
    <cellStyle name="Celda vinculada" xfId="16" builtinId="24" customBuiltin="1"/>
    <cellStyle name="Encabezado 4" xfId="9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3" builtinId="20" customBuiltin="1"/>
    <cellStyle name="Excel Built-in Normal" xfId="52"/>
    <cellStyle name="Hipervínculo" xfId="46" builtinId="8" hidden="1"/>
    <cellStyle name="Hipervínculo" xfId="48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20" builtinId="8" hidden="1"/>
    <cellStyle name="Hipervínculo" xfId="222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215" builtinId="8" hidden="1"/>
    <cellStyle name="Hipervínculo" xfId="218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224" builtinId="8" hidden="1"/>
    <cellStyle name="Hipervínculo" xfId="214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 visitado" xfId="47" builtinId="9" hidden="1"/>
    <cellStyle name="Hipervínculo visitado" xfId="49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21" builtinId="9" hidden="1"/>
    <cellStyle name="Hipervínculo visitado" xfId="223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219" builtinId="9" hidden="1"/>
    <cellStyle name="Hipervínculo visitado" xfId="217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216" builtinId="9" hidden="1"/>
    <cellStyle name="Hipervínculo visitado" xfId="213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Incorrecto" xfId="11" builtinId="27" customBuiltin="1"/>
    <cellStyle name="Millares" xfId="1" builtinId="3"/>
    <cellStyle name="Millares 2" xfId="53"/>
    <cellStyle name="Moneda 2" xfId="54"/>
    <cellStyle name="Moneda 3" xfId="55"/>
    <cellStyle name="Neutral" xfId="12" builtinId="28" customBuiltin="1"/>
    <cellStyle name="Normal" xfId="0" builtinId="0"/>
    <cellStyle name="Normal 2" xfId="4"/>
    <cellStyle name="Normal 2 2" xfId="56"/>
    <cellStyle name="Normal 3" xfId="57"/>
    <cellStyle name="Normal 3 2" xfId="58"/>
    <cellStyle name="Normal 4" xfId="51"/>
    <cellStyle name="Normal 4 2" xfId="59"/>
    <cellStyle name="Normal 5" xfId="60"/>
    <cellStyle name="Normal 6" xfId="61"/>
    <cellStyle name="Normal 7" xfId="62"/>
    <cellStyle name="Normal_2Bal Conden Ej00" xfId="50"/>
    <cellStyle name="Notas" xfId="19" builtinId="10" customBuiltin="1"/>
    <cellStyle name="Porcentaje" xfId="2" builtinId="5"/>
    <cellStyle name="Porcentaje 2" xfId="3"/>
    <cellStyle name="Salida" xfId="14" builtinId="21" customBuiltin="1"/>
    <cellStyle name="Texto de advertencia" xfId="18" builtinId="11" customBuiltin="1"/>
    <cellStyle name="Texto explicativo" xfId="20" builtinId="53" customBuiltin="1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otal" xfId="21" builtinId="25" customBuiltin="1"/>
  </cellStyles>
  <dxfs count="101"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8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Ebitda 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39129483814523"/>
          <c:y val="0.19480351414406533"/>
          <c:w val="0.62006627296587924"/>
          <c:h val="0.75379593175853021"/>
        </c:manualLayout>
      </c:layout>
      <c:lineChart>
        <c:grouping val="standard"/>
        <c:varyColors val="0"/>
        <c:ser>
          <c:idx val="0"/>
          <c:order val="0"/>
          <c:tx>
            <c:strRef>
              <c:f>GRAFICAS!$A$5</c:f>
              <c:strCache>
                <c:ptCount val="1"/>
                <c:pt idx="0">
                  <c:v>Porcentual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GRAFICAS!$B$3:$M$3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</c:numCache>
            </c:numRef>
          </c:cat>
          <c:val>
            <c:numRef>
              <c:f>GRAFICAS!$B$5:$M$5</c:f>
              <c:numCache>
                <c:formatCode>0.00%</c:formatCode>
                <c:ptCount val="12"/>
                <c:pt idx="0">
                  <c:v>2.9119939124606392E-2</c:v>
                </c:pt>
                <c:pt idx="1">
                  <c:v>-0.34836788715587591</c:v>
                </c:pt>
                <c:pt idx="2">
                  <c:v>-9.8445968842760037E-2</c:v>
                </c:pt>
                <c:pt idx="3">
                  <c:v>-2.4992279744395409E-2</c:v>
                </c:pt>
                <c:pt idx="4">
                  <c:v>-5.1556485950316144E-2</c:v>
                </c:pt>
                <c:pt idx="5">
                  <c:v>-4.1910257595220914E-2</c:v>
                </c:pt>
                <c:pt idx="6">
                  <c:v>-2.4958420846952156E-2</c:v>
                </c:pt>
                <c:pt idx="7">
                  <c:v>-7.0502027686190005E-4</c:v>
                </c:pt>
                <c:pt idx="8">
                  <c:v>1.7949844230221737E-2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300608"/>
        <c:axId val="73302400"/>
      </c:lineChart>
      <c:dateAx>
        <c:axId val="733006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73302400"/>
        <c:crosses val="autoZero"/>
        <c:auto val="1"/>
        <c:lblOffset val="100"/>
        <c:baseTimeUnit val="months"/>
      </c:dateAx>
      <c:valAx>
        <c:axId val="733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3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1107195975503062"/>
          <c:y val="0.19480351414406533"/>
          <c:w val="0.54594072615922995"/>
          <c:h val="0.59763815981335666"/>
        </c:manualLayout>
      </c:layout>
      <c:lineChart>
        <c:grouping val="standard"/>
        <c:varyColors val="0"/>
        <c:ser>
          <c:idx val="0"/>
          <c:order val="0"/>
          <c:tx>
            <c:strRef>
              <c:f>GRAFICAS!$A$192</c:f>
              <c:strCache>
                <c:ptCount val="1"/>
                <c:pt idx="0">
                  <c:v>COSTO DE VTAS / VTAS NETAS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GRAFICAS!$B$125:$M$125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</c:numCache>
            </c:numRef>
          </c:cat>
          <c:val>
            <c:numRef>
              <c:f>GRAFICAS!$B$192:$M$192</c:f>
              <c:numCache>
                <c:formatCode>0.00%</c:formatCode>
                <c:ptCount val="12"/>
                <c:pt idx="0">
                  <c:v>0.55675377446084884</c:v>
                </c:pt>
                <c:pt idx="1">
                  <c:v>0.6304786151063535</c:v>
                </c:pt>
                <c:pt idx="2">
                  <c:v>0.6440438538814891</c:v>
                </c:pt>
                <c:pt idx="3">
                  <c:v>0.38711508262020905</c:v>
                </c:pt>
                <c:pt idx="4">
                  <c:v>0.66657656319891212</c:v>
                </c:pt>
                <c:pt idx="5">
                  <c:v>0.69630310072786905</c:v>
                </c:pt>
                <c:pt idx="6">
                  <c:v>0.67093477416003522</c:v>
                </c:pt>
                <c:pt idx="7">
                  <c:v>0.7030389336546512</c:v>
                </c:pt>
                <c:pt idx="8">
                  <c:v>0.54340657139524418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10592"/>
        <c:axId val="93786112"/>
      </c:lineChart>
      <c:dateAx>
        <c:axId val="93710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86112"/>
        <c:crosses val="autoZero"/>
        <c:auto val="1"/>
        <c:lblOffset val="100"/>
        <c:baseTimeUnit val="months"/>
      </c:dateAx>
      <c:valAx>
        <c:axId val="937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1107195975503062"/>
          <c:y val="0.19480351414406533"/>
          <c:w val="0.54594072615922995"/>
          <c:h val="0.59763815981335666"/>
        </c:manualLayout>
      </c:layout>
      <c:lineChart>
        <c:grouping val="standard"/>
        <c:varyColors val="0"/>
        <c:ser>
          <c:idx val="0"/>
          <c:order val="0"/>
          <c:tx>
            <c:strRef>
              <c:f>GRAFICAS!$A$214</c:f>
              <c:strCache>
                <c:ptCount val="1"/>
                <c:pt idx="0">
                  <c:v>RETORNO DE LA INVERSION ROI/UT OPE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GRAFICAS!$B$125:$M$125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</c:numCache>
            </c:numRef>
          </c:cat>
          <c:val>
            <c:numRef>
              <c:f>GRAFICAS!$B$214:$M$214</c:f>
              <c:numCache>
                <c:formatCode>0.00%</c:formatCode>
                <c:ptCount val="12"/>
                <c:pt idx="0">
                  <c:v>7.8030592162758705E-2</c:v>
                </c:pt>
                <c:pt idx="1">
                  <c:v>-1.7567065668816033</c:v>
                </c:pt>
                <c:pt idx="2">
                  <c:v>-1.3693845632005268</c:v>
                </c:pt>
                <c:pt idx="3">
                  <c:v>-0.46720720790249171</c:v>
                </c:pt>
                <c:pt idx="4">
                  <c:v>-1.2633760845595183</c:v>
                </c:pt>
                <c:pt idx="5">
                  <c:v>-1.3335544693321986</c:v>
                </c:pt>
                <c:pt idx="6">
                  <c:v>-0.99676761853032547</c:v>
                </c:pt>
                <c:pt idx="7">
                  <c:v>-0.1362834574774856</c:v>
                </c:pt>
                <c:pt idx="8">
                  <c:v>0.70515425385420805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27456"/>
        <c:axId val="93828992"/>
      </c:lineChart>
      <c:dateAx>
        <c:axId val="938274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828992"/>
        <c:crosses val="autoZero"/>
        <c:auto val="1"/>
        <c:lblOffset val="100"/>
        <c:baseTimeUnit val="months"/>
      </c:dateAx>
      <c:valAx>
        <c:axId val="938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8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GRAFICAS!$A$26</c:f>
              <c:strCache>
                <c:ptCount val="1"/>
                <c:pt idx="0">
                  <c:v>Capital de Trabajo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GRAFICAS!$B$25:$M$25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</c:numCache>
            </c:numRef>
          </c:cat>
          <c:val>
            <c:numRef>
              <c:f>GRAFICAS!$B$26:$M$26</c:f>
              <c:numCache>
                <c:formatCode>[$$-240A]\ #,##0_ ;[Red]\-[$$-240A]\ #,##0\ </c:formatCode>
                <c:ptCount val="12"/>
                <c:pt idx="0">
                  <c:v>503103330.56999993</c:v>
                </c:pt>
                <c:pt idx="1">
                  <c:v>406946346.54999995</c:v>
                </c:pt>
                <c:pt idx="2">
                  <c:v>551167967.50000012</c:v>
                </c:pt>
                <c:pt idx="3">
                  <c:v>515544040.59000003</c:v>
                </c:pt>
                <c:pt idx="4">
                  <c:v>446091234.38</c:v>
                </c:pt>
                <c:pt idx="5">
                  <c:v>414623393.74000001</c:v>
                </c:pt>
                <c:pt idx="6">
                  <c:v>497030209.69000006</c:v>
                </c:pt>
                <c:pt idx="7">
                  <c:v>499192530.00999987</c:v>
                </c:pt>
                <c:pt idx="8">
                  <c:v>520468673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778112"/>
        <c:axId val="74779648"/>
      </c:lineChart>
      <c:dateAx>
        <c:axId val="747781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779648"/>
        <c:crosses val="autoZero"/>
        <c:auto val="1"/>
        <c:lblOffset val="100"/>
        <c:baseTimeUnit val="months"/>
      </c:dateAx>
      <c:valAx>
        <c:axId val="747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240A]\ #,##0_ ;[Red]\-[$$-240A]\ 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7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Margen de contribución acumulado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GRAFICAS!$A$67</c:f>
              <c:strCache>
                <c:ptCount val="1"/>
                <c:pt idx="0">
                  <c:v>Margen de contribución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GRAFICAS!$B$66:$M$66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</c:numCache>
            </c:numRef>
          </c:cat>
          <c:val>
            <c:numRef>
              <c:f>GRAFICAS!$B$67:$M$67</c:f>
              <c:numCache>
                <c:formatCode>0.00%</c:formatCode>
                <c:ptCount val="12"/>
                <c:pt idx="0">
                  <c:v>0.44324622553915116</c:v>
                </c:pt>
                <c:pt idx="1">
                  <c:v>0.4236524590986942</c:v>
                </c:pt>
                <c:pt idx="2">
                  <c:v>0.38012877519577071</c:v>
                </c:pt>
                <c:pt idx="3">
                  <c:v>0.44167856957035523</c:v>
                </c:pt>
                <c:pt idx="4">
                  <c:v>0.41711351276248343</c:v>
                </c:pt>
                <c:pt idx="5">
                  <c:v>0.3912278045497446</c:v>
                </c:pt>
                <c:pt idx="6">
                  <c:v>0.37945623978385551</c:v>
                </c:pt>
                <c:pt idx="7">
                  <c:v>0.36211672600747008</c:v>
                </c:pt>
                <c:pt idx="8">
                  <c:v>0.37533771795549886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09344"/>
        <c:axId val="74810880"/>
      </c:lineChart>
      <c:dateAx>
        <c:axId val="74809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810880"/>
        <c:crosses val="autoZero"/>
        <c:auto val="1"/>
        <c:lblOffset val="100"/>
        <c:baseTimeUnit val="months"/>
      </c:dateAx>
      <c:valAx>
        <c:axId val="748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8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GRAFICAS!$A$87</c:f>
              <c:strCache>
                <c:ptCount val="1"/>
                <c:pt idx="0">
                  <c:v>Prueba Acida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GRAFICAS!$B$86:$M$86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</c:numCache>
            </c:numRef>
          </c:cat>
          <c:val>
            <c:numRef>
              <c:f>GRAFICAS!$B$87:$M$87</c:f>
              <c:numCache>
                <c:formatCode>_(* #,##0.00_);_(* \(#,##0.00\);_(* "-"??_);_(@_)</c:formatCode>
                <c:ptCount val="12"/>
                <c:pt idx="0">
                  <c:v>3.0814197275246178</c:v>
                </c:pt>
                <c:pt idx="1">
                  <c:v>3.0127857313907924</c:v>
                </c:pt>
                <c:pt idx="2">
                  <c:v>2.5717231138121308</c:v>
                </c:pt>
                <c:pt idx="3">
                  <c:v>2.3107620931282731</c:v>
                </c:pt>
                <c:pt idx="4">
                  <c:v>2.0260164986260123</c:v>
                </c:pt>
                <c:pt idx="5">
                  <c:v>1.6349144324369229</c:v>
                </c:pt>
                <c:pt idx="6">
                  <c:v>2.3433690390639619</c:v>
                </c:pt>
                <c:pt idx="7">
                  <c:v>1.8015954921540027</c:v>
                </c:pt>
                <c:pt idx="8">
                  <c:v>2.1688014348897164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69056"/>
        <c:axId val="81879040"/>
      </c:lineChart>
      <c:dateAx>
        <c:axId val="818690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79040"/>
        <c:crosses val="autoZero"/>
        <c:auto val="1"/>
        <c:lblOffset val="100"/>
        <c:baseTimeUnit val="months"/>
      </c:dateAx>
      <c:valAx>
        <c:axId val="818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GRAFICAS!$A$106</c:f>
              <c:strCache>
                <c:ptCount val="1"/>
                <c:pt idx="0">
                  <c:v>INDICE DE LIQUIDEZ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GRAFICAS!$B$105:$M$105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</c:numCache>
            </c:numRef>
          </c:cat>
          <c:val>
            <c:numRef>
              <c:f>GRAFICAS!$B$106:$M$106</c:f>
              <c:numCache>
                <c:formatCode>_(* #,##0.00_);_(* \(#,##0.00\);_(* "-"??_);_(@_)</c:formatCode>
                <c:ptCount val="12"/>
                <c:pt idx="0">
                  <c:v>3.6355852679295806</c:v>
                </c:pt>
                <c:pt idx="1">
                  <c:v>3.7104617377476372</c:v>
                </c:pt>
                <c:pt idx="2">
                  <c:v>3.0395622310912147</c:v>
                </c:pt>
                <c:pt idx="3">
                  <c:v>2.730499846788792</c:v>
                </c:pt>
                <c:pt idx="4">
                  <c:v>2.4168479488517529</c:v>
                </c:pt>
                <c:pt idx="5">
                  <c:v>1.9132480781314936</c:v>
                </c:pt>
                <c:pt idx="6">
                  <c:v>2.7299763580475327</c:v>
                </c:pt>
                <c:pt idx="7">
                  <c:v>2.0148780667560264</c:v>
                </c:pt>
                <c:pt idx="8">
                  <c:v>2.4491270225733786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16672"/>
        <c:axId val="81918208"/>
      </c:lineChart>
      <c:dateAx>
        <c:axId val="81916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18208"/>
        <c:crosses val="autoZero"/>
        <c:auto val="1"/>
        <c:lblOffset val="100"/>
        <c:baseTimeUnit val="months"/>
      </c:dateAx>
      <c:valAx>
        <c:axId val="819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1107195975503062"/>
          <c:y val="0.19480351414406533"/>
          <c:w val="0.54594072615922995"/>
          <c:h val="0.59763815981335666"/>
        </c:manualLayout>
      </c:layout>
      <c:lineChart>
        <c:grouping val="standard"/>
        <c:varyColors val="0"/>
        <c:ser>
          <c:idx val="0"/>
          <c:order val="0"/>
          <c:tx>
            <c:strRef>
              <c:f>GRAFICAS!$A$126</c:f>
              <c:strCache>
                <c:ptCount val="1"/>
                <c:pt idx="0">
                  <c:v>PROVEEDORES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GRAFICAS!$B$125:$M$125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</c:numCache>
            </c:numRef>
          </c:cat>
          <c:val>
            <c:numRef>
              <c:f>GRAFICAS!$B$126:$M$126</c:f>
              <c:numCache>
                <c:formatCode>[$$-240A]\ #,##0_ ;[Red]\-[$$-240A]\ #,##0\ </c:formatCode>
                <c:ptCount val="12"/>
                <c:pt idx="0">
                  <c:v>130111776</c:v>
                </c:pt>
                <c:pt idx="1">
                  <c:v>109320038</c:v>
                </c:pt>
                <c:pt idx="2">
                  <c:v>190969397</c:v>
                </c:pt>
                <c:pt idx="3">
                  <c:v>188336511</c:v>
                </c:pt>
                <c:pt idx="4">
                  <c:v>244505252</c:v>
                </c:pt>
                <c:pt idx="5">
                  <c:v>363400350</c:v>
                </c:pt>
                <c:pt idx="6">
                  <c:v>195606484</c:v>
                </c:pt>
                <c:pt idx="7">
                  <c:v>375965174</c:v>
                </c:pt>
                <c:pt idx="8">
                  <c:v>290214402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32672"/>
        <c:axId val="82350848"/>
      </c:lineChart>
      <c:dateAx>
        <c:axId val="82332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350848"/>
        <c:crosses val="autoZero"/>
        <c:auto val="1"/>
        <c:lblOffset val="100"/>
        <c:baseTimeUnit val="months"/>
      </c:dateAx>
      <c:valAx>
        <c:axId val="823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240A]\ #,##0_ ;[Red]\-[$$-240A]\ 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3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479456484507127"/>
          <c:y val="0.19857142857142857"/>
          <c:w val="0.80895636359605139"/>
          <c:h val="0.54707203266258386"/>
        </c:manualLayout>
      </c:layout>
      <c:lineChart>
        <c:grouping val="standard"/>
        <c:varyColors val="0"/>
        <c:ser>
          <c:idx val="0"/>
          <c:order val="0"/>
          <c:tx>
            <c:strRef>
              <c:f>GRAFICAS!$A$46</c:f>
              <c:strCache>
                <c:ptCount val="1"/>
                <c:pt idx="0">
                  <c:v>Inventarios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GRAFICAS!$B$45:$J$45</c:f>
              <c:numCache>
                <c:formatCode>mmm\-yy</c:formatCode>
                <c:ptCount val="9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</c:numCache>
            </c:numRef>
          </c:cat>
          <c:val>
            <c:numRef>
              <c:f>GRAFICAS!$B$46:$J$46</c:f>
              <c:numCache>
                <c:formatCode>[$$-240A]\ #,##0_ ;[Red]\-[$$-240A]\ #,##0\ </c:formatCode>
                <c:ptCount val="9"/>
                <c:pt idx="0">
                  <c:v>105783915.42</c:v>
                </c:pt>
                <c:pt idx="1">
                  <c:v>104748463.3</c:v>
                </c:pt>
                <c:pt idx="2">
                  <c:v>126428079.25</c:v>
                </c:pt>
                <c:pt idx="3">
                  <c:v>125046701.34</c:v>
                </c:pt>
                <c:pt idx="4">
                  <c:v>123052360.14</c:v>
                </c:pt>
                <c:pt idx="5">
                  <c:v>126366146.87</c:v>
                </c:pt>
                <c:pt idx="6">
                  <c:v>111074071</c:v>
                </c:pt>
                <c:pt idx="7">
                  <c:v>104908236.28</c:v>
                </c:pt>
                <c:pt idx="8">
                  <c:v>100681779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94752"/>
        <c:axId val="93596288"/>
      </c:lineChart>
      <c:dateAx>
        <c:axId val="935947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96288"/>
        <c:crosses val="autoZero"/>
        <c:auto val="1"/>
        <c:lblOffset val="100"/>
        <c:baseTimeUnit val="months"/>
      </c:dateAx>
      <c:valAx>
        <c:axId val="935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240A]\ #,##0_ ;[Red]\-[$$-240A]\ 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9924401642982"/>
          <c:y val="5.8728090875711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1107195975503062"/>
          <c:y val="0.19480351414406533"/>
          <c:w val="0.54594072615922995"/>
          <c:h val="0.59763815981335666"/>
        </c:manualLayout>
      </c:layout>
      <c:lineChart>
        <c:grouping val="standard"/>
        <c:varyColors val="0"/>
        <c:ser>
          <c:idx val="0"/>
          <c:order val="0"/>
          <c:tx>
            <c:strRef>
              <c:f>GRAFICAS!$A$147</c:f>
              <c:strCache>
                <c:ptCount val="1"/>
                <c:pt idx="0">
                  <c:v>INVENTARIO EN DÍAS VENTA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GRAFICAS!$B$125:$M$125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</c:numCache>
            </c:numRef>
          </c:cat>
          <c:val>
            <c:numRef>
              <c:f>GRAFICAS!$B$147:$M$147</c:f>
              <c:numCache>
                <c:formatCode>0.0</c:formatCode>
                <c:ptCount val="12"/>
                <c:pt idx="0">
                  <c:v>25.549669060284689</c:v>
                </c:pt>
                <c:pt idx="1">
                  <c:v>35.35382621306848</c:v>
                </c:pt>
                <c:pt idx="2">
                  <c:v>23.242437523073608</c:v>
                </c:pt>
                <c:pt idx="3">
                  <c:v>22.545912708472351</c:v>
                </c:pt>
                <c:pt idx="4">
                  <c:v>21.582745796006719</c:v>
                </c:pt>
                <c:pt idx="5">
                  <c:v>20.5037766870703</c:v>
                </c:pt>
                <c:pt idx="6">
                  <c:v>17.111858112095593</c:v>
                </c:pt>
                <c:pt idx="7">
                  <c:v>14.631474187942322</c:v>
                </c:pt>
                <c:pt idx="8">
                  <c:v>13.61767093421728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13440"/>
        <c:axId val="93648000"/>
      </c:lineChart>
      <c:dateAx>
        <c:axId val="93613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648000"/>
        <c:crosses val="autoZero"/>
        <c:auto val="1"/>
        <c:lblOffset val="100"/>
        <c:baseTimeUnit val="months"/>
      </c:dateAx>
      <c:valAx>
        <c:axId val="936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61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07195975503062"/>
          <c:y val="0.19480351414406533"/>
          <c:w val="0.54594072615922995"/>
          <c:h val="0.59763815981335666"/>
        </c:manualLayout>
      </c:layout>
      <c:lineChart>
        <c:grouping val="standard"/>
        <c:varyColors val="0"/>
        <c:ser>
          <c:idx val="0"/>
          <c:order val="0"/>
          <c:tx>
            <c:strRef>
              <c:f>GRAFICAS!$A$168</c:f>
              <c:strCache>
                <c:ptCount val="1"/>
                <c:pt idx="0">
                  <c:v>GASTO FIJO DE VENTAS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GRAFICAS!$B$125:$M$125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</c:numCache>
            </c:numRef>
          </c:cat>
          <c:val>
            <c:numRef>
              <c:f>GRAFICAS!$B$168:$M$168</c:f>
              <c:numCache>
                <c:formatCode>_(* #,##0_);_(* \(#,##0\);_(* "-"??_);_(@_)</c:formatCode>
                <c:ptCount val="12"/>
                <c:pt idx="0">
                  <c:v>20905605</c:v>
                </c:pt>
                <c:pt idx="1">
                  <c:v>36958558</c:v>
                </c:pt>
                <c:pt idx="2">
                  <c:v>38041483.640000001</c:v>
                </c:pt>
                <c:pt idx="3">
                  <c:v>26730247</c:v>
                </c:pt>
                <c:pt idx="4">
                  <c:v>33631961.569871113</c:v>
                </c:pt>
                <c:pt idx="5">
                  <c:v>36777849.107281893</c:v>
                </c:pt>
                <c:pt idx="6">
                  <c:v>35361640.372846991</c:v>
                </c:pt>
                <c:pt idx="7">
                  <c:v>31375192</c:v>
                </c:pt>
                <c:pt idx="8">
                  <c:v>43396219.910000026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GRAFICAS!$A$171</c:f>
              <c:strCache>
                <c:ptCount val="1"/>
                <c:pt idx="0">
                  <c:v>GASTO FIJO VTAS  S/VTAS NETAS</c:v>
                </c:pt>
              </c:strCache>
            </c:strRef>
          </c:tx>
          <c:marker>
            <c:symbol val="none"/>
          </c:marker>
          <c:cat>
            <c:numRef>
              <c:f>GRAFICAS!$B$125:$M$125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</c:numCache>
            </c:numRef>
          </c:cat>
          <c:val>
            <c:numRef>
              <c:f>GRAFICAS!#REF!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GRAFICAS!$A$169</c:f>
              <c:strCache>
                <c:ptCount val="1"/>
                <c:pt idx="0">
                  <c:v>GASTO VARIABLE DE VENTAS</c:v>
                </c:pt>
              </c:strCache>
            </c:strRef>
          </c:tx>
          <c:marker>
            <c:symbol val="none"/>
          </c:marker>
          <c:cat>
            <c:numRef>
              <c:f>GRAFICAS!$B$125:$M$125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</c:numCache>
            </c:numRef>
          </c:cat>
          <c:val>
            <c:numRef>
              <c:f>GRAFICAS!$B$169:$M$169</c:f>
              <c:numCache>
                <c:formatCode>_(* #,##0_);_(* \(#,##0\);_(* "-"??_);_(@_)</c:formatCode>
                <c:ptCount val="12"/>
                <c:pt idx="0">
                  <c:v>1850034</c:v>
                </c:pt>
                <c:pt idx="1">
                  <c:v>7653326</c:v>
                </c:pt>
                <c:pt idx="2">
                  <c:v>18577286</c:v>
                </c:pt>
                <c:pt idx="3">
                  <c:v>7921754</c:v>
                </c:pt>
                <c:pt idx="4">
                  <c:v>12377503</c:v>
                </c:pt>
                <c:pt idx="5">
                  <c:v>10380392</c:v>
                </c:pt>
                <c:pt idx="6">
                  <c:v>10992414</c:v>
                </c:pt>
                <c:pt idx="7">
                  <c:v>11516574</c:v>
                </c:pt>
                <c:pt idx="8">
                  <c:v>11770245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GRAFICAS!$A$170</c:f>
              <c:strCache>
                <c:ptCount val="1"/>
                <c:pt idx="0">
                  <c:v>GASTO VARIABLE VTAS  S/VTAS NETAS</c:v>
                </c:pt>
              </c:strCache>
            </c:strRef>
          </c:tx>
          <c:marker>
            <c:symbol val="none"/>
          </c:marker>
          <c:cat>
            <c:numRef>
              <c:f>GRAFICAS!$B$125:$M$125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</c:numCache>
            </c:numRef>
          </c:cat>
          <c:val>
            <c:numRef>
              <c:f>GRAFICAS!$B$170:$M$170</c:f>
              <c:numCache>
                <c:formatCode>0%</c:formatCode>
                <c:ptCount val="12"/>
                <c:pt idx="0">
                  <c:v>1.4413971453521721E-2</c:v>
                </c:pt>
                <c:pt idx="1">
                  <c:v>0.16473386164451762</c:v>
                </c:pt>
                <c:pt idx="2">
                  <c:v>5.9022453448380856E-2</c:v>
                </c:pt>
                <c:pt idx="3">
                  <c:v>4.5010126257665699E-2</c:v>
                </c:pt>
                <c:pt idx="4">
                  <c:v>6.3358307138926179E-2</c:v>
                </c:pt>
                <c:pt idx="5">
                  <c:v>4.077133419030813E-2</c:v>
                </c:pt>
                <c:pt idx="6">
                  <c:v>4.2182908633407547E-2</c:v>
                </c:pt>
                <c:pt idx="7">
                  <c:v>3.1447574417736122E-2</c:v>
                </c:pt>
                <c:pt idx="8">
                  <c:v>4.1519066576557469E-2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GRAFICAS!#REF!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GRAFICAS!$B$125:$M$125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</c:numCache>
            </c:numRef>
          </c:cat>
          <c:val>
            <c:numRef>
              <c:f>GRAFICAS!$J$171:$M$171</c:f>
              <c:numCache>
                <c:formatCode>General</c:formatCode>
                <c:ptCount val="4"/>
                <c:pt idx="0" formatCode="0%">
                  <c:v>0.15307842305867209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76288"/>
        <c:axId val="93677824"/>
      </c:lineChart>
      <c:dateAx>
        <c:axId val="93676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677824"/>
        <c:crosses val="autoZero"/>
        <c:auto val="1"/>
        <c:lblOffset val="100"/>
        <c:baseTimeUnit val="months"/>
      </c:dateAx>
      <c:valAx>
        <c:axId val="936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6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23812</xdr:rowOff>
    </xdr:from>
    <xdr:to>
      <xdr:col>6</xdr:col>
      <xdr:colOff>0</xdr:colOff>
      <xdr:row>20</xdr:row>
      <xdr:rowOff>100012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27</xdr:row>
      <xdr:rowOff>14287</xdr:rowOff>
    </xdr:from>
    <xdr:to>
      <xdr:col>6</xdr:col>
      <xdr:colOff>28575</xdr:colOff>
      <xdr:row>41</xdr:row>
      <xdr:rowOff>90487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2581274</xdr:colOff>
      <xdr:row>67</xdr:row>
      <xdr:rowOff>166687</xdr:rowOff>
    </xdr:from>
    <xdr:to>
      <xdr:col>5</xdr:col>
      <xdr:colOff>981073</xdr:colOff>
      <xdr:row>82</xdr:row>
      <xdr:rowOff>52387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87</xdr:row>
      <xdr:rowOff>128587</xdr:rowOff>
    </xdr:from>
    <xdr:to>
      <xdr:col>6</xdr:col>
      <xdr:colOff>0</xdr:colOff>
      <xdr:row>100</xdr:row>
      <xdr:rowOff>95250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2609849</xdr:colOff>
      <xdr:row>106</xdr:row>
      <xdr:rowOff>185737</xdr:rowOff>
    </xdr:from>
    <xdr:to>
      <xdr:col>6</xdr:col>
      <xdr:colOff>19049</xdr:colOff>
      <xdr:row>121</xdr:row>
      <xdr:rowOff>71437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128</xdr:row>
      <xdr:rowOff>33336</xdr:rowOff>
    </xdr:from>
    <xdr:to>
      <xdr:col>6</xdr:col>
      <xdr:colOff>161925</xdr:colOff>
      <xdr:row>143</xdr:row>
      <xdr:rowOff>161924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2600324</xdr:colOff>
      <xdr:row>47</xdr:row>
      <xdr:rowOff>14287</xdr:rowOff>
    </xdr:from>
    <xdr:to>
      <xdr:col>5</xdr:col>
      <xdr:colOff>981073</xdr:colOff>
      <xdr:row>61</xdr:row>
      <xdr:rowOff>80962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16668</xdr:colOff>
      <xdr:row>148</xdr:row>
      <xdr:rowOff>109537</xdr:rowOff>
    </xdr:from>
    <xdr:to>
      <xdr:col>6</xdr:col>
      <xdr:colOff>285749</xdr:colOff>
      <xdr:row>165</xdr:row>
      <xdr:rowOff>107156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23812</xdr:colOff>
      <xdr:row>171</xdr:row>
      <xdr:rowOff>142876</xdr:rowOff>
    </xdr:from>
    <xdr:to>
      <xdr:col>6</xdr:col>
      <xdr:colOff>176212</xdr:colOff>
      <xdr:row>187</xdr:row>
      <xdr:rowOff>104776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194</xdr:row>
      <xdr:rowOff>0</xdr:rowOff>
    </xdr:from>
    <xdr:to>
      <xdr:col>6</xdr:col>
      <xdr:colOff>152400</xdr:colOff>
      <xdr:row>209</xdr:row>
      <xdr:rowOff>128588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215</xdr:row>
      <xdr:rowOff>0</xdr:rowOff>
    </xdr:from>
    <xdr:to>
      <xdr:col>6</xdr:col>
      <xdr:colOff>152400</xdr:colOff>
      <xdr:row>230</xdr:row>
      <xdr:rowOff>128587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uarez\Desktop\MAYOR\COREV\A&#209;O%202010\VENTAS\RESULTADOS%20x%20ZONAS%20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os%20Raul%20Pulido\PGA%20Consultores%20Empresariales\PGA%20Consultores%20Empresariales\Clientes\Decorare\2015\Balances%20de%20comprobaci&#243;n\Balance%20de%20comprobacion%20abr-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ammaert\Dropbox%20(corevmx)\COREV\RESULTADOS%20TRIMESTRALES\FINANCIEROS%20HSR\FINANCIEROS%20HSR%20MAY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Ene10"/>
      <sheetName val="BalFeb10"/>
      <sheetName val="BalMzo10"/>
      <sheetName val="BalAbr10"/>
      <sheetName val="BalMay10"/>
      <sheetName val="BalJun10"/>
      <sheetName val="FORANEOS"/>
      <sheetName val="DF"/>
    </sheetNames>
    <sheetDataSet>
      <sheetData sheetId="0">
        <row r="10">
          <cell r="A10" t="str">
            <v>CUENTA</v>
          </cell>
          <cell r="B10" t="str">
            <v>NOMBRE</v>
          </cell>
          <cell r="C10" t="str">
            <v>SALDO INICIAL</v>
          </cell>
          <cell r="D10" t="str">
            <v>CARGOS</v>
          </cell>
          <cell r="E10" t="str">
            <v>ABONOS</v>
          </cell>
          <cell r="F10" t="str">
            <v>SALDO FINAL</v>
          </cell>
        </row>
        <row r="12">
          <cell r="A12" t="str">
            <v>10000000-00000000-00000000</v>
          </cell>
          <cell r="C12">
            <v>76300084.25</v>
          </cell>
          <cell r="D12">
            <v>80561132.620000005</v>
          </cell>
          <cell r="E12">
            <v>79727425.579999998</v>
          </cell>
          <cell r="F12">
            <v>77133791.290000007</v>
          </cell>
        </row>
        <row r="13">
          <cell r="B13" t="str">
            <v>ACTIVO</v>
          </cell>
        </row>
        <row r="20">
          <cell r="A20" t="str">
            <v>11000000-00000000-00000000</v>
          </cell>
          <cell r="B20" t="str">
            <v>CIRCULANTE</v>
          </cell>
          <cell r="C20">
            <v>37060014.280000001</v>
          </cell>
          <cell r="D20">
            <v>77834755.790000007</v>
          </cell>
          <cell r="E20">
            <v>76838450.799999997</v>
          </cell>
          <cell r="F20">
            <v>38056319.270000003</v>
          </cell>
        </row>
        <row r="23">
          <cell r="A23" t="str">
            <v>11100000-00000000-00000000</v>
          </cell>
          <cell r="B23" t="str">
            <v>CAJA, BANCOS E INVERSIONES</v>
          </cell>
          <cell r="C23">
            <v>11039092.720000001</v>
          </cell>
          <cell r="D23">
            <v>40635442.090000004</v>
          </cell>
          <cell r="E23">
            <v>41402762.439999998</v>
          </cell>
          <cell r="F23">
            <v>10271772.369999999</v>
          </cell>
        </row>
        <row r="24">
          <cell r="F24">
            <v>10271772.369999999</v>
          </cell>
        </row>
        <row r="25">
          <cell r="A25" t="str">
            <v>11100000-00000000-00000000</v>
          </cell>
          <cell r="B25" t="str">
            <v>CAJA, BANCOS E INVERSIONES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11100000-00000000-00000000</v>
          </cell>
          <cell r="B26" t="str">
            <v>CAJA, BANCOS E INVERSIONES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A27" t="str">
            <v>11100000-00100000-00000000</v>
          </cell>
          <cell r="B27" t="str">
            <v>CAJA, BANCOS E INVERSIONES</v>
          </cell>
          <cell r="C27">
            <v>11039092.720000001</v>
          </cell>
          <cell r="D27">
            <v>40635442.090000004</v>
          </cell>
          <cell r="E27">
            <v>41402762.439999998</v>
          </cell>
        </row>
        <row r="28">
          <cell r="A28" t="str">
            <v>11100000-00101000-00000000</v>
          </cell>
          <cell r="B28" t="str">
            <v>CAJA MN</v>
          </cell>
          <cell r="C28">
            <v>45300</v>
          </cell>
          <cell r="D28">
            <v>0</v>
          </cell>
          <cell r="E28">
            <v>0</v>
          </cell>
          <cell r="F28">
            <v>45300</v>
          </cell>
        </row>
        <row r="29">
          <cell r="A29" t="str">
            <v>11100000-00101000-00010000</v>
          </cell>
          <cell r="B29" t="str">
            <v>CAJA CHICA D. ADMINISTRATIVA</v>
          </cell>
          <cell r="C29">
            <v>4000</v>
          </cell>
          <cell r="D29">
            <v>0</v>
          </cell>
          <cell r="E29">
            <v>0</v>
          </cell>
          <cell r="F29">
            <v>4000</v>
          </cell>
        </row>
        <row r="30">
          <cell r="A30" t="str">
            <v>11100000-00101000-00020000</v>
          </cell>
          <cell r="B30" t="str">
            <v>CAJA CHICA DEPARTAMENTO COMERC</v>
          </cell>
          <cell r="C30">
            <v>6500</v>
          </cell>
          <cell r="D30">
            <v>0</v>
          </cell>
          <cell r="E30">
            <v>0</v>
          </cell>
          <cell r="F30">
            <v>6500</v>
          </cell>
        </row>
        <row r="31">
          <cell r="A31" t="str">
            <v>11100000-00101000-00030000</v>
          </cell>
          <cell r="B31" t="str">
            <v>CAJA CHICA DEPTO. PRODUCCION</v>
          </cell>
          <cell r="C31">
            <v>3800</v>
          </cell>
          <cell r="D31">
            <v>0</v>
          </cell>
          <cell r="E31">
            <v>0</v>
          </cell>
          <cell r="F31">
            <v>3800</v>
          </cell>
        </row>
        <row r="32">
          <cell r="A32" t="str">
            <v>11100000-00101000-00040000</v>
          </cell>
          <cell r="B32" t="str">
            <v>CAJA CHICA RECURSOS HUMANOS</v>
          </cell>
          <cell r="C32">
            <v>2000</v>
          </cell>
          <cell r="D32">
            <v>0</v>
          </cell>
          <cell r="E32">
            <v>0</v>
          </cell>
          <cell r="F32">
            <v>2000</v>
          </cell>
        </row>
        <row r="33">
          <cell r="A33" t="str">
            <v>11100000-00101000-00050000</v>
          </cell>
          <cell r="B33" t="str">
            <v>CAJA CHICA MODULO CLIENTES</v>
          </cell>
          <cell r="C33">
            <v>1000</v>
          </cell>
          <cell r="D33">
            <v>0</v>
          </cell>
          <cell r="E33">
            <v>0</v>
          </cell>
          <cell r="F33">
            <v>1000</v>
          </cell>
        </row>
        <row r="34">
          <cell r="A34" t="str">
            <v>11100000-00101000-00060000</v>
          </cell>
          <cell r="B34" t="str">
            <v>CAJA CHICA GUADALAJARA</v>
          </cell>
          <cell r="C34">
            <v>1000</v>
          </cell>
          <cell r="D34">
            <v>0</v>
          </cell>
          <cell r="E34">
            <v>0</v>
          </cell>
          <cell r="F34">
            <v>1000</v>
          </cell>
        </row>
        <row r="35">
          <cell r="A35" t="str">
            <v>11100000-00101000-00070000</v>
          </cell>
          <cell r="B35" t="str">
            <v>CAJA CHICA GENERAL</v>
          </cell>
          <cell r="C35">
            <v>12000</v>
          </cell>
          <cell r="D35">
            <v>0</v>
          </cell>
          <cell r="E35">
            <v>0</v>
          </cell>
          <cell r="F35">
            <v>12000</v>
          </cell>
        </row>
        <row r="36">
          <cell r="A36" t="str">
            <v>11100000-00101000-00090000</v>
          </cell>
          <cell r="B36" t="str">
            <v>CAJA CHICA DIREC GENERAL</v>
          </cell>
          <cell r="C36">
            <v>2000</v>
          </cell>
          <cell r="D36">
            <v>0</v>
          </cell>
          <cell r="E36">
            <v>0</v>
          </cell>
          <cell r="F36">
            <v>2000</v>
          </cell>
        </row>
        <row r="37">
          <cell r="A37" t="str">
            <v>11100000-00101000-00100000</v>
          </cell>
          <cell r="B37" t="str">
            <v>CAJA CHICA G. DE ADQUISICIONES</v>
          </cell>
          <cell r="C37">
            <v>1500</v>
          </cell>
          <cell r="D37">
            <v>0</v>
          </cell>
          <cell r="E37">
            <v>0</v>
          </cell>
          <cell r="F37">
            <v>1500</v>
          </cell>
        </row>
        <row r="38">
          <cell r="A38" t="str">
            <v>11100000-00101000-00110000</v>
          </cell>
          <cell r="B38" t="str">
            <v>CAJA CHICA D. COMERCIO INTERN.</v>
          </cell>
          <cell r="C38">
            <v>4000</v>
          </cell>
          <cell r="D38">
            <v>0</v>
          </cell>
          <cell r="E38">
            <v>0</v>
          </cell>
          <cell r="F38">
            <v>4000</v>
          </cell>
        </row>
        <row r="39">
          <cell r="A39" t="str">
            <v>11100000-00101000-00140000</v>
          </cell>
          <cell r="B39" t="str">
            <v>CAJA CHICA CANCUN</v>
          </cell>
          <cell r="C39">
            <v>3500</v>
          </cell>
          <cell r="D39">
            <v>0</v>
          </cell>
          <cell r="E39">
            <v>0</v>
          </cell>
          <cell r="F39">
            <v>3500</v>
          </cell>
        </row>
        <row r="40">
          <cell r="A40" t="str">
            <v>11100000-00101000-00150000</v>
          </cell>
          <cell r="B40" t="str">
            <v>CAJA CHICA T. JALISCO</v>
          </cell>
          <cell r="C40">
            <v>3000</v>
          </cell>
          <cell r="D40">
            <v>0</v>
          </cell>
          <cell r="E40">
            <v>0</v>
          </cell>
          <cell r="F40">
            <v>3000</v>
          </cell>
        </row>
        <row r="41">
          <cell r="A41" t="str">
            <v>11100000-00101000-00170000</v>
          </cell>
          <cell r="B41" t="str">
            <v>CAJA CHICA LABORATORIO</v>
          </cell>
          <cell r="C41">
            <v>1000</v>
          </cell>
          <cell r="D41">
            <v>0</v>
          </cell>
          <cell r="E41">
            <v>0</v>
          </cell>
          <cell r="F41">
            <v>1000</v>
          </cell>
        </row>
        <row r="42">
          <cell r="A42" t="str">
            <v>11100000-00102000-00000000</v>
          </cell>
          <cell r="B42" t="str">
            <v>CAJA GENERAL COBRANZA</v>
          </cell>
          <cell r="C42">
            <v>0</v>
          </cell>
          <cell r="D42">
            <v>782.21</v>
          </cell>
          <cell r="E42">
            <v>0</v>
          </cell>
          <cell r="F42">
            <v>782.21</v>
          </cell>
        </row>
        <row r="43">
          <cell r="A43" t="str">
            <v>11100000-00102000-00200000</v>
          </cell>
          <cell r="B43" t="str">
            <v>CAJA GRAL. CANCUN</v>
          </cell>
          <cell r="C43">
            <v>0</v>
          </cell>
          <cell r="D43">
            <v>782.21</v>
          </cell>
          <cell r="E43">
            <v>0</v>
          </cell>
          <cell r="F43">
            <v>782.21</v>
          </cell>
        </row>
        <row r="44">
          <cell r="A44" t="str">
            <v>11100000-00103000-00000000</v>
          </cell>
          <cell r="B44" t="str">
            <v>BANCOS MN</v>
          </cell>
          <cell r="C44">
            <v>1870969.42</v>
          </cell>
          <cell r="D44">
            <v>32680487.68</v>
          </cell>
          <cell r="E44">
            <v>33444952.27</v>
          </cell>
          <cell r="F44">
            <v>1106504.83</v>
          </cell>
        </row>
        <row r="45">
          <cell r="A45" t="str">
            <v>11100000-00103000-00010000</v>
          </cell>
          <cell r="B45" t="str">
            <v>BANAMEX CTA. 1515-8</v>
          </cell>
          <cell r="C45">
            <v>545989.85</v>
          </cell>
          <cell r="D45">
            <v>2550461.04</v>
          </cell>
          <cell r="E45">
            <v>3096386.77</v>
          </cell>
          <cell r="F45">
            <v>64.12</v>
          </cell>
        </row>
        <row r="46">
          <cell r="A46" t="str">
            <v>11100000-00103000-00030000</v>
          </cell>
          <cell r="B46" t="str">
            <v>BANAMEX CTA. 042047-7</v>
          </cell>
          <cell r="C46">
            <v>63277.32</v>
          </cell>
          <cell r="D46">
            <v>5551138.5599999996</v>
          </cell>
          <cell r="E46">
            <v>5271522.8099999996</v>
          </cell>
          <cell r="F46">
            <v>342893.07</v>
          </cell>
        </row>
        <row r="47">
          <cell r="A47" t="str">
            <v>11100000-00103000-00040000</v>
          </cell>
          <cell r="B47" t="str">
            <v>BANCA SERFIN,SA CTA.918720-6</v>
          </cell>
          <cell r="C47">
            <v>98835.43</v>
          </cell>
          <cell r="D47">
            <v>5114161.54</v>
          </cell>
          <cell r="E47">
            <v>5209646.38</v>
          </cell>
          <cell r="F47">
            <v>3350.59</v>
          </cell>
        </row>
        <row r="48">
          <cell r="A48" t="str">
            <v>11100000-00103000-00050000</v>
          </cell>
          <cell r="B48" t="str">
            <v>BANCRECER CTA 01610114746142</v>
          </cell>
          <cell r="C48">
            <v>123012.3</v>
          </cell>
          <cell r="D48">
            <v>793733.94</v>
          </cell>
          <cell r="E48">
            <v>700891.72</v>
          </cell>
          <cell r="F48">
            <v>215854.52</v>
          </cell>
        </row>
        <row r="49">
          <cell r="A49" t="str">
            <v>11100000-00103000-00060000</v>
          </cell>
          <cell r="B49" t="str">
            <v>BCO BILBAO VIZCAYA CTA 1101057</v>
          </cell>
          <cell r="C49">
            <v>269144.93</v>
          </cell>
          <cell r="D49">
            <v>16198147.439999999</v>
          </cell>
          <cell r="E49">
            <v>16126842.689999999</v>
          </cell>
          <cell r="F49">
            <v>340449.68</v>
          </cell>
        </row>
        <row r="50">
          <cell r="A50" t="str">
            <v>11100000-00103000-00070000</v>
          </cell>
          <cell r="B50" t="str">
            <v>BANCO BITAL CTA 4005458088</v>
          </cell>
          <cell r="C50">
            <v>770848.99</v>
          </cell>
          <cell r="D50">
            <v>2472845.16</v>
          </cell>
          <cell r="E50">
            <v>3039661.9</v>
          </cell>
          <cell r="F50">
            <v>204032.25</v>
          </cell>
        </row>
        <row r="51">
          <cell r="A51" t="str">
            <v>11100000-00103000-00100000</v>
          </cell>
          <cell r="B51" t="str">
            <v>INBURSA S.A. CTA 11535350011</v>
          </cell>
          <cell r="C51">
            <v>-139.4</v>
          </cell>
          <cell r="D51">
            <v>0</v>
          </cell>
          <cell r="E51">
            <v>0</v>
          </cell>
          <cell r="F51">
            <v>-139.4</v>
          </cell>
        </row>
        <row r="52">
          <cell r="A52" t="str">
            <v>11100000-00104000-00000000</v>
          </cell>
          <cell r="B52" t="str">
            <v>BANCOS USD</v>
          </cell>
          <cell r="C52">
            <v>722766.94</v>
          </cell>
          <cell r="D52">
            <v>1199602.77</v>
          </cell>
          <cell r="E52">
            <v>367388.58</v>
          </cell>
          <cell r="F52">
            <v>1554981.13</v>
          </cell>
        </row>
        <row r="53">
          <cell r="A53" t="str">
            <v>11100000-00104000-00110000</v>
          </cell>
          <cell r="B53" t="str">
            <v>BCO BBVA CTA 1161001 USD</v>
          </cell>
          <cell r="C53">
            <v>2679.45</v>
          </cell>
          <cell r="D53">
            <v>30043.360000000001</v>
          </cell>
          <cell r="E53">
            <v>28488.05</v>
          </cell>
          <cell r="F53">
            <v>4234.76</v>
          </cell>
        </row>
        <row r="54">
          <cell r="A54" t="str">
            <v>11100000-00104000-00120000</v>
          </cell>
          <cell r="B54" t="str">
            <v>BCO BBVA CTA 1161001 USD INT</v>
          </cell>
          <cell r="C54">
            <v>32270.49</v>
          </cell>
          <cell r="D54">
            <v>356592.88</v>
          </cell>
          <cell r="E54">
            <v>338056.84</v>
          </cell>
          <cell r="F54">
            <v>50806.53</v>
          </cell>
        </row>
        <row r="55">
          <cell r="A55" t="str">
            <v>11100000-00104000-00210000</v>
          </cell>
          <cell r="B55" t="str">
            <v>CALIF COM BANK 8559201 USD</v>
          </cell>
          <cell r="C55">
            <v>13282.13</v>
          </cell>
          <cell r="D55">
            <v>11771.7</v>
          </cell>
          <cell r="E55">
            <v>0</v>
          </cell>
          <cell r="F55">
            <v>25053.83</v>
          </cell>
        </row>
        <row r="56">
          <cell r="A56" t="str">
            <v>11100000-00104000-00220000</v>
          </cell>
          <cell r="B56" t="str">
            <v>CALIF COM BANK 8559201 USD INT</v>
          </cell>
          <cell r="C56">
            <v>159965.99</v>
          </cell>
          <cell r="D56">
            <v>140617.34</v>
          </cell>
          <cell r="E56">
            <v>0</v>
          </cell>
          <cell r="F56">
            <v>300583.33</v>
          </cell>
        </row>
        <row r="57">
          <cell r="A57" t="str">
            <v>11100000-00104000-00230000</v>
          </cell>
          <cell r="B57" t="str">
            <v>HELM BANK 1040111987</v>
          </cell>
          <cell r="C57">
            <v>39449.61</v>
          </cell>
          <cell r="D57">
            <v>50964.74</v>
          </cell>
          <cell r="E57">
            <v>66</v>
          </cell>
          <cell r="F57">
            <v>90348.35</v>
          </cell>
        </row>
        <row r="58">
          <cell r="A58" t="str">
            <v>11100000-00104000-00240000</v>
          </cell>
          <cell r="B58" t="str">
            <v>HELM BANK 1040111987 INT.</v>
          </cell>
          <cell r="C58">
            <v>475119.27</v>
          </cell>
          <cell r="D58">
            <v>609612.75</v>
          </cell>
          <cell r="E58">
            <v>777.69</v>
          </cell>
          <cell r="F58">
            <v>1083954.33</v>
          </cell>
        </row>
        <row r="59">
          <cell r="A59" t="str">
            <v>11100000-00105000-00000000</v>
          </cell>
          <cell r="B59" t="str">
            <v>INVERSIONES EN VALORES MN</v>
          </cell>
          <cell r="C59">
            <v>7473233.6500000004</v>
          </cell>
          <cell r="D59">
            <v>6754531.0899999999</v>
          </cell>
          <cell r="E59">
            <v>7587139.6200000001</v>
          </cell>
          <cell r="F59">
            <v>6640625.1200000001</v>
          </cell>
        </row>
        <row r="60">
          <cell r="A60" t="str">
            <v>11100000-00105000-00140000</v>
          </cell>
          <cell r="B60" t="str">
            <v>BITAL INVERSIONES 6154089271</v>
          </cell>
          <cell r="C60">
            <v>0.01</v>
          </cell>
          <cell r="D60">
            <v>0</v>
          </cell>
          <cell r="E60">
            <v>0</v>
          </cell>
          <cell r="F60">
            <v>0.01</v>
          </cell>
        </row>
        <row r="61">
          <cell r="A61" t="str">
            <v>11100000-00105000-00150000</v>
          </cell>
          <cell r="B61" t="str">
            <v>BBVA BANCOMER INVERS 20747750</v>
          </cell>
          <cell r="C61">
            <v>4356377.43</v>
          </cell>
          <cell r="D61">
            <v>4469529.17</v>
          </cell>
          <cell r="E61">
            <v>5760257.4199999999</v>
          </cell>
          <cell r="F61">
            <v>3065649.18</v>
          </cell>
        </row>
        <row r="62">
          <cell r="A62" t="str">
            <v>11100000-00105000-00160000</v>
          </cell>
          <cell r="B62" t="str">
            <v>SERFIN INVERSIONES 50000124593</v>
          </cell>
          <cell r="C62">
            <v>3116856.21</v>
          </cell>
          <cell r="D62">
            <v>2285001.92</v>
          </cell>
          <cell r="E62">
            <v>1826882.2</v>
          </cell>
          <cell r="F62">
            <v>3574975.93</v>
          </cell>
        </row>
        <row r="63">
          <cell r="A63" t="str">
            <v>11100000-00106000-00000000</v>
          </cell>
          <cell r="B63" t="str">
            <v>INVERSIONES EN VALORES USD</v>
          </cell>
          <cell r="C63">
            <v>926822.71</v>
          </cell>
          <cell r="D63">
            <v>38.340000000000003</v>
          </cell>
          <cell r="E63">
            <v>3281.97</v>
          </cell>
          <cell r="F63">
            <v>923579.08</v>
          </cell>
        </row>
        <row r="64">
          <cell r="A64" t="str">
            <v>11100000-00106000-00030000</v>
          </cell>
          <cell r="B64" t="str">
            <v>HELM BANK 71600653321</v>
          </cell>
          <cell r="C64">
            <v>71055.199999999997</v>
          </cell>
          <cell r="D64">
            <v>3.01</v>
          </cell>
          <cell r="E64">
            <v>0</v>
          </cell>
          <cell r="F64">
            <v>71058.210000000006</v>
          </cell>
        </row>
        <row r="65">
          <cell r="A65" t="str">
            <v>11100000-00106000-00040000</v>
          </cell>
          <cell r="B65" t="str">
            <v>HELM BANK 71600653321 INT</v>
          </cell>
          <cell r="C65">
            <v>855767.51</v>
          </cell>
          <cell r="D65">
            <v>35.33</v>
          </cell>
          <cell r="E65">
            <v>3281.97</v>
          </cell>
          <cell r="F65">
            <v>852520.87</v>
          </cell>
        </row>
        <row r="66">
          <cell r="A66" t="str">
            <v>11300000-00000000-00000000</v>
          </cell>
          <cell r="B66" t="str">
            <v>CUENTAS POR COBRAR</v>
          </cell>
          <cell r="C66">
            <v>18346532.170000002</v>
          </cell>
          <cell r="D66">
            <v>16211770.16</v>
          </cell>
          <cell r="E66">
            <v>14941590.050000001</v>
          </cell>
          <cell r="F66">
            <v>19616712.280000001</v>
          </cell>
        </row>
        <row r="67">
          <cell r="F67">
            <v>19616712.280000001</v>
          </cell>
        </row>
        <row r="68">
          <cell r="A68" t="str">
            <v>11300000-00100000-00000000</v>
          </cell>
          <cell r="B68" t="str">
            <v>CLIENTES</v>
          </cell>
          <cell r="C68">
            <v>16437754.949999999</v>
          </cell>
          <cell r="D68">
            <v>12352350.01</v>
          </cell>
          <cell r="E68">
            <v>10832504.66</v>
          </cell>
        </row>
        <row r="69">
          <cell r="A69" t="str">
            <v>11300000-00101000-00000000</v>
          </cell>
          <cell r="B69" t="str">
            <v>DISTRIBUID NACIONALES MN Y USD</v>
          </cell>
          <cell r="C69">
            <v>7088447.5199999996</v>
          </cell>
          <cell r="D69">
            <v>9348148.0700000003</v>
          </cell>
          <cell r="E69">
            <v>7354732.8099999996</v>
          </cell>
          <cell r="F69">
            <v>9081862.7799999993</v>
          </cell>
        </row>
        <row r="70">
          <cell r="A70" t="str">
            <v>11300000-00101000-00010000</v>
          </cell>
          <cell r="B70" t="str">
            <v>MOD DISTRIB NAL MN</v>
          </cell>
          <cell r="C70">
            <v>7088447.5199999996</v>
          </cell>
          <cell r="D70">
            <v>9348148.0700000003</v>
          </cell>
          <cell r="E70">
            <v>7354732.8099999996</v>
          </cell>
          <cell r="F70">
            <v>9081862.7799999993</v>
          </cell>
        </row>
        <row r="71">
          <cell r="A71" t="str">
            <v>11300000-00102000-00000000</v>
          </cell>
          <cell r="B71" t="str">
            <v>DISTRIB EXTRANJ MN Y USD</v>
          </cell>
          <cell r="C71">
            <v>4713590.26</v>
          </cell>
          <cell r="D71">
            <v>1709232.73</v>
          </cell>
          <cell r="E71">
            <v>1740367.3</v>
          </cell>
          <cell r="F71">
            <v>4682455.6900000004</v>
          </cell>
        </row>
        <row r="72">
          <cell r="A72" t="str">
            <v>11300000-00102000-00110000</v>
          </cell>
          <cell r="B72" t="str">
            <v>MOD DISTRIB EXTRANJ USD</v>
          </cell>
          <cell r="C72">
            <v>361369.11</v>
          </cell>
          <cell r="D72">
            <v>131431.78</v>
          </cell>
          <cell r="E72">
            <v>132542.71</v>
          </cell>
          <cell r="F72">
            <v>360258.18</v>
          </cell>
        </row>
        <row r="73">
          <cell r="A73" t="str">
            <v>11300000-00102000-00120000</v>
          </cell>
          <cell r="B73" t="str">
            <v>MOD DISTRIB EXTRANJ USD INT</v>
          </cell>
          <cell r="C73">
            <v>4352221.1500000004</v>
          </cell>
          <cell r="D73">
            <v>1577800.95</v>
          </cell>
          <cell r="E73">
            <v>1607824.59</v>
          </cell>
          <cell r="F73">
            <v>4322197.51</v>
          </cell>
        </row>
        <row r="74">
          <cell r="A74" t="str">
            <v>11300000-00103000-00000000</v>
          </cell>
          <cell r="B74" t="str">
            <v>CLIENTES EMPLEADOS MN Y USD</v>
          </cell>
          <cell r="C74">
            <v>7999.57</v>
          </cell>
          <cell r="D74">
            <v>91336.54</v>
          </cell>
          <cell r="E74">
            <v>94617.41</v>
          </cell>
          <cell r="F74">
            <v>4718.7</v>
          </cell>
        </row>
        <row r="75">
          <cell r="A75" t="str">
            <v>11300000-00103000-00010000</v>
          </cell>
          <cell r="B75" t="str">
            <v>MOD CTES EMPLEADOS MN</v>
          </cell>
          <cell r="C75">
            <v>7999.57</v>
          </cell>
          <cell r="D75">
            <v>91336.54</v>
          </cell>
          <cell r="E75">
            <v>94617.41</v>
          </cell>
          <cell r="F75">
            <v>4718.7</v>
          </cell>
        </row>
        <row r="76">
          <cell r="A76" t="str">
            <v>11300000-00104000-00000000</v>
          </cell>
          <cell r="B76" t="str">
            <v>CLIENTES DIVERSOS MN Y USD</v>
          </cell>
          <cell r="C76">
            <v>739307.81</v>
          </cell>
          <cell r="D76">
            <v>450395.17</v>
          </cell>
          <cell r="E76">
            <v>560142.81999999995</v>
          </cell>
          <cell r="F76">
            <v>629560.16</v>
          </cell>
        </row>
        <row r="77">
          <cell r="A77" t="str">
            <v>11300000-00104000-00010000</v>
          </cell>
          <cell r="B77" t="str">
            <v>MOD CTES DIVERSOS MN</v>
          </cell>
          <cell r="C77">
            <v>739307.81</v>
          </cell>
          <cell r="D77">
            <v>450395.17</v>
          </cell>
          <cell r="E77">
            <v>560142.81999999995</v>
          </cell>
          <cell r="F77">
            <v>629560.16</v>
          </cell>
        </row>
        <row r="78">
          <cell r="A78" t="str">
            <v>11300000-00105000-00000000</v>
          </cell>
          <cell r="B78" t="str">
            <v>SUBSIDIARIAS MN Y USD</v>
          </cell>
          <cell r="C78">
            <v>3888406.79</v>
          </cell>
          <cell r="D78">
            <v>733237.5</v>
          </cell>
          <cell r="E78">
            <v>1062644.32</v>
          </cell>
          <cell r="F78">
            <v>3558999.97</v>
          </cell>
        </row>
        <row r="79">
          <cell r="A79" t="str">
            <v>11300000-00105000-00010000</v>
          </cell>
          <cell r="B79" t="str">
            <v>MOD CTAS SUBSIDIARIAS MN</v>
          </cell>
          <cell r="C79">
            <v>3888406.79</v>
          </cell>
          <cell r="D79">
            <v>733237.5</v>
          </cell>
          <cell r="E79">
            <v>1062644.32</v>
          </cell>
          <cell r="F79">
            <v>3558999.97</v>
          </cell>
        </row>
        <row r="80">
          <cell r="A80" t="str">
            <v>11300000-00106000-00000000</v>
          </cell>
          <cell r="B80" t="str">
            <v>DOCUMENTOS POR COBRAR MN Y USD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A81" t="str">
            <v>11300000-00107000-00000000</v>
          </cell>
          <cell r="B81" t="str">
            <v>CUENTAS EN LEGAL MN Y USD</v>
          </cell>
          <cell r="C81">
            <v>1764970.38</v>
          </cell>
          <cell r="D81">
            <v>0</v>
          </cell>
          <cell r="E81">
            <v>20000</v>
          </cell>
          <cell r="F81">
            <v>1744970.38</v>
          </cell>
        </row>
        <row r="82">
          <cell r="A82" t="str">
            <v>11300000-00107000-00010000</v>
          </cell>
          <cell r="B82" t="str">
            <v>MOD CUENTAS EN LEGAL MN</v>
          </cell>
          <cell r="C82">
            <v>1764970.38</v>
          </cell>
          <cell r="D82">
            <v>0</v>
          </cell>
          <cell r="E82">
            <v>20000</v>
          </cell>
          <cell r="F82">
            <v>1744970.38</v>
          </cell>
        </row>
        <row r="83">
          <cell r="A83" t="str">
            <v>11300000-00108000-00000000</v>
          </cell>
          <cell r="B83" t="str">
            <v>RESERVA P/CTAS INCOB MN Y USD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A84" t="str">
            <v>11300000-00109000-00000000</v>
          </cell>
          <cell r="B84" t="str">
            <v>CLIENTES TIENDAS EN MN Y USD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A85" t="str">
            <v>11300000-00198000-00000000</v>
          </cell>
          <cell r="B85" t="str">
            <v>RESERVA P/CTAS INCOB MN Y USD</v>
          </cell>
          <cell r="C85">
            <v>-1764967.38</v>
          </cell>
          <cell r="D85">
            <v>20000</v>
          </cell>
          <cell r="E85">
            <v>0</v>
          </cell>
          <cell r="F85">
            <v>-1744967.38</v>
          </cell>
        </row>
        <row r="86">
          <cell r="A86" t="str">
            <v>11300000-00198000-00010000</v>
          </cell>
          <cell r="B86" t="str">
            <v>MOD. RVA CTAS INCOB M.N.</v>
          </cell>
          <cell r="C86">
            <v>-1764967.38</v>
          </cell>
          <cell r="D86">
            <v>20000</v>
          </cell>
          <cell r="E86">
            <v>0</v>
          </cell>
          <cell r="F86">
            <v>-1744967.38</v>
          </cell>
        </row>
        <row r="87">
          <cell r="A87" t="str">
            <v>11300000-00200000-00000000</v>
          </cell>
          <cell r="B87" t="str">
            <v>DEUDORES</v>
          </cell>
          <cell r="C87">
            <v>1908777.22</v>
          </cell>
          <cell r="D87">
            <v>3859420.15</v>
          </cell>
          <cell r="E87">
            <v>4109085.39</v>
          </cell>
        </row>
        <row r="88">
          <cell r="A88" t="str">
            <v>11300000-00209000-00000000</v>
          </cell>
          <cell r="B88" t="str">
            <v>PRESTAMOS A EMPLEADOS</v>
          </cell>
          <cell r="C88">
            <v>175685.87</v>
          </cell>
          <cell r="D88">
            <v>28853.91</v>
          </cell>
          <cell r="E88">
            <v>14190.3</v>
          </cell>
          <cell r="F88">
            <v>190349.48</v>
          </cell>
        </row>
        <row r="89">
          <cell r="A89" t="str">
            <v>11300000-00209000-00040000</v>
          </cell>
          <cell r="B89" t="str">
            <v>MORENO LEON HUMBERTO</v>
          </cell>
          <cell r="C89">
            <v>1094.18</v>
          </cell>
          <cell r="D89">
            <v>0</v>
          </cell>
          <cell r="E89">
            <v>843.08</v>
          </cell>
          <cell r="F89">
            <v>251.1</v>
          </cell>
        </row>
        <row r="90">
          <cell r="A90" t="str">
            <v>11300000-00209000-00050000</v>
          </cell>
          <cell r="B90" t="str">
            <v>SANCHEZ GARCIA HUGO</v>
          </cell>
          <cell r="C90">
            <v>37518.32</v>
          </cell>
          <cell r="D90">
            <v>0</v>
          </cell>
          <cell r="E90">
            <v>0</v>
          </cell>
          <cell r="F90">
            <v>37518.32</v>
          </cell>
        </row>
        <row r="91">
          <cell r="A91" t="str">
            <v>11300000-00209000-00060000</v>
          </cell>
          <cell r="B91" t="str">
            <v>ACOSTA SANCHEZ PATRICIA</v>
          </cell>
          <cell r="C91">
            <v>6129.59</v>
          </cell>
          <cell r="D91">
            <v>0</v>
          </cell>
          <cell r="E91">
            <v>3295.9</v>
          </cell>
          <cell r="F91">
            <v>2833.69</v>
          </cell>
        </row>
        <row r="92">
          <cell r="A92" t="str">
            <v>11300000-00209000-00070000</v>
          </cell>
          <cell r="B92" t="str">
            <v>TORRES ARREGUIN JUAN MANUEL</v>
          </cell>
          <cell r="C92">
            <v>1770.38</v>
          </cell>
          <cell r="D92">
            <v>0</v>
          </cell>
          <cell r="E92">
            <v>596.67999999999995</v>
          </cell>
          <cell r="F92">
            <v>1173.7</v>
          </cell>
        </row>
        <row r="93">
          <cell r="A93" t="str">
            <v>11300000-00209000-00120000</v>
          </cell>
          <cell r="B93" t="str">
            <v>SEVILLA LARA MARTIN</v>
          </cell>
          <cell r="C93">
            <v>1931.01</v>
          </cell>
          <cell r="D93">
            <v>0</v>
          </cell>
          <cell r="E93">
            <v>965.5</v>
          </cell>
          <cell r="F93">
            <v>965.51</v>
          </cell>
        </row>
        <row r="94">
          <cell r="A94" t="str">
            <v>11300000-00209000-00150000</v>
          </cell>
          <cell r="B94" t="str">
            <v>JIMENEZ VELASCO SOCORRO</v>
          </cell>
          <cell r="C94">
            <v>82.54</v>
          </cell>
          <cell r="D94">
            <v>0</v>
          </cell>
          <cell r="E94">
            <v>0</v>
          </cell>
          <cell r="F94">
            <v>82.54</v>
          </cell>
        </row>
        <row r="95">
          <cell r="A95" t="str">
            <v>11300000-00209000-00200000</v>
          </cell>
          <cell r="B95" t="str">
            <v>LEON HERRERA JOSE LUIS</v>
          </cell>
          <cell r="C95">
            <v>1000</v>
          </cell>
          <cell r="D95">
            <v>0</v>
          </cell>
          <cell r="E95">
            <v>1000</v>
          </cell>
          <cell r="F95">
            <v>0</v>
          </cell>
        </row>
        <row r="96">
          <cell r="A96" t="str">
            <v>11300000-00209000-00260000</v>
          </cell>
          <cell r="B96" t="str">
            <v>MONTALTI CORRADO</v>
          </cell>
          <cell r="C96">
            <v>-3000</v>
          </cell>
          <cell r="D96">
            <v>6419.08</v>
          </cell>
          <cell r="E96">
            <v>870</v>
          </cell>
          <cell r="F96">
            <v>2549.08</v>
          </cell>
        </row>
        <row r="97">
          <cell r="A97" t="str">
            <v>11300000-00209000-00330000</v>
          </cell>
          <cell r="B97" t="str">
            <v>URREA AMADOR PEDRO DAVID</v>
          </cell>
          <cell r="C97">
            <v>0</v>
          </cell>
          <cell r="D97">
            <v>19562.98</v>
          </cell>
          <cell r="E97">
            <v>0</v>
          </cell>
          <cell r="F97">
            <v>19562.98</v>
          </cell>
        </row>
        <row r="98">
          <cell r="A98" t="str">
            <v>11300000-00209000-00500000</v>
          </cell>
          <cell r="B98" t="str">
            <v>SUAREZ RODRIGUEZ HERNANDO</v>
          </cell>
          <cell r="C98">
            <v>100316.51</v>
          </cell>
          <cell r="D98">
            <v>0</v>
          </cell>
          <cell r="E98">
            <v>0</v>
          </cell>
          <cell r="F98">
            <v>100316.51</v>
          </cell>
        </row>
        <row r="99">
          <cell r="A99" t="str">
            <v>11300000-00209000-00670000</v>
          </cell>
          <cell r="B99" t="str">
            <v>GARCIA GARCIA VICTOR</v>
          </cell>
          <cell r="C99">
            <v>0</v>
          </cell>
          <cell r="D99">
            <v>313.08999999999997</v>
          </cell>
          <cell r="E99">
            <v>313.10000000000002</v>
          </cell>
          <cell r="F99">
            <v>-0.01</v>
          </cell>
        </row>
        <row r="100">
          <cell r="A100" t="str">
            <v>11300000-00209000-00690000</v>
          </cell>
          <cell r="B100" t="str">
            <v>TORRES CARREÑO JUAN MANUEL</v>
          </cell>
          <cell r="C100">
            <v>12000</v>
          </cell>
          <cell r="D100">
            <v>0</v>
          </cell>
          <cell r="E100">
            <v>2000</v>
          </cell>
          <cell r="F100">
            <v>10000</v>
          </cell>
        </row>
        <row r="101">
          <cell r="A101" t="str">
            <v>11300000-00209000-00740000</v>
          </cell>
          <cell r="B101" t="str">
            <v>CORRAL URIZA JORGE MANUEL</v>
          </cell>
          <cell r="C101">
            <v>14932</v>
          </cell>
          <cell r="D101">
            <v>0</v>
          </cell>
          <cell r="E101">
            <v>0</v>
          </cell>
          <cell r="F101">
            <v>14932</v>
          </cell>
        </row>
        <row r="102">
          <cell r="A102" t="str">
            <v>11300000-00209000-00770000</v>
          </cell>
          <cell r="B102" t="str">
            <v>TREJO BECERRIL CRUZ</v>
          </cell>
          <cell r="C102">
            <v>0</v>
          </cell>
          <cell r="D102">
            <v>2558.7600000000002</v>
          </cell>
          <cell r="E102">
            <v>3558.76</v>
          </cell>
          <cell r="F102">
            <v>-1000</v>
          </cell>
        </row>
        <row r="103">
          <cell r="A103" t="str">
            <v>11300000-00209000-00780000</v>
          </cell>
          <cell r="B103" t="str">
            <v>TABLA GUEVARA GUILLERMO</v>
          </cell>
          <cell r="C103">
            <v>1217.1500000000001</v>
          </cell>
          <cell r="D103">
            <v>0</v>
          </cell>
          <cell r="E103">
            <v>477.28</v>
          </cell>
          <cell r="F103">
            <v>739.87</v>
          </cell>
        </row>
        <row r="104">
          <cell r="A104" t="str">
            <v>11300000-00209000-01100000</v>
          </cell>
          <cell r="B104" t="str">
            <v>CAMMAERT HURTADO SEBASTIAN</v>
          </cell>
          <cell r="C104">
            <v>-805.81</v>
          </cell>
          <cell r="D104">
            <v>0</v>
          </cell>
          <cell r="E104">
            <v>270</v>
          </cell>
          <cell r="F104">
            <v>-1075.81</v>
          </cell>
        </row>
        <row r="105">
          <cell r="A105" t="str">
            <v>11300000-00209000-01240000</v>
          </cell>
          <cell r="B105" t="str">
            <v>ZUÑIGA RIOS JORGE ARTURO</v>
          </cell>
          <cell r="C105">
            <v>1500</v>
          </cell>
          <cell r="D105">
            <v>0</v>
          </cell>
          <cell r="E105">
            <v>0</v>
          </cell>
          <cell r="F105">
            <v>1500</v>
          </cell>
        </row>
        <row r="106">
          <cell r="A106" t="str">
            <v>11300000-00210000-00000000</v>
          </cell>
          <cell r="B106" t="str">
            <v>DEUDORES EMPLEADOS</v>
          </cell>
          <cell r="C106">
            <v>14382.43</v>
          </cell>
          <cell r="D106">
            <v>158266.23999999999</v>
          </cell>
          <cell r="E106">
            <v>134895.09</v>
          </cell>
          <cell r="F106">
            <v>37753.58</v>
          </cell>
        </row>
        <row r="107">
          <cell r="A107" t="str">
            <v>11300000-00210000-00040000</v>
          </cell>
          <cell r="B107" t="str">
            <v>MORENO LEON HUMBERTO</v>
          </cell>
          <cell r="C107">
            <v>-1463.17</v>
          </cell>
          <cell r="D107">
            <v>390</v>
          </cell>
          <cell r="E107">
            <v>2406</v>
          </cell>
          <cell r="F107">
            <v>-3479.17</v>
          </cell>
        </row>
        <row r="108">
          <cell r="A108" t="str">
            <v>11300000-00210000-00050000</v>
          </cell>
          <cell r="B108" t="str">
            <v>SANCHEZ GARCIA HUGO</v>
          </cell>
          <cell r="C108">
            <v>-2944</v>
          </cell>
          <cell r="D108">
            <v>2944</v>
          </cell>
          <cell r="E108">
            <v>0</v>
          </cell>
          <cell r="F108">
            <v>0</v>
          </cell>
        </row>
        <row r="109">
          <cell r="A109" t="str">
            <v>11300000-00210000-00070000</v>
          </cell>
          <cell r="B109" t="str">
            <v>TORRES ARREGUIN JUAN MANUEL</v>
          </cell>
          <cell r="C109">
            <v>0</v>
          </cell>
          <cell r="D109">
            <v>0</v>
          </cell>
          <cell r="E109">
            <v>214</v>
          </cell>
          <cell r="F109">
            <v>-214</v>
          </cell>
        </row>
        <row r="110">
          <cell r="A110" t="str">
            <v>11300000-00210000-00100000</v>
          </cell>
          <cell r="B110" t="str">
            <v>SOLANO SALINAS ALEJANDRO</v>
          </cell>
          <cell r="C110">
            <v>1548.57</v>
          </cell>
          <cell r="D110">
            <v>3800</v>
          </cell>
          <cell r="E110">
            <v>72</v>
          </cell>
          <cell r="F110">
            <v>5276.57</v>
          </cell>
        </row>
        <row r="111">
          <cell r="A111" t="str">
            <v>11300000-00210000-00110000</v>
          </cell>
          <cell r="B111" t="str">
            <v>FERNANDEZ MONDRAGON ARTURO</v>
          </cell>
          <cell r="C111">
            <v>-889.9</v>
          </cell>
          <cell r="D111">
            <v>3300</v>
          </cell>
          <cell r="E111">
            <v>72</v>
          </cell>
          <cell r="F111">
            <v>2338.1</v>
          </cell>
        </row>
        <row r="112">
          <cell r="A112" t="str">
            <v>11300000-00210000-00160000</v>
          </cell>
          <cell r="B112" t="str">
            <v>TORRES CASTRO MIGUEL ANGEL</v>
          </cell>
          <cell r="C112">
            <v>5500</v>
          </cell>
          <cell r="D112">
            <v>0</v>
          </cell>
          <cell r="E112">
            <v>0</v>
          </cell>
          <cell r="F112">
            <v>5500</v>
          </cell>
        </row>
        <row r="113">
          <cell r="A113" t="str">
            <v>11300000-00210000-00200000</v>
          </cell>
          <cell r="B113" t="str">
            <v>LEON HERRERA JOSE LUIS</v>
          </cell>
          <cell r="C113">
            <v>413.5</v>
          </cell>
          <cell r="D113">
            <v>25217.5</v>
          </cell>
          <cell r="E113">
            <v>7901.46</v>
          </cell>
          <cell r="F113">
            <v>17729.54</v>
          </cell>
        </row>
        <row r="114">
          <cell r="A114" t="str">
            <v>11300000-00210000-00220000</v>
          </cell>
          <cell r="B114" t="str">
            <v>MARTINEZ CASTRO JOSE LUIS M.</v>
          </cell>
          <cell r="C114">
            <v>-13983.78</v>
          </cell>
          <cell r="D114">
            <v>0</v>
          </cell>
          <cell r="E114">
            <v>2000</v>
          </cell>
          <cell r="F114">
            <v>-15983.78</v>
          </cell>
        </row>
        <row r="115">
          <cell r="A115" t="str">
            <v>11300000-00210000-00260000</v>
          </cell>
          <cell r="B115" t="str">
            <v>MONTALTI CORRADO</v>
          </cell>
          <cell r="C115">
            <v>-135.88999999999999</v>
          </cell>
          <cell r="D115">
            <v>0</v>
          </cell>
          <cell r="E115">
            <v>2026.2</v>
          </cell>
          <cell r="F115">
            <v>-2162.09</v>
          </cell>
        </row>
        <row r="116">
          <cell r="A116" t="str">
            <v>11300000-00210000-00330000</v>
          </cell>
          <cell r="B116" t="str">
            <v>URREA AMADOR PEDRO DAVID</v>
          </cell>
          <cell r="C116">
            <v>0</v>
          </cell>
          <cell r="D116">
            <v>3000</v>
          </cell>
          <cell r="E116">
            <v>0</v>
          </cell>
          <cell r="F116">
            <v>3000</v>
          </cell>
        </row>
        <row r="117">
          <cell r="A117" t="str">
            <v>11300000-00210000-00340000</v>
          </cell>
          <cell r="B117" t="str">
            <v>ARAMBURU MELENDEZ FERNANDO</v>
          </cell>
          <cell r="C117">
            <v>-9698.57</v>
          </cell>
          <cell r="D117">
            <v>0</v>
          </cell>
          <cell r="E117">
            <v>0</v>
          </cell>
          <cell r="F117">
            <v>-9698.57</v>
          </cell>
        </row>
        <row r="118">
          <cell r="A118" t="str">
            <v>11300000-00210000-00370000</v>
          </cell>
          <cell r="B118" t="str">
            <v>LEON MARURI BARBARA MARISELA</v>
          </cell>
          <cell r="C118">
            <v>2424</v>
          </cell>
          <cell r="D118">
            <v>2000</v>
          </cell>
          <cell r="E118">
            <v>4138</v>
          </cell>
          <cell r="F118">
            <v>286</v>
          </cell>
        </row>
        <row r="119">
          <cell r="A119" t="str">
            <v>11300000-00210000-00470000</v>
          </cell>
          <cell r="B119" t="str">
            <v>PECH ULUAC MATIAS</v>
          </cell>
          <cell r="C119">
            <v>-1915.79</v>
          </cell>
          <cell r="D119">
            <v>8155.79</v>
          </cell>
          <cell r="E119">
            <v>6040</v>
          </cell>
          <cell r="F119">
            <v>200</v>
          </cell>
        </row>
        <row r="120">
          <cell r="A120" t="str">
            <v>11300000-00210000-00490000</v>
          </cell>
          <cell r="B120" t="str">
            <v>SENTIES VILLA IVETTE</v>
          </cell>
          <cell r="C120">
            <v>-1017.32</v>
          </cell>
          <cell r="D120">
            <v>3967.32</v>
          </cell>
          <cell r="E120">
            <v>3166</v>
          </cell>
          <cell r="F120">
            <v>-216</v>
          </cell>
        </row>
        <row r="121">
          <cell r="A121" t="str">
            <v>11300000-00210000-00500000</v>
          </cell>
          <cell r="B121" t="str">
            <v>SUAREZ RODRIGUEZ HERNANDO</v>
          </cell>
          <cell r="C121">
            <v>6508.08</v>
          </cell>
          <cell r="D121">
            <v>3910.84</v>
          </cell>
          <cell r="E121">
            <v>20129.740000000002</v>
          </cell>
          <cell r="F121">
            <v>-9710.82</v>
          </cell>
        </row>
        <row r="122">
          <cell r="A122" t="str">
            <v>11300000-00210000-00590000</v>
          </cell>
          <cell r="B122" t="str">
            <v>SANCHEZ DIAZ FELIPE</v>
          </cell>
          <cell r="C122">
            <v>0</v>
          </cell>
          <cell r="D122">
            <v>1831</v>
          </cell>
          <cell r="E122">
            <v>1831</v>
          </cell>
          <cell r="F122">
            <v>0</v>
          </cell>
        </row>
        <row r="123">
          <cell r="A123" t="str">
            <v>11300000-00210000-00690000</v>
          </cell>
          <cell r="B123" t="str">
            <v>TORRES CARREÑO JUAN MANUEL</v>
          </cell>
          <cell r="C123">
            <v>4773.5</v>
          </cell>
          <cell r="D123">
            <v>1000</v>
          </cell>
          <cell r="E123">
            <v>1000</v>
          </cell>
          <cell r="F123">
            <v>4773.5</v>
          </cell>
        </row>
        <row r="124">
          <cell r="A124" t="str">
            <v>11300000-00210000-00740000</v>
          </cell>
          <cell r="B124" t="str">
            <v>CORRAL URIZA JORGE MANUEL</v>
          </cell>
          <cell r="C124">
            <v>-465.73</v>
          </cell>
          <cell r="D124">
            <v>0</v>
          </cell>
          <cell r="E124">
            <v>0</v>
          </cell>
          <cell r="F124">
            <v>-465.73</v>
          </cell>
        </row>
        <row r="125">
          <cell r="A125" t="str">
            <v>11300000-00210000-00770000</v>
          </cell>
          <cell r="B125" t="str">
            <v>TREJO BECERRIL CRUZ</v>
          </cell>
          <cell r="C125">
            <v>3250</v>
          </cell>
          <cell r="D125">
            <v>31098.720000000001</v>
          </cell>
          <cell r="E125">
            <v>1098.72</v>
          </cell>
          <cell r="F125">
            <v>33250</v>
          </cell>
        </row>
        <row r="126">
          <cell r="A126" t="str">
            <v>11300000-00210000-00780000</v>
          </cell>
          <cell r="B126" t="str">
            <v>TABLA GUEVARA GUILLERMO</v>
          </cell>
          <cell r="C126">
            <v>-3968.84</v>
          </cell>
          <cell r="D126">
            <v>1500</v>
          </cell>
          <cell r="E126">
            <v>5790.89</v>
          </cell>
          <cell r="F126">
            <v>-8259.73</v>
          </cell>
        </row>
        <row r="127">
          <cell r="A127" t="str">
            <v>11300000-00210000-00880000</v>
          </cell>
          <cell r="B127" t="str">
            <v>GARCIA URIBE OSCAR</v>
          </cell>
          <cell r="C127">
            <v>0</v>
          </cell>
          <cell r="D127">
            <v>1100</v>
          </cell>
          <cell r="E127">
            <v>0</v>
          </cell>
          <cell r="F127">
            <v>1100</v>
          </cell>
        </row>
        <row r="128">
          <cell r="A128" t="str">
            <v>11300000-00210000-00890000</v>
          </cell>
          <cell r="B128" t="str">
            <v>FIGUEROA MARTINEZ REYES</v>
          </cell>
          <cell r="C128">
            <v>-911.83</v>
          </cell>
          <cell r="D128">
            <v>9211.83</v>
          </cell>
          <cell r="E128">
            <v>0</v>
          </cell>
          <cell r="F128">
            <v>8300</v>
          </cell>
        </row>
        <row r="129">
          <cell r="A129" t="str">
            <v>11300000-00210000-00950000</v>
          </cell>
          <cell r="B129" t="str">
            <v>HERRERA ROSAS BAUDEL</v>
          </cell>
          <cell r="C129">
            <v>10000</v>
          </cell>
          <cell r="D129">
            <v>0</v>
          </cell>
          <cell r="E129">
            <v>314</v>
          </cell>
          <cell r="F129">
            <v>9686</v>
          </cell>
        </row>
        <row r="130">
          <cell r="A130" t="str">
            <v>11300000-00210000-01000000</v>
          </cell>
          <cell r="B130" t="str">
            <v>RIVERA VILLEGAS CESAR</v>
          </cell>
          <cell r="C130">
            <v>21</v>
          </cell>
          <cell r="D130">
            <v>550</v>
          </cell>
          <cell r="E130">
            <v>0</v>
          </cell>
          <cell r="F130">
            <v>571</v>
          </cell>
        </row>
        <row r="131">
          <cell r="A131" t="str">
            <v>11300000-00210000-01010000</v>
          </cell>
          <cell r="B131" t="str">
            <v>CORONA MARTINEZ AGUSTIN</v>
          </cell>
          <cell r="C131">
            <v>54</v>
          </cell>
          <cell r="D131">
            <v>0</v>
          </cell>
          <cell r="E131">
            <v>54</v>
          </cell>
          <cell r="F131">
            <v>0</v>
          </cell>
        </row>
        <row r="132">
          <cell r="A132" t="str">
            <v>11300000-00210000-01020000</v>
          </cell>
          <cell r="B132" t="str">
            <v>DUEÑEZ DIAZ ABEL</v>
          </cell>
          <cell r="C132">
            <v>436.38</v>
          </cell>
          <cell r="D132">
            <v>4260</v>
          </cell>
          <cell r="E132">
            <v>925</v>
          </cell>
          <cell r="F132">
            <v>3771.38</v>
          </cell>
        </row>
        <row r="133">
          <cell r="A133" t="str">
            <v>11300000-00210000-01030000</v>
          </cell>
          <cell r="B133" t="str">
            <v>ALVAREZ ABURTO OCIEL</v>
          </cell>
          <cell r="C133">
            <v>351.06</v>
          </cell>
          <cell r="D133">
            <v>714</v>
          </cell>
          <cell r="E133">
            <v>714</v>
          </cell>
          <cell r="F133">
            <v>351.06</v>
          </cell>
        </row>
        <row r="134">
          <cell r="A134" t="str">
            <v>11300000-00210000-01060000</v>
          </cell>
          <cell r="B134" t="str">
            <v>GALLEGOS VILLAREAL ALICIA</v>
          </cell>
          <cell r="C134">
            <v>-172.77</v>
          </cell>
          <cell r="D134">
            <v>2200</v>
          </cell>
          <cell r="E134">
            <v>0</v>
          </cell>
          <cell r="F134">
            <v>2027.23</v>
          </cell>
        </row>
        <row r="135">
          <cell r="A135" t="str">
            <v>11300000-00210000-01090000</v>
          </cell>
          <cell r="B135" t="str">
            <v>CETINA FLORES SALVADOR</v>
          </cell>
          <cell r="C135">
            <v>2377.5500000000002</v>
          </cell>
          <cell r="D135">
            <v>8600</v>
          </cell>
          <cell r="E135">
            <v>3080.01</v>
          </cell>
          <cell r="F135">
            <v>7897.54</v>
          </cell>
        </row>
        <row r="136">
          <cell r="A136" t="str">
            <v>11300000-00210000-01100000</v>
          </cell>
          <cell r="B136" t="str">
            <v>CAMMAERT HURTADO SEBASTIAN</v>
          </cell>
          <cell r="C136">
            <v>12744.79</v>
          </cell>
          <cell r="D136">
            <v>15500</v>
          </cell>
          <cell r="E136">
            <v>37354.6</v>
          </cell>
          <cell r="F136">
            <v>-9109.81</v>
          </cell>
        </row>
        <row r="137">
          <cell r="A137" t="str">
            <v>11300000-00210000-01220000</v>
          </cell>
          <cell r="B137" t="str">
            <v>MORALES OLIVARES GENARO</v>
          </cell>
          <cell r="C137">
            <v>-277.24</v>
          </cell>
          <cell r="D137">
            <v>4077.24</v>
          </cell>
          <cell r="E137">
            <v>0</v>
          </cell>
          <cell r="F137">
            <v>3800</v>
          </cell>
        </row>
        <row r="138">
          <cell r="A138" t="str">
            <v>11300000-00210000-01230000</v>
          </cell>
          <cell r="B138" t="str">
            <v>ALVAREZ MEJIA LUIS ENRIQUE</v>
          </cell>
          <cell r="C138">
            <v>-274.5</v>
          </cell>
          <cell r="D138">
            <v>463</v>
          </cell>
          <cell r="E138">
            <v>17162.240000000002</v>
          </cell>
          <cell r="F138">
            <v>-16973.740000000002</v>
          </cell>
        </row>
        <row r="139">
          <cell r="A139" t="str">
            <v>11300000-00210000-01240000</v>
          </cell>
          <cell r="B139" t="str">
            <v>ZUÑIGA RIOS JORGE ARTURO</v>
          </cell>
          <cell r="C139">
            <v>2099.33</v>
          </cell>
          <cell r="D139">
            <v>18650</v>
          </cell>
          <cell r="E139">
            <v>16580.23</v>
          </cell>
          <cell r="F139">
            <v>4169.1000000000004</v>
          </cell>
        </row>
        <row r="140">
          <cell r="A140" t="str">
            <v>11300000-00210000-01250000</v>
          </cell>
          <cell r="B140" t="str">
            <v>FLORES PERDOMO JORGE</v>
          </cell>
          <cell r="C140">
            <v>0</v>
          </cell>
          <cell r="D140">
            <v>825</v>
          </cell>
          <cell r="E140">
            <v>825</v>
          </cell>
          <cell r="F140">
            <v>0</v>
          </cell>
        </row>
        <row r="141">
          <cell r="A141" t="str">
            <v>11300000-00211000-00000000</v>
          </cell>
          <cell r="B141" t="str">
            <v>DEUDORES DIVERSOS</v>
          </cell>
          <cell r="C141">
            <v>256642.14</v>
          </cell>
          <cell r="D141">
            <v>2300</v>
          </cell>
          <cell r="E141">
            <v>0</v>
          </cell>
          <cell r="F141">
            <v>258942.14</v>
          </cell>
        </row>
        <row r="142">
          <cell r="A142" t="str">
            <v>11300000-00211000-00140000</v>
          </cell>
          <cell r="B142" t="str">
            <v>CARLOS GODOY NOVOA</v>
          </cell>
          <cell r="C142">
            <v>17875</v>
          </cell>
          <cell r="D142">
            <v>1500</v>
          </cell>
          <cell r="E142">
            <v>0</v>
          </cell>
          <cell r="F142">
            <v>19375</v>
          </cell>
        </row>
        <row r="143">
          <cell r="A143" t="str">
            <v>11300000-00211000-00150000</v>
          </cell>
          <cell r="B143" t="str">
            <v>FIDEIBITAL No. 166340</v>
          </cell>
          <cell r="C143">
            <v>204358.28</v>
          </cell>
          <cell r="D143">
            <v>0</v>
          </cell>
          <cell r="E143">
            <v>0</v>
          </cell>
          <cell r="F143">
            <v>204358.28</v>
          </cell>
        </row>
        <row r="144">
          <cell r="A144" t="str">
            <v>11300000-00211000-00200000</v>
          </cell>
          <cell r="B144" t="str">
            <v>NOBOA JUAN</v>
          </cell>
          <cell r="C144">
            <v>21229.86</v>
          </cell>
          <cell r="D144">
            <v>0</v>
          </cell>
          <cell r="E144">
            <v>0</v>
          </cell>
          <cell r="F144">
            <v>21229.86</v>
          </cell>
        </row>
        <row r="145">
          <cell r="A145" t="str">
            <v>11300000-00211000-00270000</v>
          </cell>
          <cell r="B145" t="str">
            <v>OJEDA ROJAS LUIS ALFONSO</v>
          </cell>
          <cell r="C145">
            <v>3179</v>
          </cell>
          <cell r="D145">
            <v>800</v>
          </cell>
          <cell r="E145">
            <v>0</v>
          </cell>
          <cell r="F145">
            <v>3979</v>
          </cell>
        </row>
        <row r="146">
          <cell r="A146" t="str">
            <v>11300000-00211000-00320000</v>
          </cell>
          <cell r="B146" t="str">
            <v>SANTOS RAMOS JESUS</v>
          </cell>
          <cell r="C146">
            <v>10000</v>
          </cell>
          <cell r="D146">
            <v>0</v>
          </cell>
          <cell r="E146">
            <v>0</v>
          </cell>
          <cell r="F146">
            <v>10000</v>
          </cell>
        </row>
        <row r="147">
          <cell r="A147" t="str">
            <v>11300000-00212000-00000000</v>
          </cell>
          <cell r="B147" t="str">
            <v>DEUDORES SUBSIDIARIAS</v>
          </cell>
          <cell r="C147">
            <v>1462066.78</v>
          </cell>
          <cell r="D147">
            <v>3670000</v>
          </cell>
          <cell r="E147">
            <v>3960000</v>
          </cell>
          <cell r="F147">
            <v>1172066.78</v>
          </cell>
        </row>
        <row r="148">
          <cell r="A148" t="str">
            <v>11300000-00212000-00010000</v>
          </cell>
          <cell r="B148" t="str">
            <v>INMOBILIARIA PISASHA, SA DE CV</v>
          </cell>
          <cell r="C148">
            <v>319140.87</v>
          </cell>
          <cell r="D148">
            <v>0</v>
          </cell>
          <cell r="E148">
            <v>0</v>
          </cell>
          <cell r="F148">
            <v>319140.87</v>
          </cell>
        </row>
        <row r="149">
          <cell r="A149" t="str">
            <v>11300000-00212000-00020000</v>
          </cell>
          <cell r="B149" t="str">
            <v>SALITACOL, S.A. C.V.</v>
          </cell>
          <cell r="C149">
            <v>52780</v>
          </cell>
          <cell r="D149">
            <v>0</v>
          </cell>
          <cell r="E149">
            <v>0</v>
          </cell>
          <cell r="F149">
            <v>52780</v>
          </cell>
        </row>
        <row r="150">
          <cell r="A150" t="str">
            <v>11300000-00212000-00030000</v>
          </cell>
          <cell r="B150" t="str">
            <v>PRODUCTOS ALGECO, S.A. DE C.V.</v>
          </cell>
          <cell r="C150">
            <v>270145.90999999997</v>
          </cell>
          <cell r="D150">
            <v>0</v>
          </cell>
          <cell r="E150">
            <v>0</v>
          </cell>
          <cell r="F150">
            <v>270145.90999999997</v>
          </cell>
        </row>
        <row r="151">
          <cell r="A151" t="str">
            <v>11300000-00212000-00070000</v>
          </cell>
          <cell r="B151" t="str">
            <v>BUENAVISTA RECUBRIMIENTOS SA</v>
          </cell>
          <cell r="C151">
            <v>70000</v>
          </cell>
          <cell r="D151">
            <v>0</v>
          </cell>
          <cell r="E151">
            <v>0</v>
          </cell>
          <cell r="F151">
            <v>70000</v>
          </cell>
        </row>
        <row r="152">
          <cell r="A152" t="str">
            <v>11300000-00212000-00080000</v>
          </cell>
          <cell r="B152" t="str">
            <v>CAFIR S.A. DE C.V.</v>
          </cell>
          <cell r="C152">
            <v>750000</v>
          </cell>
          <cell r="D152">
            <v>3670000</v>
          </cell>
          <cell r="E152">
            <v>3960000</v>
          </cell>
          <cell r="F152">
            <v>460000</v>
          </cell>
        </row>
        <row r="153">
          <cell r="A153" t="str">
            <v>11500000-00000000-00000000</v>
          </cell>
          <cell r="B153" t="str">
            <v>ALMACEN</v>
          </cell>
          <cell r="C153">
            <v>7674389.3899999997</v>
          </cell>
          <cell r="D153">
            <v>20987543.539999999</v>
          </cell>
          <cell r="E153">
            <v>20494098.309999999</v>
          </cell>
          <cell r="F153">
            <v>8167834.6200000001</v>
          </cell>
        </row>
        <row r="154">
          <cell r="F154">
            <v>8167834.6200000001</v>
          </cell>
        </row>
        <row r="155">
          <cell r="A155" t="str">
            <v>11500000-50000000-00000000</v>
          </cell>
          <cell r="B155" t="str">
            <v>ALMACEN DE PRODUCTO TERMINADO</v>
          </cell>
          <cell r="C155">
            <v>3028434.25</v>
          </cell>
          <cell r="D155">
            <v>5532388.4900000002</v>
          </cell>
          <cell r="E155">
            <v>4970492.87</v>
          </cell>
        </row>
        <row r="156">
          <cell r="A156" t="str">
            <v>11500000-50001000-00000000</v>
          </cell>
          <cell r="B156" t="str">
            <v>A.P.T.C.PLANTA</v>
          </cell>
          <cell r="C156">
            <v>1885278.06</v>
          </cell>
          <cell r="D156">
            <v>5370772.6600000001</v>
          </cell>
          <cell r="E156">
            <v>4871093.04</v>
          </cell>
          <cell r="F156">
            <v>2384957.6800000002</v>
          </cell>
        </row>
        <row r="157">
          <cell r="A157" t="str">
            <v>11500000-50001000-00010000</v>
          </cell>
          <cell r="B157" t="str">
            <v>PERMATONE PASTAS INTERIORES</v>
          </cell>
          <cell r="C157">
            <v>488470.4</v>
          </cell>
          <cell r="D157">
            <v>1887466.38</v>
          </cell>
          <cell r="E157">
            <v>1789838.77</v>
          </cell>
          <cell r="F157">
            <v>586098.01</v>
          </cell>
        </row>
        <row r="158">
          <cell r="A158" t="str">
            <v>11500000-50001000-00020000</v>
          </cell>
          <cell r="B158" t="str">
            <v>EXTERIORES</v>
          </cell>
          <cell r="C158">
            <v>198219.03</v>
          </cell>
          <cell r="D158">
            <v>1418223.55</v>
          </cell>
          <cell r="E158">
            <v>1318193.06</v>
          </cell>
          <cell r="F158">
            <v>298249.52</v>
          </cell>
        </row>
        <row r="159">
          <cell r="A159" t="str">
            <v>11500000-50001000-00030000</v>
          </cell>
          <cell r="B159" t="str">
            <v>PINTURAS</v>
          </cell>
          <cell r="C159">
            <v>124234.42</v>
          </cell>
          <cell r="D159">
            <v>792517.09</v>
          </cell>
          <cell r="E159">
            <v>597157.82999999996</v>
          </cell>
          <cell r="F159">
            <v>319593.68</v>
          </cell>
        </row>
        <row r="160">
          <cell r="A160" t="str">
            <v>11500000-50001000-00040000</v>
          </cell>
          <cell r="B160" t="str">
            <v>COMPLEMENTOS</v>
          </cell>
          <cell r="C160">
            <v>156500.41</v>
          </cell>
          <cell r="D160">
            <v>840871.19</v>
          </cell>
          <cell r="E160">
            <v>764171.69</v>
          </cell>
          <cell r="F160">
            <v>233199.91</v>
          </cell>
        </row>
        <row r="161">
          <cell r="A161" t="str">
            <v>11500000-50001000-00050000</v>
          </cell>
          <cell r="B161" t="str">
            <v>IMPERMEABILIZANTES</v>
          </cell>
          <cell r="C161">
            <v>26067.43</v>
          </cell>
          <cell r="D161">
            <v>61756.160000000003</v>
          </cell>
          <cell r="E161">
            <v>50843.88</v>
          </cell>
          <cell r="F161">
            <v>36979.71</v>
          </cell>
        </row>
        <row r="162">
          <cell r="A162" t="str">
            <v>11500000-50001000-00060000</v>
          </cell>
          <cell r="B162" t="str">
            <v>SISTEMA - PRECOR</v>
          </cell>
          <cell r="C162">
            <v>7177.13</v>
          </cell>
          <cell r="D162">
            <v>156102.42000000001</v>
          </cell>
          <cell r="E162">
            <v>130458.18</v>
          </cell>
          <cell r="F162">
            <v>32821.370000000003</v>
          </cell>
        </row>
        <row r="163">
          <cell r="A163" t="str">
            <v>11500000-50001000-00110000</v>
          </cell>
          <cell r="B163" t="str">
            <v>HERRAMIENTAS</v>
          </cell>
          <cell r="C163">
            <v>477858.7</v>
          </cell>
          <cell r="D163">
            <v>17179.97</v>
          </cell>
          <cell r="E163">
            <v>124489.43</v>
          </cell>
          <cell r="F163">
            <v>370549.24</v>
          </cell>
        </row>
        <row r="164">
          <cell r="A164" t="str">
            <v>11500000-50001000-00130000</v>
          </cell>
          <cell r="B164" t="str">
            <v>MAQUILAS</v>
          </cell>
          <cell r="C164">
            <v>406750.54</v>
          </cell>
          <cell r="D164">
            <v>125785.27</v>
          </cell>
          <cell r="E164">
            <v>25789.57</v>
          </cell>
          <cell r="F164">
            <v>506746.24</v>
          </cell>
        </row>
        <row r="165">
          <cell r="A165" t="str">
            <v>11500000-50001000-00140000</v>
          </cell>
          <cell r="B165" t="str">
            <v>OTROS</v>
          </cell>
          <cell r="C165">
            <v>0</v>
          </cell>
          <cell r="D165">
            <v>70870.63</v>
          </cell>
          <cell r="E165">
            <v>70150.63</v>
          </cell>
          <cell r="F165">
            <v>720</v>
          </cell>
        </row>
        <row r="166">
          <cell r="A166" t="str">
            <v>11500000-50002000-00000000</v>
          </cell>
          <cell r="B166" t="str">
            <v>A.P.T.C.PR1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</row>
        <row r="167">
          <cell r="A167" t="str">
            <v>11500000-50003000-00000000</v>
          </cell>
          <cell r="B167" t="str">
            <v>A.P.T.C.AGRICULTURA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</row>
        <row r="168">
          <cell r="A168" t="str">
            <v>11500000-50004000-00000000</v>
          </cell>
          <cell r="B168" t="str">
            <v>A.P.T.C.DIVISION DEL NORTE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</row>
        <row r="169">
          <cell r="A169" t="str">
            <v>11500000-50005000-00000000</v>
          </cell>
          <cell r="B169" t="str">
            <v>A.P.T.C.GUADALAJARA</v>
          </cell>
          <cell r="C169">
            <v>29134.86</v>
          </cell>
          <cell r="D169">
            <v>106813.33</v>
          </cell>
          <cell r="E169">
            <v>19948.47</v>
          </cell>
          <cell r="F169">
            <v>115999.72</v>
          </cell>
        </row>
        <row r="170">
          <cell r="A170" t="str">
            <v>11500000-50005000-00010000</v>
          </cell>
          <cell r="B170" t="str">
            <v>PERMATONE PASTAS INTERIORES</v>
          </cell>
          <cell r="C170">
            <v>5371.8</v>
          </cell>
          <cell r="D170">
            <v>49427.02</v>
          </cell>
          <cell r="E170">
            <v>12317.57</v>
          </cell>
          <cell r="F170">
            <v>42481.25</v>
          </cell>
        </row>
        <row r="171">
          <cell r="A171" t="str">
            <v>11500000-50005000-00020000</v>
          </cell>
          <cell r="B171" t="str">
            <v>EXTERIORES</v>
          </cell>
          <cell r="C171">
            <v>16708.87</v>
          </cell>
          <cell r="D171">
            <v>10825.99</v>
          </cell>
          <cell r="E171">
            <v>2718.24</v>
          </cell>
          <cell r="F171">
            <v>24816.62</v>
          </cell>
        </row>
        <row r="172">
          <cell r="A172" t="str">
            <v>11500000-50005000-00030000</v>
          </cell>
          <cell r="B172" t="str">
            <v>PINTURAS</v>
          </cell>
          <cell r="C172">
            <v>6316.44</v>
          </cell>
          <cell r="D172">
            <v>18296.509999999998</v>
          </cell>
          <cell r="E172">
            <v>3391.54</v>
          </cell>
          <cell r="F172">
            <v>21221.41</v>
          </cell>
        </row>
        <row r="173">
          <cell r="A173" t="str">
            <v>11500000-50005000-00040000</v>
          </cell>
          <cell r="B173" t="str">
            <v>COMPLEMENTOS</v>
          </cell>
          <cell r="C173">
            <v>431.54</v>
          </cell>
          <cell r="D173">
            <v>24079.35</v>
          </cell>
          <cell r="E173">
            <v>1521.12</v>
          </cell>
          <cell r="F173">
            <v>22989.77</v>
          </cell>
        </row>
        <row r="174">
          <cell r="A174" t="str">
            <v>11500000-50005000-00060000</v>
          </cell>
          <cell r="B174" t="str">
            <v>SISTEMA - PRECOR</v>
          </cell>
          <cell r="C174">
            <v>231.97</v>
          </cell>
          <cell r="D174">
            <v>1054.44</v>
          </cell>
          <cell r="E174">
            <v>0</v>
          </cell>
          <cell r="F174">
            <v>1286.4100000000001</v>
          </cell>
        </row>
        <row r="175">
          <cell r="A175" t="str">
            <v>11500000-50005000-00110000</v>
          </cell>
          <cell r="B175" t="str">
            <v>HERRAMIENTAS</v>
          </cell>
          <cell r="C175">
            <v>74.239999999999995</v>
          </cell>
          <cell r="D175">
            <v>3130.02</v>
          </cell>
          <cell r="E175">
            <v>0</v>
          </cell>
          <cell r="F175">
            <v>3204.26</v>
          </cell>
        </row>
        <row r="176">
          <cell r="A176" t="str">
            <v>11500000-50006000-00000000</v>
          </cell>
          <cell r="B176" t="str">
            <v>A.P.T.C.SALDOS Y DEVOLUCIONES</v>
          </cell>
          <cell r="C176">
            <v>269744.99</v>
          </cell>
          <cell r="D176">
            <v>6145.91</v>
          </cell>
          <cell r="E176">
            <v>6017.95</v>
          </cell>
          <cell r="F176">
            <v>269872.95</v>
          </cell>
        </row>
        <row r="177">
          <cell r="A177" t="str">
            <v>11500000-50006000-00010000</v>
          </cell>
          <cell r="B177" t="str">
            <v>PERMATONE PASTAS INTERIORES</v>
          </cell>
          <cell r="C177">
            <v>81921.56</v>
          </cell>
          <cell r="D177">
            <v>4676.2299999999996</v>
          </cell>
          <cell r="E177">
            <v>5133.7299999999996</v>
          </cell>
          <cell r="F177">
            <v>81464.06</v>
          </cell>
        </row>
        <row r="178">
          <cell r="A178" t="str">
            <v>11500000-50006000-00020000</v>
          </cell>
          <cell r="B178" t="str">
            <v>EXTERIORES</v>
          </cell>
          <cell r="C178">
            <v>172206.26</v>
          </cell>
          <cell r="D178">
            <v>1284.55</v>
          </cell>
          <cell r="E178">
            <v>884.22</v>
          </cell>
          <cell r="F178">
            <v>172606.59</v>
          </cell>
        </row>
        <row r="179">
          <cell r="A179" t="str">
            <v>11500000-50006000-00030000</v>
          </cell>
          <cell r="B179" t="str">
            <v>PINTURAS</v>
          </cell>
          <cell r="C179">
            <v>5490.17</v>
          </cell>
          <cell r="D179">
            <v>122.74</v>
          </cell>
          <cell r="E179">
            <v>0</v>
          </cell>
          <cell r="F179">
            <v>5612.91</v>
          </cell>
        </row>
        <row r="180">
          <cell r="A180" t="str">
            <v>11500000-50006000-00040000</v>
          </cell>
          <cell r="B180" t="str">
            <v>COMPLEMENTOS</v>
          </cell>
          <cell r="C180">
            <v>10094.14</v>
          </cell>
          <cell r="D180">
            <v>62.39</v>
          </cell>
          <cell r="E180">
            <v>0</v>
          </cell>
          <cell r="F180">
            <v>10156.530000000001</v>
          </cell>
        </row>
        <row r="181">
          <cell r="A181" t="str">
            <v>11500000-50006000-00140000</v>
          </cell>
          <cell r="B181" t="str">
            <v>OTROS</v>
          </cell>
          <cell r="C181">
            <v>32.86</v>
          </cell>
          <cell r="D181">
            <v>0</v>
          </cell>
          <cell r="E181">
            <v>0</v>
          </cell>
          <cell r="F181">
            <v>32.86</v>
          </cell>
        </row>
        <row r="182">
          <cell r="A182" t="str">
            <v>11500000-50007000-00000000</v>
          </cell>
          <cell r="B182" t="str">
            <v>A.P.T.C.CUARENTENA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</row>
        <row r="183">
          <cell r="A183" t="str">
            <v>11500000-50008000-00000000</v>
          </cell>
          <cell r="B183" t="str">
            <v>A.P.T.C.CONSIGNACION BODEGON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</row>
        <row r="184">
          <cell r="A184" t="str">
            <v>11500000-50009000-00000000</v>
          </cell>
          <cell r="B184" t="str">
            <v>A.P.T. C. OFICINAS COMERCIALES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</row>
        <row r="185">
          <cell r="A185" t="str">
            <v>11500000-50011000-00000000</v>
          </cell>
          <cell r="B185" t="str">
            <v>MATERIAL PARA REPROCESO</v>
          </cell>
          <cell r="C185">
            <v>289324.45</v>
          </cell>
          <cell r="D185">
            <v>0</v>
          </cell>
          <cell r="E185">
            <v>0</v>
          </cell>
          <cell r="F185">
            <v>289324.45</v>
          </cell>
        </row>
        <row r="186">
          <cell r="A186" t="str">
            <v>11500000-50011000-00030000</v>
          </cell>
          <cell r="B186" t="str">
            <v>PINTURAS</v>
          </cell>
          <cell r="C186">
            <v>258513.4</v>
          </cell>
          <cell r="D186">
            <v>0</v>
          </cell>
          <cell r="E186">
            <v>0</v>
          </cell>
          <cell r="F186">
            <v>258513.4</v>
          </cell>
        </row>
        <row r="187">
          <cell r="A187" t="str">
            <v>11500000-50011000-00040000</v>
          </cell>
          <cell r="B187" t="str">
            <v>COMPLEMENTOS</v>
          </cell>
          <cell r="C187">
            <v>909.31</v>
          </cell>
          <cell r="D187">
            <v>0</v>
          </cell>
          <cell r="E187">
            <v>0</v>
          </cell>
          <cell r="F187">
            <v>909.31</v>
          </cell>
        </row>
        <row r="188">
          <cell r="A188" t="str">
            <v>11500000-50011000-00050000</v>
          </cell>
          <cell r="B188" t="str">
            <v>IMPERMEABILIZANTES</v>
          </cell>
          <cell r="C188">
            <v>6930</v>
          </cell>
          <cell r="D188">
            <v>0</v>
          </cell>
          <cell r="E188">
            <v>0</v>
          </cell>
          <cell r="F188">
            <v>6930</v>
          </cell>
        </row>
        <row r="189">
          <cell r="A189" t="str">
            <v>11500000-50011000-00140000</v>
          </cell>
          <cell r="B189" t="str">
            <v>OTROS</v>
          </cell>
          <cell r="C189">
            <v>22971.74</v>
          </cell>
          <cell r="D189">
            <v>0</v>
          </cell>
          <cell r="E189">
            <v>0</v>
          </cell>
          <cell r="F189">
            <v>22971.74</v>
          </cell>
        </row>
        <row r="190">
          <cell r="A190" t="str">
            <v>11500000-50016000-00000000</v>
          </cell>
          <cell r="B190" t="str">
            <v>A.P.T.C. ACOXPA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</row>
        <row r="191">
          <cell r="A191" t="str">
            <v>11500000-50017000-00000000</v>
          </cell>
          <cell r="B191" t="str">
            <v>A.P.T.C. REFORMA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</row>
        <row r="192">
          <cell r="A192" t="str">
            <v>11500000-50018000-00000000</v>
          </cell>
          <cell r="B192" t="str">
            <v>A.P.T.C. PORTALES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</row>
        <row r="193">
          <cell r="A193" t="str">
            <v>11500000-50019000-00000000</v>
          </cell>
          <cell r="B193" t="str">
            <v>A.P.T.C. IZTAPALAPA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</row>
        <row r="194">
          <cell r="A194" t="str">
            <v>11500000-50020000-00000000</v>
          </cell>
          <cell r="B194" t="str">
            <v>A.P.T.C. CANCUN</v>
          </cell>
          <cell r="C194">
            <v>554951.89</v>
          </cell>
          <cell r="D194">
            <v>48656.59</v>
          </cell>
          <cell r="E194">
            <v>73433.41</v>
          </cell>
          <cell r="F194">
            <v>530175.06999999995</v>
          </cell>
        </row>
        <row r="195">
          <cell r="A195" t="str">
            <v>11500000-50020000-00010000</v>
          </cell>
          <cell r="B195" t="str">
            <v>PERMATONE-PASTAS INTERIORES</v>
          </cell>
          <cell r="C195">
            <v>93091.199999999997</v>
          </cell>
          <cell r="D195">
            <v>6143.08</v>
          </cell>
          <cell r="E195">
            <v>15638.72</v>
          </cell>
          <cell r="F195">
            <v>83595.56</v>
          </cell>
        </row>
        <row r="196">
          <cell r="A196" t="str">
            <v>11500000-50020000-00020000</v>
          </cell>
          <cell r="B196" t="str">
            <v>EXTERIORES</v>
          </cell>
          <cell r="C196">
            <v>86689.1</v>
          </cell>
          <cell r="D196">
            <v>3033.89</v>
          </cell>
          <cell r="E196">
            <v>4803.97</v>
          </cell>
          <cell r="F196">
            <v>84919.02</v>
          </cell>
        </row>
        <row r="197">
          <cell r="A197" t="str">
            <v>11500000-50020000-00030000</v>
          </cell>
          <cell r="B197" t="str">
            <v>PINTURAS</v>
          </cell>
          <cell r="C197">
            <v>140615.74</v>
          </cell>
          <cell r="D197">
            <v>24774.79</v>
          </cell>
          <cell r="E197">
            <v>42976.67</v>
          </cell>
          <cell r="F197">
            <v>122413.86</v>
          </cell>
        </row>
        <row r="198">
          <cell r="A198" t="str">
            <v>11500000-50020000-00040000</v>
          </cell>
          <cell r="B198" t="str">
            <v>COMPLEMENTOS</v>
          </cell>
          <cell r="C198">
            <v>61463.38</v>
          </cell>
          <cell r="D198">
            <v>14704.83</v>
          </cell>
          <cell r="E198">
            <v>9712.8700000000008</v>
          </cell>
          <cell r="F198">
            <v>66455.34</v>
          </cell>
        </row>
        <row r="199">
          <cell r="A199" t="str">
            <v>11500000-50020000-00050000</v>
          </cell>
          <cell r="B199" t="str">
            <v>IMPERMEABILIZANTES</v>
          </cell>
          <cell r="C199">
            <v>8820.56</v>
          </cell>
          <cell r="D199">
            <v>0</v>
          </cell>
          <cell r="E199">
            <v>0</v>
          </cell>
          <cell r="F199">
            <v>8820.56</v>
          </cell>
        </row>
        <row r="200">
          <cell r="A200" t="str">
            <v>11500000-50020000-00060000</v>
          </cell>
          <cell r="B200" t="str">
            <v>SISTEMA-PRECOR</v>
          </cell>
          <cell r="C200">
            <v>229.43</v>
          </cell>
          <cell r="D200">
            <v>0</v>
          </cell>
          <cell r="E200">
            <v>0</v>
          </cell>
          <cell r="F200">
            <v>229.43</v>
          </cell>
        </row>
        <row r="201">
          <cell r="A201" t="str">
            <v>11500000-50020000-00110000</v>
          </cell>
          <cell r="B201" t="str">
            <v>HERRAMIENTAS</v>
          </cell>
          <cell r="C201">
            <v>155939.99</v>
          </cell>
          <cell r="D201">
            <v>0</v>
          </cell>
          <cell r="E201">
            <v>0</v>
          </cell>
          <cell r="F201">
            <v>155939.99</v>
          </cell>
        </row>
        <row r="202">
          <cell r="A202" t="str">
            <v>11500000-50020000-00130000</v>
          </cell>
          <cell r="B202" t="str">
            <v>MAQUILAS</v>
          </cell>
          <cell r="C202">
            <v>7898.13</v>
          </cell>
          <cell r="D202">
            <v>0</v>
          </cell>
          <cell r="E202">
            <v>301.18</v>
          </cell>
          <cell r="F202">
            <v>7596.95</v>
          </cell>
        </row>
        <row r="203">
          <cell r="A203" t="str">
            <v>11500000-50020000-00140000</v>
          </cell>
          <cell r="B203" t="str">
            <v>OTROS</v>
          </cell>
          <cell r="C203">
            <v>204.36</v>
          </cell>
          <cell r="D203">
            <v>0</v>
          </cell>
          <cell r="E203">
            <v>0</v>
          </cell>
          <cell r="F203">
            <v>204.36</v>
          </cell>
        </row>
        <row r="204">
          <cell r="A204" t="str">
            <v>11500000-50021000-00000000</v>
          </cell>
          <cell r="B204" t="str">
            <v>A.P.T.C. CUAJIMALPA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</row>
        <row r="205">
          <cell r="A205" t="str">
            <v>11500000-50022000-00000000</v>
          </cell>
          <cell r="B205" t="str">
            <v>A.P.T.C. ECATEPEC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</row>
        <row r="206">
          <cell r="A206" t="str">
            <v>11500000-50023000-00000000</v>
          </cell>
          <cell r="B206" t="str">
            <v>A.P.T.C. COACALCO 1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</row>
        <row r="207">
          <cell r="A207" t="str">
            <v>11500000-50024000-00000000</v>
          </cell>
          <cell r="B207" t="str">
            <v>A.P.T.C. COACALCO 2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A208" t="str">
            <v>11500000-50025000-00000000</v>
          </cell>
          <cell r="B208" t="str">
            <v>A.P.T.C. PERINORTE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</row>
        <row r="209">
          <cell r="A209" t="str">
            <v>11500000-60000000-00000000</v>
          </cell>
          <cell r="B209" t="str">
            <v>ALMACEN MATERIA PRIMA</v>
          </cell>
          <cell r="C209">
            <v>4592806.2300000004</v>
          </cell>
          <cell r="D209">
            <v>8730754.1699999999</v>
          </cell>
          <cell r="E209">
            <v>8746055.6500000004</v>
          </cell>
        </row>
        <row r="210">
          <cell r="A210" t="str">
            <v>11500000-60001000-00000000</v>
          </cell>
          <cell r="B210" t="str">
            <v>A.M.P.PLANTA</v>
          </cell>
          <cell r="C210">
            <v>4575770.6100000003</v>
          </cell>
          <cell r="D210">
            <v>8727326.7300000004</v>
          </cell>
          <cell r="E210">
            <v>8739406.6099999994</v>
          </cell>
          <cell r="F210">
            <v>4563690.7300000004</v>
          </cell>
        </row>
        <row r="211">
          <cell r="A211" t="str">
            <v>11500000-60001000-00010000</v>
          </cell>
          <cell r="B211" t="str">
            <v>RESINAS</v>
          </cell>
          <cell r="C211">
            <v>783496.85</v>
          </cell>
          <cell r="D211">
            <v>4691558.3099999996</v>
          </cell>
          <cell r="E211">
            <v>4548638.58</v>
          </cell>
          <cell r="F211">
            <v>926416.58</v>
          </cell>
        </row>
        <row r="212">
          <cell r="A212" t="str">
            <v>11500000-60001000-00020000</v>
          </cell>
          <cell r="B212" t="str">
            <v>PIGMENTOS</v>
          </cell>
          <cell r="C212">
            <v>1287804.8999999999</v>
          </cell>
          <cell r="D212">
            <v>792852.4</v>
          </cell>
          <cell r="E212">
            <v>988513.5</v>
          </cell>
          <cell r="F212">
            <v>1092143.8</v>
          </cell>
        </row>
        <row r="213">
          <cell r="A213" t="str">
            <v>11500000-60001000-00030000</v>
          </cell>
          <cell r="B213" t="str">
            <v>QUIMICOS</v>
          </cell>
          <cell r="C213">
            <v>1343986.54</v>
          </cell>
          <cell r="D213">
            <v>880388.98</v>
          </cell>
          <cell r="E213">
            <v>1040609.58</v>
          </cell>
          <cell r="F213">
            <v>1183765.94</v>
          </cell>
        </row>
        <row r="214">
          <cell r="A214" t="str">
            <v>11500000-60001000-00040000</v>
          </cell>
          <cell r="B214" t="str">
            <v>CARGAS</v>
          </cell>
          <cell r="C214">
            <v>535398.46</v>
          </cell>
          <cell r="D214">
            <v>926982.21</v>
          </cell>
          <cell r="E214">
            <v>791359.9</v>
          </cell>
          <cell r="F214">
            <v>671020.77</v>
          </cell>
        </row>
        <row r="215">
          <cell r="A215" t="str">
            <v>11500000-60001000-00050000</v>
          </cell>
          <cell r="B215" t="str">
            <v>EMPAQUES</v>
          </cell>
          <cell r="C215">
            <v>364408.18</v>
          </cell>
          <cell r="D215">
            <v>727811.02</v>
          </cell>
          <cell r="E215">
            <v>716114.17</v>
          </cell>
          <cell r="F215">
            <v>376105.03</v>
          </cell>
        </row>
        <row r="216">
          <cell r="A216" t="str">
            <v>11500000-60001000-00060000</v>
          </cell>
          <cell r="B216" t="str">
            <v>SEMI-ELABORADOS</v>
          </cell>
          <cell r="C216">
            <v>260675.68</v>
          </cell>
          <cell r="D216">
            <v>707733.81</v>
          </cell>
          <cell r="E216">
            <v>654170.88</v>
          </cell>
          <cell r="F216">
            <v>314238.61</v>
          </cell>
        </row>
        <row r="217">
          <cell r="A217" t="str">
            <v>11500000-60002000-00000000</v>
          </cell>
          <cell r="B217" t="str">
            <v>A.M.P.PR1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</row>
        <row r="218">
          <cell r="A218" t="str">
            <v>11500000-60003000-00000000</v>
          </cell>
          <cell r="B218" t="str">
            <v>A.M.P.AGRICULTURA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</row>
        <row r="219">
          <cell r="A219" t="str">
            <v>11500000-60004000-00000000</v>
          </cell>
          <cell r="B219" t="str">
            <v>A.M.P.DIVISION DEL NORTE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</row>
        <row r="220">
          <cell r="A220" t="str">
            <v>11500000-60005000-00000000</v>
          </cell>
          <cell r="B220" t="str">
            <v>A.M.P.GUADALAJARA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</row>
        <row r="221">
          <cell r="A221" t="str">
            <v>11500000-60006000-00000000</v>
          </cell>
          <cell r="B221" t="str">
            <v>A.M.P.CUARENTENA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</row>
        <row r="222">
          <cell r="A222" t="str">
            <v>11500000-60007000-00000000</v>
          </cell>
          <cell r="B222" t="str">
            <v>A.M.P.CONSIGNACION BODEGON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</row>
        <row r="223">
          <cell r="A223" t="str">
            <v>11500000-60011000-00000000</v>
          </cell>
          <cell r="B223" t="str">
            <v>MAT. P/MAQUILAS CIEN X CIEN</v>
          </cell>
          <cell r="C223">
            <v>17035.62</v>
          </cell>
          <cell r="D223">
            <v>3427.44</v>
          </cell>
          <cell r="E223">
            <v>6649.04</v>
          </cell>
          <cell r="F223">
            <v>13814.02</v>
          </cell>
        </row>
        <row r="224">
          <cell r="A224" t="str">
            <v>11500000-60011000-00040000</v>
          </cell>
          <cell r="B224" t="str">
            <v>CARGAS</v>
          </cell>
          <cell r="C224">
            <v>6341.64</v>
          </cell>
          <cell r="D224">
            <v>3427.44</v>
          </cell>
          <cell r="E224">
            <v>6377.04</v>
          </cell>
          <cell r="F224">
            <v>3392.04</v>
          </cell>
        </row>
        <row r="225">
          <cell r="A225" t="str">
            <v>11500000-60011000-00050000</v>
          </cell>
          <cell r="B225" t="str">
            <v>EMPAQUES</v>
          </cell>
          <cell r="C225">
            <v>8551.68</v>
          </cell>
          <cell r="D225">
            <v>0</v>
          </cell>
          <cell r="E225">
            <v>272</v>
          </cell>
          <cell r="F225">
            <v>8279.68</v>
          </cell>
        </row>
        <row r="226">
          <cell r="A226" t="str">
            <v>11500000-60011000-00060000</v>
          </cell>
          <cell r="B226" t="str">
            <v>SEMI-ELABORADOS</v>
          </cell>
          <cell r="C226">
            <v>2142.3000000000002</v>
          </cell>
          <cell r="D226">
            <v>0</v>
          </cell>
          <cell r="E226">
            <v>0</v>
          </cell>
          <cell r="F226">
            <v>2142.3000000000002</v>
          </cell>
        </row>
        <row r="227">
          <cell r="A227" t="str">
            <v>11500000-60012000-00000000</v>
          </cell>
          <cell r="B227" t="str">
            <v>MAT. P/MAQUILAS CURACRETO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</row>
        <row r="228">
          <cell r="A228" t="str">
            <v>11500000-60013000-00000000</v>
          </cell>
          <cell r="B228" t="str">
            <v>MAT. P/MAQUILAS INC. MOGU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</row>
        <row r="229">
          <cell r="A229" t="str">
            <v>11500000-60014000-00000000</v>
          </cell>
          <cell r="B229" t="str">
            <v>MAT. P. MAQUILAS GRAL. PAINT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</row>
        <row r="230">
          <cell r="A230" t="str">
            <v>11500000-60016000-00000000</v>
          </cell>
          <cell r="B230" t="str">
            <v>A.M.P. ACOXPA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</row>
        <row r="231">
          <cell r="A231" t="str">
            <v>11500000-60017000-00000000</v>
          </cell>
          <cell r="B231" t="str">
            <v>A.M.P. REFORMA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</row>
        <row r="232">
          <cell r="A232" t="str">
            <v>11500000-60018000-00000000</v>
          </cell>
          <cell r="B232" t="str">
            <v>A.M.P. PORTALES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11500000-60019000-00000000</v>
          </cell>
          <cell r="B233" t="str">
            <v>A.M.P. IZTAPALAPA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</row>
        <row r="234">
          <cell r="A234" t="str">
            <v>11500000-60020000-00000000</v>
          </cell>
          <cell r="B234" t="str">
            <v>A.M.P. CANCUN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A235" t="str">
            <v>11500000-80000000-00000000</v>
          </cell>
          <cell r="B235" t="str">
            <v>MERCANCIA EN TRANSITO</v>
          </cell>
          <cell r="C235">
            <v>53148.91</v>
          </cell>
          <cell r="D235">
            <v>0</v>
          </cell>
          <cell r="E235">
            <v>53148.91</v>
          </cell>
        </row>
        <row r="236">
          <cell r="A236" t="str">
            <v>11500000-80001000-00000000</v>
          </cell>
          <cell r="B236" t="str">
            <v>M.T. MATERIA PRIMA</v>
          </cell>
          <cell r="C236">
            <v>53148.91</v>
          </cell>
          <cell r="D236">
            <v>0</v>
          </cell>
          <cell r="E236">
            <v>53148.91</v>
          </cell>
          <cell r="F236">
            <v>0</v>
          </cell>
        </row>
        <row r="237">
          <cell r="A237" t="str">
            <v>11500000-80001000-00040000</v>
          </cell>
          <cell r="B237" t="str">
            <v>CARGAS</v>
          </cell>
          <cell r="C237">
            <v>53148.91</v>
          </cell>
          <cell r="D237">
            <v>0</v>
          </cell>
          <cell r="E237">
            <v>53148.91</v>
          </cell>
          <cell r="F237">
            <v>0</v>
          </cell>
        </row>
        <row r="238">
          <cell r="A238" t="str">
            <v>11500000-80002000-00000000</v>
          </cell>
          <cell r="B238" t="str">
            <v>M.T. ARTICULOS DE APOYO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</row>
        <row r="239">
          <cell r="A239" t="str">
            <v>11500000-80003000-00000000</v>
          </cell>
          <cell r="B239" t="str">
            <v>M.T. PRODUCTO TERMINADO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</row>
        <row r="240">
          <cell r="A240" t="str">
            <v>11500000-80004000-00000000</v>
          </cell>
          <cell r="B240" t="str">
            <v>MET PTP X ENTREGAR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</row>
        <row r="241">
          <cell r="A241" t="str">
            <v>11500000-90000000-00000000</v>
          </cell>
          <cell r="B241" t="str">
            <v>PRODUCCION EN PROCESO</v>
          </cell>
          <cell r="C241">
            <v>0</v>
          </cell>
          <cell r="D241">
            <v>6724400.8799999999</v>
          </cell>
          <cell r="E241">
            <v>6724400.8799999999</v>
          </cell>
        </row>
        <row r="242">
          <cell r="A242" t="str">
            <v>11500000-90001000-00000000</v>
          </cell>
          <cell r="B242" t="str">
            <v>PRODUCCION EN PROCESO PLANTA</v>
          </cell>
          <cell r="C242">
            <v>0</v>
          </cell>
          <cell r="D242">
            <v>6724400.8799999999</v>
          </cell>
          <cell r="E242">
            <v>6724400.8799999999</v>
          </cell>
          <cell r="F242">
            <v>0</v>
          </cell>
        </row>
        <row r="243">
          <cell r="A243" t="str">
            <v>11500000-90001000-00010000</v>
          </cell>
          <cell r="B243" t="str">
            <v>PRODUCCION EN PROCESO PLANTA</v>
          </cell>
          <cell r="C243">
            <v>0</v>
          </cell>
          <cell r="D243">
            <v>6724400.8799999999</v>
          </cell>
          <cell r="E243">
            <v>6724400.8799999999</v>
          </cell>
          <cell r="F243">
            <v>0</v>
          </cell>
        </row>
        <row r="244">
          <cell r="A244" t="str">
            <v>13000000-00000000-00000000</v>
          </cell>
          <cell r="B244" t="str">
            <v>ACTIVO FIJO</v>
          </cell>
          <cell r="C244">
            <v>23525733.84</v>
          </cell>
          <cell r="D244">
            <v>360176.02</v>
          </cell>
          <cell r="E244">
            <v>340532.52</v>
          </cell>
          <cell r="F244">
            <v>23545377.34</v>
          </cell>
        </row>
        <row r="247">
          <cell r="A247" t="str">
            <v>13100000-00000000-00000000</v>
          </cell>
          <cell r="B247" t="str">
            <v>ACTIVOS FIJOS NETOS HIST/ACT.</v>
          </cell>
          <cell r="C247">
            <v>23525733.84</v>
          </cell>
          <cell r="D247">
            <v>360176.02</v>
          </cell>
          <cell r="E247">
            <v>340532.52</v>
          </cell>
          <cell r="F247">
            <v>23545377.34</v>
          </cell>
        </row>
        <row r="248">
          <cell r="F248">
            <v>23545377.34</v>
          </cell>
        </row>
        <row r="249">
          <cell r="A249" t="str">
            <v>13100000-00100000-00000000</v>
          </cell>
          <cell r="B249" t="str">
            <v>ACTIVOS FIJOS NETOS HISTORICOS</v>
          </cell>
          <cell r="C249">
            <v>6851787.8399999999</v>
          </cell>
          <cell r="D249">
            <v>360176.02</v>
          </cell>
          <cell r="E249">
            <v>340532.52</v>
          </cell>
        </row>
        <row r="250">
          <cell r="A250" t="str">
            <v>13100000-00100000-00000000</v>
          </cell>
          <cell r="B250" t="str">
            <v>ACTIVOS FIJOS NETOS HISTORICOS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</row>
        <row r="251">
          <cell r="A251" t="str">
            <v>13100000-00101000-00000000</v>
          </cell>
          <cell r="B251" t="str">
            <v>ACTIVOS FIJOS HISTORICOS</v>
          </cell>
          <cell r="C251">
            <v>17040745.190000001</v>
          </cell>
          <cell r="D251">
            <v>131654.48000000001</v>
          </cell>
          <cell r="E251">
            <v>229086.09</v>
          </cell>
          <cell r="F251">
            <v>16943313.579999998</v>
          </cell>
        </row>
        <row r="252">
          <cell r="A252" t="str">
            <v>13100000-00101000-00010000</v>
          </cell>
          <cell r="B252" t="str">
            <v>TERRENOS V. HISTORICO</v>
          </cell>
          <cell r="C252">
            <v>1493831.01</v>
          </cell>
          <cell r="D252">
            <v>0</v>
          </cell>
          <cell r="E252">
            <v>0</v>
          </cell>
          <cell r="F252">
            <v>1493831.01</v>
          </cell>
        </row>
        <row r="253">
          <cell r="A253" t="str">
            <v>13100000-00101000-00020000</v>
          </cell>
          <cell r="B253" t="str">
            <v>EDIFIC. Y CONST. V. HISTORICO</v>
          </cell>
          <cell r="C253">
            <v>4091540.07</v>
          </cell>
          <cell r="D253">
            <v>0</v>
          </cell>
          <cell r="E253">
            <v>0</v>
          </cell>
          <cell r="F253">
            <v>4091540.07</v>
          </cell>
        </row>
        <row r="254">
          <cell r="A254" t="str">
            <v>13100000-00101000-00030000</v>
          </cell>
          <cell r="B254" t="str">
            <v>EQ. DE COMPUTO V. HISTORICO</v>
          </cell>
          <cell r="C254">
            <v>2472206.44</v>
          </cell>
          <cell r="D254">
            <v>35783.879999999997</v>
          </cell>
          <cell r="E254">
            <v>0</v>
          </cell>
          <cell r="F254">
            <v>2507990.3199999998</v>
          </cell>
        </row>
        <row r="255">
          <cell r="A255" t="str">
            <v>13100000-00101000-00040000</v>
          </cell>
          <cell r="B255" t="str">
            <v>EQ. DE TRANSPORTE V. HISTORICO</v>
          </cell>
          <cell r="C255">
            <v>1743248.71</v>
          </cell>
          <cell r="D255">
            <v>0</v>
          </cell>
          <cell r="E255">
            <v>226698.02</v>
          </cell>
          <cell r="F255">
            <v>1516550.69</v>
          </cell>
        </row>
        <row r="256">
          <cell r="A256" t="str">
            <v>13100000-00101000-00050000</v>
          </cell>
          <cell r="B256" t="str">
            <v>MAQ. Y EQUIPO V. HISTORICO</v>
          </cell>
          <cell r="C256">
            <v>5574975.7400000002</v>
          </cell>
          <cell r="D256">
            <v>95807.6</v>
          </cell>
          <cell r="E256">
            <v>0</v>
          </cell>
          <cell r="F256">
            <v>5670783.3399999999</v>
          </cell>
        </row>
        <row r="257">
          <cell r="A257" t="str">
            <v>13100000-00101000-00060000</v>
          </cell>
          <cell r="B257" t="str">
            <v>MOB. Y EQ. DE OFIC. V. HISTORI</v>
          </cell>
          <cell r="C257">
            <v>1321865.6100000001</v>
          </cell>
          <cell r="D257">
            <v>63</v>
          </cell>
          <cell r="E257">
            <v>2388.0700000000002</v>
          </cell>
          <cell r="F257">
            <v>1319540.54</v>
          </cell>
        </row>
        <row r="258">
          <cell r="A258" t="str">
            <v>13100000-00101000-00070000</v>
          </cell>
          <cell r="B258" t="str">
            <v>MEJORAS LOCALES ARREND. V. HIS</v>
          </cell>
          <cell r="C258">
            <v>343077.61</v>
          </cell>
          <cell r="D258">
            <v>0</v>
          </cell>
          <cell r="E258">
            <v>0</v>
          </cell>
          <cell r="F258">
            <v>343077.61</v>
          </cell>
        </row>
        <row r="259">
          <cell r="A259" t="str">
            <v>13100000-00102000-00000000</v>
          </cell>
          <cell r="B259" t="str">
            <v>DEPREC. ACUMULADA HISTORICA</v>
          </cell>
          <cell r="C259">
            <v>-10188957.35</v>
          </cell>
          <cell r="D259">
            <v>228521.54</v>
          </cell>
          <cell r="E259">
            <v>111446.43</v>
          </cell>
          <cell r="F259">
            <v>-10071882.24</v>
          </cell>
        </row>
        <row r="260">
          <cell r="A260" t="str">
            <v>13100000-00102000-00020000</v>
          </cell>
          <cell r="B260" t="str">
            <v>DEP. ACUM. EDIF. Y CONST. HIST</v>
          </cell>
          <cell r="C260">
            <v>-2050905.01</v>
          </cell>
          <cell r="D260">
            <v>0</v>
          </cell>
          <cell r="E260">
            <v>17048.080000000002</v>
          </cell>
          <cell r="F260">
            <v>-2067953.09</v>
          </cell>
        </row>
        <row r="261">
          <cell r="A261" t="str">
            <v>13100000-00102000-00030000</v>
          </cell>
          <cell r="B261" t="str">
            <v>DEP. ACUM. EQ. DE COMPUTO HIST</v>
          </cell>
          <cell r="C261">
            <v>-2030205.09</v>
          </cell>
          <cell r="D261">
            <v>0</v>
          </cell>
          <cell r="E261">
            <v>29459.74</v>
          </cell>
          <cell r="F261">
            <v>-2059664.83</v>
          </cell>
        </row>
        <row r="262">
          <cell r="A262" t="str">
            <v>13100000-00102000-00040000</v>
          </cell>
          <cell r="B262" t="str">
            <v>DEP. ACUM EQ. DE TRANSP. HISTO</v>
          </cell>
          <cell r="C262">
            <v>-1285092.6000000001</v>
          </cell>
          <cell r="D262">
            <v>226698.02</v>
          </cell>
          <cell r="E262">
            <v>23968.63</v>
          </cell>
          <cell r="F262">
            <v>-1082363.21</v>
          </cell>
        </row>
        <row r="263">
          <cell r="A263" t="str">
            <v>13100000-00102000-00050000</v>
          </cell>
          <cell r="B263" t="str">
            <v>DEP. ACUM. MAQ. Y EQUIPO HISTO</v>
          </cell>
          <cell r="C263">
            <v>-3632733.93</v>
          </cell>
          <cell r="D263">
            <v>0</v>
          </cell>
          <cell r="E263">
            <v>33354.089999999997</v>
          </cell>
          <cell r="F263">
            <v>-3666088.02</v>
          </cell>
        </row>
        <row r="264">
          <cell r="A264" t="str">
            <v>13100000-00102000-00060000</v>
          </cell>
          <cell r="B264" t="str">
            <v>DEP. ACUM. MOB. Y EQ. DE OFIC.</v>
          </cell>
          <cell r="C264">
            <v>-940441.97</v>
          </cell>
          <cell r="D264">
            <v>1823.52</v>
          </cell>
          <cell r="E264">
            <v>6289.09</v>
          </cell>
          <cell r="F264">
            <v>-944907.54</v>
          </cell>
        </row>
        <row r="265">
          <cell r="A265" t="str">
            <v>13100000-00102000-00070000</v>
          </cell>
          <cell r="B265" t="str">
            <v>AMORT. ACUM. MEJORAS LOC. ARRE</v>
          </cell>
          <cell r="C265">
            <v>-249578.75</v>
          </cell>
          <cell r="D265">
            <v>0</v>
          </cell>
          <cell r="E265">
            <v>1326.8</v>
          </cell>
          <cell r="F265">
            <v>-250905.55</v>
          </cell>
        </row>
        <row r="266">
          <cell r="A266" t="str">
            <v>13100000-00200000-00000000</v>
          </cell>
          <cell r="B266" t="str">
            <v>ACTIVOS FIJOS NETOS V. ACTUALI</v>
          </cell>
          <cell r="C266">
            <v>16673946</v>
          </cell>
          <cell r="D266">
            <v>0</v>
          </cell>
          <cell r="E266">
            <v>0</v>
          </cell>
        </row>
        <row r="267">
          <cell r="A267" t="str">
            <v>13100000-00201000-00000000</v>
          </cell>
          <cell r="B267" t="str">
            <v>ACTIVOS FIJOS ACTUALIZADOS</v>
          </cell>
          <cell r="C267">
            <v>42480421</v>
          </cell>
          <cell r="D267">
            <v>0</v>
          </cell>
          <cell r="E267">
            <v>0</v>
          </cell>
          <cell r="F267">
            <v>42480421</v>
          </cell>
        </row>
        <row r="268">
          <cell r="A268" t="str">
            <v>13100000-00201000-00010000</v>
          </cell>
          <cell r="B268" t="str">
            <v>TERRENOS V. ACTUALIZADO</v>
          </cell>
          <cell r="C268">
            <v>9835804</v>
          </cell>
          <cell r="D268">
            <v>0</v>
          </cell>
          <cell r="E268">
            <v>0</v>
          </cell>
          <cell r="F268">
            <v>9835804</v>
          </cell>
        </row>
        <row r="269">
          <cell r="A269" t="str">
            <v>13100000-00201000-00020000</v>
          </cell>
          <cell r="B269" t="str">
            <v>EDIFIC. Y CONST. V. ACTUALIZAD</v>
          </cell>
          <cell r="C269">
            <v>8286997</v>
          </cell>
          <cell r="D269">
            <v>0</v>
          </cell>
          <cell r="E269">
            <v>0</v>
          </cell>
          <cell r="F269">
            <v>8286997</v>
          </cell>
        </row>
        <row r="270">
          <cell r="A270" t="str">
            <v>13100000-00201000-00030000</v>
          </cell>
          <cell r="B270" t="str">
            <v>EQUIPO DE COMPUTO V. ACTUALIZA</v>
          </cell>
          <cell r="C270">
            <v>2182668</v>
          </cell>
          <cell r="D270">
            <v>0</v>
          </cell>
          <cell r="E270">
            <v>0</v>
          </cell>
          <cell r="F270">
            <v>2182668</v>
          </cell>
        </row>
        <row r="271">
          <cell r="A271" t="str">
            <v>13100000-00201000-00040000</v>
          </cell>
          <cell r="B271" t="str">
            <v>EQUIPO DE TRANSPORTE V. ACTUAL</v>
          </cell>
          <cell r="C271">
            <v>2131051</v>
          </cell>
          <cell r="D271">
            <v>0</v>
          </cell>
          <cell r="E271">
            <v>0</v>
          </cell>
          <cell r="F271">
            <v>2131051</v>
          </cell>
        </row>
        <row r="272">
          <cell r="A272" t="str">
            <v>13100000-00201000-00050000</v>
          </cell>
          <cell r="B272" t="str">
            <v>MAQUINARIA Y EQUIPO V. ACTUALI</v>
          </cell>
          <cell r="C272">
            <v>12992407</v>
          </cell>
          <cell r="D272">
            <v>0</v>
          </cell>
          <cell r="E272">
            <v>0</v>
          </cell>
          <cell r="F272">
            <v>12992407</v>
          </cell>
        </row>
        <row r="273">
          <cell r="A273" t="str">
            <v>13100000-00201000-00060000</v>
          </cell>
          <cell r="B273" t="str">
            <v>MOB. Y EQ. DE OFICINA V. ACTUA</v>
          </cell>
          <cell r="C273">
            <v>5452905</v>
          </cell>
          <cell r="D273">
            <v>0</v>
          </cell>
          <cell r="E273">
            <v>0</v>
          </cell>
          <cell r="F273">
            <v>5452905</v>
          </cell>
        </row>
        <row r="274">
          <cell r="A274" t="str">
            <v>13100000-00201000-00070000</v>
          </cell>
          <cell r="B274" t="str">
            <v>MEJORAS A LOCALES ARREND. V. A</v>
          </cell>
          <cell r="C274">
            <v>1598589</v>
          </cell>
          <cell r="D274">
            <v>0</v>
          </cell>
          <cell r="E274">
            <v>0</v>
          </cell>
          <cell r="F274">
            <v>1598589</v>
          </cell>
        </row>
        <row r="275">
          <cell r="A275" t="str">
            <v>13100000-00202000-00000000</v>
          </cell>
          <cell r="B275" t="str">
            <v>DEPREC. ACUMULADA ACTUALIZADA</v>
          </cell>
          <cell r="C275">
            <v>-25806475</v>
          </cell>
          <cell r="D275">
            <v>0</v>
          </cell>
          <cell r="E275">
            <v>0</v>
          </cell>
          <cell r="F275">
            <v>-25806475</v>
          </cell>
        </row>
        <row r="276">
          <cell r="A276" t="str">
            <v>13100000-00202000-00020000</v>
          </cell>
          <cell r="B276" t="str">
            <v>DEP. ACUM. EDIF. Y CONST. ACTU</v>
          </cell>
          <cell r="C276">
            <v>-3311772</v>
          </cell>
          <cell r="D276">
            <v>0</v>
          </cell>
          <cell r="E276">
            <v>0</v>
          </cell>
          <cell r="F276">
            <v>-3311772</v>
          </cell>
        </row>
        <row r="277">
          <cell r="A277" t="str">
            <v>13100000-00202000-00030000</v>
          </cell>
          <cell r="B277" t="str">
            <v>DEP. ACUM. EQ. DE COMPUTO ACTU</v>
          </cell>
          <cell r="C277">
            <v>-2107963</v>
          </cell>
          <cell r="D277">
            <v>0</v>
          </cell>
          <cell r="E277">
            <v>0</v>
          </cell>
          <cell r="F277">
            <v>-2107963</v>
          </cell>
        </row>
        <row r="278">
          <cell r="A278" t="str">
            <v>13100000-00202000-00040000</v>
          </cell>
          <cell r="B278" t="str">
            <v>DEP. ACUM. EQ. DE TRANSPORTE A</v>
          </cell>
          <cell r="C278">
            <v>-1532452</v>
          </cell>
          <cell r="D278">
            <v>0</v>
          </cell>
          <cell r="E278">
            <v>0</v>
          </cell>
          <cell r="F278">
            <v>-1532452</v>
          </cell>
        </row>
        <row r="279">
          <cell r="A279" t="str">
            <v>13100000-00202000-00050000</v>
          </cell>
          <cell r="B279" t="str">
            <v>DEP. ACUM. MAQ.Y EQUIPO ACTUAL</v>
          </cell>
          <cell r="C279">
            <v>-12731652</v>
          </cell>
          <cell r="D279">
            <v>0</v>
          </cell>
          <cell r="E279">
            <v>0</v>
          </cell>
          <cell r="F279">
            <v>-12731652</v>
          </cell>
        </row>
        <row r="280">
          <cell r="A280" t="str">
            <v>13100000-00202000-00060000</v>
          </cell>
          <cell r="B280" t="str">
            <v>DEP. ACUM. MOB. Y EQ. DE OFICI</v>
          </cell>
          <cell r="C280">
            <v>-5064836</v>
          </cell>
          <cell r="D280">
            <v>0</v>
          </cell>
          <cell r="E280">
            <v>0</v>
          </cell>
          <cell r="F280">
            <v>-5064836</v>
          </cell>
        </row>
        <row r="281">
          <cell r="A281" t="str">
            <v>13100000-00202000-00070000</v>
          </cell>
          <cell r="B281" t="str">
            <v>AMORT. ACUM. MEJORAS LOC. ARRE</v>
          </cell>
          <cell r="C281">
            <v>-1057800</v>
          </cell>
          <cell r="D281">
            <v>0</v>
          </cell>
          <cell r="E281">
            <v>0</v>
          </cell>
          <cell r="F281">
            <v>-1057800</v>
          </cell>
        </row>
        <row r="282">
          <cell r="A282" t="str">
            <v>19000000-00000000-00000000</v>
          </cell>
          <cell r="B282" t="str">
            <v>ACTIVO DIFERIDO</v>
          </cell>
          <cell r="C282">
            <v>15714336.130000001</v>
          </cell>
          <cell r="D282">
            <v>2366200.81</v>
          </cell>
          <cell r="E282">
            <v>2548442.2599999998</v>
          </cell>
          <cell r="F282">
            <v>15532094.68</v>
          </cell>
        </row>
        <row r="285">
          <cell r="A285" t="str">
            <v>19100000-00000000-00000000</v>
          </cell>
          <cell r="B285" t="str">
            <v>ACTIVO DIFERIDO</v>
          </cell>
          <cell r="C285">
            <v>15714336.130000001</v>
          </cell>
          <cell r="D285">
            <v>2366200.81</v>
          </cell>
          <cell r="E285">
            <v>2548442.2599999998</v>
          </cell>
          <cell r="F285">
            <v>15532094.68</v>
          </cell>
        </row>
        <row r="286">
          <cell r="F286">
            <v>15532094.68</v>
          </cell>
        </row>
        <row r="287">
          <cell r="A287" t="str">
            <v>19100000-00100000-00000000</v>
          </cell>
          <cell r="B287" t="str">
            <v>INVERSIONES Y ACCIONES</v>
          </cell>
          <cell r="C287">
            <v>0</v>
          </cell>
          <cell r="D287">
            <v>0</v>
          </cell>
          <cell r="E287">
            <v>0</v>
          </cell>
        </row>
        <row r="288">
          <cell r="A288" t="str">
            <v>19100000-00101000-00000000</v>
          </cell>
          <cell r="B288" t="str">
            <v>INVERSIONES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</row>
        <row r="289">
          <cell r="A289" t="str">
            <v>19100000-00102000-00000000</v>
          </cell>
          <cell r="B289" t="str">
            <v>ACCIONES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</row>
        <row r="290">
          <cell r="A290" t="str">
            <v>19100000-00300000-00000000</v>
          </cell>
          <cell r="B290" t="str">
            <v>IMPUESTOS POR RECUPERAR</v>
          </cell>
          <cell r="C290">
            <v>5389899.1200000001</v>
          </cell>
          <cell r="D290">
            <v>2246310.16</v>
          </cell>
          <cell r="E290">
            <v>2416261.79</v>
          </cell>
        </row>
        <row r="291">
          <cell r="A291" t="str">
            <v>19100000-00301000-00000000</v>
          </cell>
          <cell r="B291" t="str">
            <v>I.S.R. POR RECUPERAR</v>
          </cell>
          <cell r="C291">
            <v>1360739.1</v>
          </cell>
          <cell r="D291">
            <v>0</v>
          </cell>
          <cell r="E291">
            <v>0</v>
          </cell>
          <cell r="F291">
            <v>1360739.1</v>
          </cell>
        </row>
        <row r="292">
          <cell r="A292" t="str">
            <v>19100000-00301000-00090000</v>
          </cell>
          <cell r="B292" t="str">
            <v>CREDITO AL SALARIO A FAVOR 03</v>
          </cell>
          <cell r="C292">
            <v>18839.099999999999</v>
          </cell>
          <cell r="D292">
            <v>0</v>
          </cell>
          <cell r="E292">
            <v>0</v>
          </cell>
          <cell r="F292">
            <v>18839.099999999999</v>
          </cell>
        </row>
        <row r="293">
          <cell r="A293" t="str">
            <v>19100000-00301000-00150000</v>
          </cell>
          <cell r="B293" t="str">
            <v>PAGO DE LO INDEBIDO ISR ARREND</v>
          </cell>
          <cell r="C293">
            <v>2760</v>
          </cell>
          <cell r="D293">
            <v>0</v>
          </cell>
          <cell r="E293">
            <v>0</v>
          </cell>
          <cell r="F293">
            <v>2760</v>
          </cell>
        </row>
        <row r="294">
          <cell r="A294" t="str">
            <v>19100000-00301000-00160000</v>
          </cell>
          <cell r="B294" t="str">
            <v>PAGO DE LO INDEBIDO IVA ARREND</v>
          </cell>
          <cell r="C294">
            <v>2735</v>
          </cell>
          <cell r="D294">
            <v>0</v>
          </cell>
          <cell r="E294">
            <v>0</v>
          </cell>
          <cell r="F294">
            <v>2735</v>
          </cell>
        </row>
        <row r="295">
          <cell r="A295" t="str">
            <v>19100000-00301000-00170000</v>
          </cell>
          <cell r="B295" t="str">
            <v>I.S.R. A FAVOR DEL EJ-2008</v>
          </cell>
          <cell r="C295">
            <v>26722</v>
          </cell>
          <cell r="D295">
            <v>0</v>
          </cell>
          <cell r="E295">
            <v>0</v>
          </cell>
          <cell r="F295">
            <v>26722</v>
          </cell>
        </row>
        <row r="296">
          <cell r="A296" t="str">
            <v>19100000-00301000-00180000</v>
          </cell>
          <cell r="B296" t="str">
            <v>I.D.E. A FAVOR DEL EJ-2008</v>
          </cell>
          <cell r="C296">
            <v>30662</v>
          </cell>
          <cell r="D296">
            <v>0</v>
          </cell>
          <cell r="E296">
            <v>0</v>
          </cell>
          <cell r="F296">
            <v>30662</v>
          </cell>
        </row>
        <row r="297">
          <cell r="A297" t="str">
            <v>19100000-00301000-00190000</v>
          </cell>
          <cell r="B297" t="str">
            <v>I.E.T.U A FAVOR EJ. 2008</v>
          </cell>
          <cell r="C297">
            <v>984785</v>
          </cell>
          <cell r="D297">
            <v>0</v>
          </cell>
          <cell r="E297">
            <v>0</v>
          </cell>
          <cell r="F297">
            <v>984785</v>
          </cell>
        </row>
        <row r="298">
          <cell r="A298" t="str">
            <v>19100000-00301000-00200000</v>
          </cell>
          <cell r="B298" t="str">
            <v>I.E.T.U A FAVOR EJ. 2009</v>
          </cell>
          <cell r="C298">
            <v>294236</v>
          </cell>
          <cell r="D298">
            <v>0</v>
          </cell>
          <cell r="E298">
            <v>0</v>
          </cell>
          <cell r="F298">
            <v>294236</v>
          </cell>
        </row>
        <row r="299">
          <cell r="A299" t="str">
            <v>19100000-00302000-00000000</v>
          </cell>
          <cell r="B299" t="str">
            <v>I.V.A. POR RECUPERAR</v>
          </cell>
          <cell r="C299">
            <v>365426</v>
          </cell>
          <cell r="D299">
            <v>0</v>
          </cell>
          <cell r="E299">
            <v>215304</v>
          </cell>
          <cell r="F299">
            <v>150122</v>
          </cell>
        </row>
        <row r="300">
          <cell r="A300" t="str">
            <v>19100000-00302000-00080000</v>
          </cell>
          <cell r="B300" t="str">
            <v>I.V.A. A FAVOR EJ-2008</v>
          </cell>
          <cell r="C300">
            <v>658</v>
          </cell>
          <cell r="D300">
            <v>0</v>
          </cell>
          <cell r="E300">
            <v>0</v>
          </cell>
          <cell r="F300">
            <v>658</v>
          </cell>
        </row>
        <row r="301">
          <cell r="A301" t="str">
            <v>19100000-00302000-00090000</v>
          </cell>
          <cell r="B301" t="str">
            <v>I.V.A. A FAVOR EJ-2007</v>
          </cell>
          <cell r="C301">
            <v>58516</v>
          </cell>
          <cell r="D301">
            <v>0</v>
          </cell>
          <cell r="E301">
            <v>0</v>
          </cell>
          <cell r="F301">
            <v>58516</v>
          </cell>
        </row>
        <row r="302">
          <cell r="A302" t="str">
            <v>19100000-00302000-00100000</v>
          </cell>
          <cell r="B302" t="str">
            <v>I.V.A. A FAVOR EJ-2009</v>
          </cell>
          <cell r="C302">
            <v>306252</v>
          </cell>
          <cell r="D302">
            <v>0</v>
          </cell>
          <cell r="E302">
            <v>215304</v>
          </cell>
          <cell r="F302">
            <v>90948</v>
          </cell>
        </row>
        <row r="303">
          <cell r="A303" t="str">
            <v>19100000-00303000-00000000</v>
          </cell>
          <cell r="B303" t="str">
            <v>I.S.R. ACREDITABLE/APLICADO</v>
          </cell>
          <cell r="C303">
            <v>0</v>
          </cell>
          <cell r="D303">
            <v>14560.99</v>
          </cell>
          <cell r="E303">
            <v>14560.99</v>
          </cell>
          <cell r="F303">
            <v>0</v>
          </cell>
        </row>
        <row r="304">
          <cell r="A304" t="str">
            <v>19100000-00303000-00010000</v>
          </cell>
          <cell r="B304" t="str">
            <v>I.S.R. RETEN/TITUL BANC</v>
          </cell>
          <cell r="C304">
            <v>0</v>
          </cell>
          <cell r="D304">
            <v>1826.1</v>
          </cell>
          <cell r="E304">
            <v>0.1</v>
          </cell>
          <cell r="F304">
            <v>1826</v>
          </cell>
        </row>
        <row r="305">
          <cell r="A305" t="str">
            <v>19100000-00303000-00020000</v>
          </cell>
          <cell r="B305" t="str">
            <v>I.S.R. RETEN/TITUL BANC APLICA</v>
          </cell>
          <cell r="C305">
            <v>0</v>
          </cell>
          <cell r="D305">
            <v>0</v>
          </cell>
          <cell r="E305">
            <v>1826</v>
          </cell>
          <cell r="F305">
            <v>-1826</v>
          </cell>
        </row>
        <row r="306">
          <cell r="A306" t="str">
            <v>19100000-00303000-00030000</v>
          </cell>
          <cell r="B306" t="str">
            <v>CRED AL SALAR PAG EN EFECT</v>
          </cell>
          <cell r="C306">
            <v>0</v>
          </cell>
          <cell r="D306">
            <v>415.56</v>
          </cell>
          <cell r="E306">
            <v>415.56</v>
          </cell>
          <cell r="F306">
            <v>0</v>
          </cell>
        </row>
        <row r="307">
          <cell r="A307" t="str">
            <v>19100000-00303000-00050000</v>
          </cell>
          <cell r="B307" t="str">
            <v>SUBSIDIO PARA EL EMPLEO</v>
          </cell>
          <cell r="C307">
            <v>0</v>
          </cell>
          <cell r="D307">
            <v>1517.33</v>
          </cell>
          <cell r="E307">
            <v>0.33</v>
          </cell>
          <cell r="F307">
            <v>1517</v>
          </cell>
        </row>
        <row r="308">
          <cell r="A308" t="str">
            <v>19100000-00303000-00060000</v>
          </cell>
          <cell r="B308" t="str">
            <v>SUBSIDIO PARA EL EMPLEO APLIC</v>
          </cell>
          <cell r="C308">
            <v>0</v>
          </cell>
          <cell r="D308">
            <v>0</v>
          </cell>
          <cell r="E308">
            <v>1517</v>
          </cell>
          <cell r="F308">
            <v>-1517</v>
          </cell>
        </row>
        <row r="309">
          <cell r="A309" t="str">
            <v>19100000-00303000-00070000</v>
          </cell>
          <cell r="B309" t="str">
            <v>I.D.E. RETENIDO</v>
          </cell>
          <cell r="C309">
            <v>0</v>
          </cell>
          <cell r="D309">
            <v>10802</v>
          </cell>
          <cell r="E309">
            <v>0</v>
          </cell>
          <cell r="F309">
            <v>10802</v>
          </cell>
        </row>
        <row r="310">
          <cell r="A310" t="str">
            <v>19100000-00303000-00080000</v>
          </cell>
          <cell r="B310" t="str">
            <v>I.D.E. RETENIDO APLICADO</v>
          </cell>
          <cell r="C310">
            <v>0</v>
          </cell>
          <cell r="D310">
            <v>0</v>
          </cell>
          <cell r="E310">
            <v>10802</v>
          </cell>
          <cell r="F310">
            <v>-10802</v>
          </cell>
        </row>
        <row r="311">
          <cell r="A311" t="str">
            <v>19100000-00304000-00000000</v>
          </cell>
          <cell r="B311" t="str">
            <v>I.V.A. ACREDITABLE/APLICADO</v>
          </cell>
          <cell r="C311">
            <v>3349117.02</v>
          </cell>
          <cell r="D311">
            <v>2086924.17</v>
          </cell>
          <cell r="E311">
            <v>2041571.8</v>
          </cell>
          <cell r="F311">
            <v>3394469.39</v>
          </cell>
        </row>
        <row r="312">
          <cell r="A312" t="str">
            <v>19100000-00304000-00010000</v>
          </cell>
          <cell r="B312" t="str">
            <v>I.V.A. ACREDITABLE AL 15%</v>
          </cell>
          <cell r="C312">
            <v>0</v>
          </cell>
          <cell r="D312">
            <v>749679.42</v>
          </cell>
          <cell r="E312">
            <v>78.42</v>
          </cell>
          <cell r="F312">
            <v>749601</v>
          </cell>
        </row>
        <row r="313">
          <cell r="A313" t="str">
            <v>19100000-00304000-00020000</v>
          </cell>
          <cell r="B313" t="str">
            <v>I.V.A. ACREDITABLE AL 15% APLI</v>
          </cell>
          <cell r="C313">
            <v>0</v>
          </cell>
          <cell r="D313">
            <v>0</v>
          </cell>
          <cell r="E313">
            <v>749601</v>
          </cell>
          <cell r="F313">
            <v>-749601</v>
          </cell>
        </row>
        <row r="314">
          <cell r="A314" t="str">
            <v>19100000-00304000-00050000</v>
          </cell>
          <cell r="B314" t="str">
            <v>I.V.A. X ACREDITAR P/SIGUIENTE</v>
          </cell>
          <cell r="C314">
            <v>11861.27</v>
          </cell>
          <cell r="D314">
            <v>6274.82</v>
          </cell>
          <cell r="E314">
            <v>11861.27</v>
          </cell>
          <cell r="F314">
            <v>6274.82</v>
          </cell>
        </row>
        <row r="315">
          <cell r="A315" t="str">
            <v>19100000-00304000-00060000</v>
          </cell>
          <cell r="B315" t="str">
            <v>I.V.A. X ACREDITAR P/SIG.FLETE</v>
          </cell>
          <cell r="C315">
            <v>2852.32</v>
          </cell>
          <cell r="D315">
            <v>2522.9899999999998</v>
          </cell>
          <cell r="E315">
            <v>2846.32</v>
          </cell>
          <cell r="F315">
            <v>2528.9899999999998</v>
          </cell>
        </row>
        <row r="316">
          <cell r="A316" t="str">
            <v>19100000-00304000-00070000</v>
          </cell>
          <cell r="B316" t="str">
            <v>I.V.A. ACREDITABLE DIFERID 15%</v>
          </cell>
          <cell r="C316">
            <v>3329815.91</v>
          </cell>
          <cell r="D316">
            <v>62987.64</v>
          </cell>
          <cell r="E316">
            <v>749198.47</v>
          </cell>
          <cell r="F316">
            <v>2643605.08</v>
          </cell>
        </row>
        <row r="317">
          <cell r="A317" t="str">
            <v>19100000-00304000-00090000</v>
          </cell>
          <cell r="B317" t="str">
            <v>I.V.A. ACRED P/SIG H Y A DIFER</v>
          </cell>
          <cell r="C317">
            <v>0</v>
          </cell>
          <cell r="D317">
            <v>6274.82</v>
          </cell>
          <cell r="E317">
            <v>6274.82</v>
          </cell>
          <cell r="F317">
            <v>0</v>
          </cell>
        </row>
        <row r="318">
          <cell r="A318" t="str">
            <v>19100000-00304000-00100000</v>
          </cell>
          <cell r="B318" t="str">
            <v>I.V.A. ACRED P/SIG FLETES DIF.</v>
          </cell>
          <cell r="C318">
            <v>4587.5200000000004</v>
          </cell>
          <cell r="D318">
            <v>2348.86</v>
          </cell>
          <cell r="E318">
            <v>2444.06</v>
          </cell>
          <cell r="F318">
            <v>4492.32</v>
          </cell>
        </row>
        <row r="319">
          <cell r="A319" t="str">
            <v>19100000-00304000-00120000</v>
          </cell>
          <cell r="B319" t="str">
            <v>I.V.A. ACREDITABLE AL 16%</v>
          </cell>
          <cell r="C319">
            <v>0</v>
          </cell>
          <cell r="D319">
            <v>252096.83</v>
          </cell>
          <cell r="E319">
            <v>2035.83</v>
          </cell>
          <cell r="F319">
            <v>250061</v>
          </cell>
        </row>
        <row r="320">
          <cell r="A320" t="str">
            <v>19100000-00304000-00130000</v>
          </cell>
          <cell r="B320" t="str">
            <v>I.V.A. ACREDITABLE AL 16% APLI</v>
          </cell>
          <cell r="C320">
            <v>0</v>
          </cell>
          <cell r="D320">
            <v>0</v>
          </cell>
          <cell r="E320">
            <v>250061</v>
          </cell>
          <cell r="F320">
            <v>-250061</v>
          </cell>
        </row>
        <row r="321">
          <cell r="A321" t="str">
            <v>19100000-00304000-00140000</v>
          </cell>
          <cell r="B321" t="str">
            <v>I.V.A. ACREDITABLE AL 11%</v>
          </cell>
          <cell r="C321">
            <v>0</v>
          </cell>
          <cell r="D321">
            <v>6888.52</v>
          </cell>
          <cell r="E321">
            <v>0.52</v>
          </cell>
          <cell r="F321">
            <v>6888</v>
          </cell>
        </row>
        <row r="322">
          <cell r="A322" t="str">
            <v>19100000-00304000-00150000</v>
          </cell>
          <cell r="B322" t="str">
            <v>I.V.A. ACREDITABLE AL 11% APLI</v>
          </cell>
          <cell r="C322">
            <v>0</v>
          </cell>
          <cell r="D322">
            <v>0</v>
          </cell>
          <cell r="E322">
            <v>6888</v>
          </cell>
          <cell r="F322">
            <v>-6888</v>
          </cell>
        </row>
        <row r="323">
          <cell r="A323" t="str">
            <v>19100000-00304000-00160000</v>
          </cell>
          <cell r="B323" t="str">
            <v>I.V.A. ACREDITABLE AL 16% DIF</v>
          </cell>
          <cell r="C323">
            <v>0</v>
          </cell>
          <cell r="D323">
            <v>992242.14</v>
          </cell>
          <cell r="E323">
            <v>254673.96</v>
          </cell>
          <cell r="F323">
            <v>737568.18</v>
          </cell>
        </row>
        <row r="324">
          <cell r="A324" t="str">
            <v>19100000-00304000-00170000</v>
          </cell>
          <cell r="B324" t="str">
            <v>I.V.A. ACREDITABLE AL 11% DIF</v>
          </cell>
          <cell r="C324">
            <v>0</v>
          </cell>
          <cell r="D324">
            <v>5608.13</v>
          </cell>
          <cell r="E324">
            <v>5608.13</v>
          </cell>
          <cell r="F324">
            <v>0</v>
          </cell>
        </row>
        <row r="325">
          <cell r="A325" t="str">
            <v>19100000-00305000-00000000</v>
          </cell>
          <cell r="B325" t="str">
            <v>PAGOS PROVISIONALES I.S.R.</v>
          </cell>
          <cell r="C325">
            <v>0</v>
          </cell>
          <cell r="D325">
            <v>144825</v>
          </cell>
          <cell r="E325">
            <v>144825</v>
          </cell>
          <cell r="F325">
            <v>0</v>
          </cell>
        </row>
        <row r="326">
          <cell r="A326" t="str">
            <v>19100000-00305000-00010000</v>
          </cell>
          <cell r="B326" t="str">
            <v>PAG PROV I.S.R. DEL EJERCICIO</v>
          </cell>
          <cell r="C326">
            <v>0</v>
          </cell>
          <cell r="D326">
            <v>144825</v>
          </cell>
          <cell r="E326">
            <v>0</v>
          </cell>
          <cell r="F326">
            <v>144825</v>
          </cell>
        </row>
        <row r="327">
          <cell r="A327" t="str">
            <v>19100000-00305000-00020000</v>
          </cell>
          <cell r="B327" t="str">
            <v>PAG PROV I.S.R. DEL EJERCICIO</v>
          </cell>
          <cell r="C327">
            <v>0</v>
          </cell>
          <cell r="D327">
            <v>0</v>
          </cell>
          <cell r="E327">
            <v>144825</v>
          </cell>
          <cell r="F327">
            <v>-144825</v>
          </cell>
        </row>
        <row r="328">
          <cell r="A328" t="str">
            <v>19100000-00306000-00000000</v>
          </cell>
          <cell r="B328" t="str">
            <v>PAGOS PROVISIONALES I. A.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</row>
        <row r="329">
          <cell r="A329" t="str">
            <v>19100000-00307000-00000000</v>
          </cell>
          <cell r="B329" t="str">
            <v>I.A. POR RECUPERAR</v>
          </cell>
          <cell r="C329">
            <v>314617</v>
          </cell>
          <cell r="D329">
            <v>0</v>
          </cell>
          <cell r="E329">
            <v>0</v>
          </cell>
          <cell r="F329">
            <v>314617</v>
          </cell>
        </row>
        <row r="330">
          <cell r="A330" t="str">
            <v>19100000-00307000-00010000</v>
          </cell>
          <cell r="B330" t="str">
            <v>I.A. POR RECUPERAR EJ-2000</v>
          </cell>
          <cell r="C330">
            <v>231211</v>
          </cell>
          <cell r="D330">
            <v>0</v>
          </cell>
          <cell r="E330">
            <v>0</v>
          </cell>
          <cell r="F330">
            <v>231211</v>
          </cell>
        </row>
        <row r="331">
          <cell r="A331" t="str">
            <v>19100000-00307000-00030000</v>
          </cell>
          <cell r="B331" t="str">
            <v>I.A. POR RECUPERAR EJ-2002</v>
          </cell>
          <cell r="C331">
            <v>83406</v>
          </cell>
          <cell r="D331">
            <v>0</v>
          </cell>
          <cell r="E331">
            <v>0</v>
          </cell>
          <cell r="F331">
            <v>83406</v>
          </cell>
        </row>
        <row r="332">
          <cell r="A332" t="str">
            <v>19100000-00308000-00000000</v>
          </cell>
          <cell r="B332" t="str">
            <v>PAGOS PROVISIONALES I.E.T.U.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</row>
        <row r="333">
          <cell r="A333" t="str">
            <v>19100000-00500000-00000000</v>
          </cell>
          <cell r="B333" t="str">
            <v>IMPUESTOS DIFERIDOS</v>
          </cell>
          <cell r="C333">
            <v>0</v>
          </cell>
          <cell r="D333">
            <v>0</v>
          </cell>
          <cell r="E333">
            <v>0</v>
          </cell>
        </row>
        <row r="334">
          <cell r="A334" t="str">
            <v>19100000-00501000-00000000</v>
          </cell>
          <cell r="B334" t="str">
            <v>IMPUESTOS EFECTO ANTICIPADO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</row>
        <row r="335">
          <cell r="A335" t="str">
            <v>19100000-00700000-00000000</v>
          </cell>
          <cell r="B335" t="str">
            <v>OTROS ACTIVOS DIFERIDOS</v>
          </cell>
          <cell r="C335">
            <v>2331397.19</v>
          </cell>
          <cell r="D335">
            <v>3715.21</v>
          </cell>
          <cell r="E335">
            <v>91680.47</v>
          </cell>
        </row>
        <row r="336">
          <cell r="A336" t="str">
            <v>19100000-00701000-00000000</v>
          </cell>
          <cell r="B336" t="str">
            <v>DEPOSITOS EN GARANTIA</v>
          </cell>
          <cell r="C336">
            <v>393185.87</v>
          </cell>
          <cell r="D336">
            <v>0</v>
          </cell>
          <cell r="E336">
            <v>0</v>
          </cell>
          <cell r="F336">
            <v>393185.87</v>
          </cell>
        </row>
        <row r="337">
          <cell r="A337" t="str">
            <v>19100000-00701000-00020000</v>
          </cell>
          <cell r="B337" t="str">
            <v>CIA. DE LUZ Y FUERZA DEL CENTR</v>
          </cell>
          <cell r="C337">
            <v>9799.3700000000008</v>
          </cell>
          <cell r="D337">
            <v>0</v>
          </cell>
          <cell r="E337">
            <v>0</v>
          </cell>
          <cell r="F337">
            <v>9799.3700000000008</v>
          </cell>
        </row>
        <row r="338">
          <cell r="A338" t="str">
            <v>19100000-00701000-00040000</v>
          </cell>
          <cell r="B338" t="str">
            <v>FEDERACION REV. DE EMPL. Y TRA</v>
          </cell>
          <cell r="C338">
            <v>18500</v>
          </cell>
          <cell r="D338">
            <v>0</v>
          </cell>
          <cell r="E338">
            <v>0</v>
          </cell>
          <cell r="F338">
            <v>18500</v>
          </cell>
        </row>
        <row r="339">
          <cell r="A339" t="str">
            <v>19100000-00701000-00090000</v>
          </cell>
          <cell r="B339" t="str">
            <v>SERVICIO SANTA CRUZ,SA DE CV</v>
          </cell>
          <cell r="C339">
            <v>5000</v>
          </cell>
          <cell r="D339">
            <v>0</v>
          </cell>
          <cell r="E339">
            <v>0</v>
          </cell>
          <cell r="F339">
            <v>5000</v>
          </cell>
        </row>
        <row r="340">
          <cell r="A340" t="str">
            <v>19100000-00701000-00150000</v>
          </cell>
          <cell r="B340" t="str">
            <v>ROMERO CONTRERAS SARA</v>
          </cell>
          <cell r="C340">
            <v>37749.599999999999</v>
          </cell>
          <cell r="D340">
            <v>0</v>
          </cell>
          <cell r="E340">
            <v>0</v>
          </cell>
          <cell r="F340">
            <v>37749.599999999999</v>
          </cell>
        </row>
        <row r="341">
          <cell r="A341" t="str">
            <v>19100000-00701000-00160000</v>
          </cell>
          <cell r="B341" t="str">
            <v>ARRENDAMIENTOS CALIFICADOS SA</v>
          </cell>
          <cell r="C341">
            <v>110232.9</v>
          </cell>
          <cell r="D341">
            <v>0</v>
          </cell>
          <cell r="E341">
            <v>0</v>
          </cell>
          <cell r="F341">
            <v>110232.9</v>
          </cell>
        </row>
        <row r="342">
          <cell r="A342" t="str">
            <v>19100000-00701000-00170000</v>
          </cell>
          <cell r="B342" t="str">
            <v>PERALTA OSNAYA FERMIN</v>
          </cell>
          <cell r="C342">
            <v>14000</v>
          </cell>
          <cell r="D342">
            <v>0</v>
          </cell>
          <cell r="E342">
            <v>0</v>
          </cell>
          <cell r="F342">
            <v>14000</v>
          </cell>
        </row>
        <row r="343">
          <cell r="A343" t="str">
            <v>19100000-00701000-00190000</v>
          </cell>
          <cell r="B343" t="str">
            <v>DE LA PEÑA GONZALEZ LUIS FERN</v>
          </cell>
          <cell r="C343">
            <v>9000</v>
          </cell>
          <cell r="D343">
            <v>0</v>
          </cell>
          <cell r="E343">
            <v>0</v>
          </cell>
          <cell r="F343">
            <v>9000</v>
          </cell>
        </row>
        <row r="344">
          <cell r="A344" t="str">
            <v>19100000-00701000-00210000</v>
          </cell>
          <cell r="B344" t="str">
            <v>COMBUGAS DEL VALLE DE MEXICO</v>
          </cell>
          <cell r="C344">
            <v>2000</v>
          </cell>
          <cell r="D344">
            <v>0</v>
          </cell>
          <cell r="E344">
            <v>0</v>
          </cell>
          <cell r="F344">
            <v>2000</v>
          </cell>
        </row>
        <row r="345">
          <cell r="A345" t="str">
            <v>19100000-00701000-00220000</v>
          </cell>
          <cell r="B345" t="str">
            <v>FIANZAS ATLAS, S.A.</v>
          </cell>
          <cell r="C345">
            <v>78073</v>
          </cell>
          <cell r="D345">
            <v>0</v>
          </cell>
          <cell r="E345">
            <v>0</v>
          </cell>
          <cell r="F345">
            <v>78073</v>
          </cell>
        </row>
        <row r="346">
          <cell r="A346" t="str">
            <v>19100000-00701000-00230000</v>
          </cell>
          <cell r="B346" t="str">
            <v>AMIGO PACO BIENES RAICES SA CV</v>
          </cell>
          <cell r="C346">
            <v>54000</v>
          </cell>
          <cell r="D346">
            <v>0</v>
          </cell>
          <cell r="E346">
            <v>0</v>
          </cell>
          <cell r="F346">
            <v>54000</v>
          </cell>
        </row>
        <row r="347">
          <cell r="A347" t="str">
            <v>19100000-00701000-00240000</v>
          </cell>
          <cell r="B347" t="str">
            <v>COMISION FEDERAL DE ELECTRICID</v>
          </cell>
          <cell r="C347">
            <v>1126</v>
          </cell>
          <cell r="D347">
            <v>0</v>
          </cell>
          <cell r="E347">
            <v>0</v>
          </cell>
          <cell r="F347">
            <v>1126</v>
          </cell>
        </row>
        <row r="348">
          <cell r="A348" t="str">
            <v>19100000-00701000-00260000</v>
          </cell>
          <cell r="B348" t="str">
            <v>ARENAS GONZALEZ ELENA</v>
          </cell>
          <cell r="C348">
            <v>5718</v>
          </cell>
          <cell r="D348">
            <v>0</v>
          </cell>
          <cell r="E348">
            <v>0</v>
          </cell>
          <cell r="F348">
            <v>5718</v>
          </cell>
        </row>
        <row r="349">
          <cell r="A349" t="str">
            <v>19100000-00701000-00290000</v>
          </cell>
          <cell r="B349" t="str">
            <v>COHEN MENACHE LILIAN</v>
          </cell>
          <cell r="C349">
            <v>15000</v>
          </cell>
          <cell r="D349">
            <v>0</v>
          </cell>
          <cell r="E349">
            <v>0</v>
          </cell>
          <cell r="F349">
            <v>15000</v>
          </cell>
        </row>
        <row r="350">
          <cell r="A350" t="str">
            <v>19100000-00701000-00300000</v>
          </cell>
          <cell r="B350" t="str">
            <v>CORPORACION FINANCIERA ATLAS</v>
          </cell>
          <cell r="C350">
            <v>7987</v>
          </cell>
          <cell r="D350">
            <v>0</v>
          </cell>
          <cell r="E350">
            <v>0</v>
          </cell>
          <cell r="F350">
            <v>7987</v>
          </cell>
        </row>
        <row r="351">
          <cell r="A351" t="str">
            <v>19100000-00701000-00310000</v>
          </cell>
          <cell r="B351" t="str">
            <v>CORONA TORRES ALICIA</v>
          </cell>
          <cell r="C351">
            <v>10000</v>
          </cell>
          <cell r="D351">
            <v>0</v>
          </cell>
          <cell r="E351">
            <v>0</v>
          </cell>
          <cell r="F351">
            <v>10000</v>
          </cell>
        </row>
        <row r="352">
          <cell r="A352" t="str">
            <v>19100000-00701000-00320000</v>
          </cell>
          <cell r="B352" t="str">
            <v>VAZQUEZ MORA ALBERTO</v>
          </cell>
          <cell r="C352">
            <v>15000</v>
          </cell>
          <cell r="D352">
            <v>0</v>
          </cell>
          <cell r="E352">
            <v>0</v>
          </cell>
          <cell r="F352">
            <v>15000</v>
          </cell>
        </row>
        <row r="353">
          <cell r="A353" t="str">
            <v>19100000-00702000-00000000</v>
          </cell>
          <cell r="B353" t="str">
            <v>SEGUROS Y FIANZAS</v>
          </cell>
          <cell r="C353">
            <v>65646.3</v>
          </cell>
          <cell r="D353">
            <v>3715.21</v>
          </cell>
          <cell r="E353">
            <v>39245.730000000003</v>
          </cell>
          <cell r="F353">
            <v>30115.78</v>
          </cell>
        </row>
        <row r="354">
          <cell r="A354" t="str">
            <v>19100000-00702000-00020000</v>
          </cell>
          <cell r="B354" t="str">
            <v>SEGUROS ATLAS</v>
          </cell>
          <cell r="C354">
            <v>30756.14</v>
          </cell>
          <cell r="D354">
            <v>0</v>
          </cell>
          <cell r="E354">
            <v>14455.07</v>
          </cell>
          <cell r="F354">
            <v>16301.07</v>
          </cell>
        </row>
        <row r="355">
          <cell r="A355" t="str">
            <v>19100000-00702000-00130000</v>
          </cell>
          <cell r="B355" t="str">
            <v>ROYAL &amp; SUNALLIANCE SEGUROS</v>
          </cell>
          <cell r="C355">
            <v>34890.160000000003</v>
          </cell>
          <cell r="D355">
            <v>3715.21</v>
          </cell>
          <cell r="E355">
            <v>24790.66</v>
          </cell>
          <cell r="F355">
            <v>13814.71</v>
          </cell>
        </row>
        <row r="356">
          <cell r="A356" t="str">
            <v>19100000-00703000-00000000</v>
          </cell>
          <cell r="B356" t="str">
            <v>INTERESES POR APICAR</v>
          </cell>
          <cell r="C356">
            <v>566846.14</v>
          </cell>
          <cell r="D356">
            <v>0</v>
          </cell>
          <cell r="E356">
            <v>3564.39</v>
          </cell>
          <cell r="F356">
            <v>563281.75</v>
          </cell>
        </row>
        <row r="357">
          <cell r="A357" t="str">
            <v>19100000-00703000-00120000</v>
          </cell>
          <cell r="B357" t="str">
            <v>BANCO SANTANDER SA (INTERESES)</v>
          </cell>
          <cell r="C357">
            <v>4189.2700000000004</v>
          </cell>
          <cell r="D357">
            <v>0</v>
          </cell>
          <cell r="E357">
            <v>751.22</v>
          </cell>
          <cell r="F357">
            <v>3438.05</v>
          </cell>
        </row>
        <row r="358">
          <cell r="A358" t="str">
            <v>19100000-00703000-00130000</v>
          </cell>
          <cell r="B358" t="str">
            <v>BANCO SANTANDER SA (IVA)</v>
          </cell>
          <cell r="C358">
            <v>628.37</v>
          </cell>
          <cell r="D358">
            <v>0</v>
          </cell>
          <cell r="E358">
            <v>112.68</v>
          </cell>
          <cell r="F358">
            <v>515.69000000000005</v>
          </cell>
        </row>
        <row r="359">
          <cell r="A359" t="str">
            <v>19100000-00703000-00140000</v>
          </cell>
          <cell r="B359" t="str">
            <v>CORP FINAN ATLAS (INTERESES)</v>
          </cell>
          <cell r="C359">
            <v>27733.74</v>
          </cell>
          <cell r="D359">
            <v>0</v>
          </cell>
          <cell r="E359">
            <v>2348.25</v>
          </cell>
          <cell r="F359">
            <v>25385.49</v>
          </cell>
        </row>
        <row r="360">
          <cell r="A360" t="str">
            <v>19100000-00703000-00150000</v>
          </cell>
          <cell r="B360" t="str">
            <v>CORP FINAN ATLAS (IVA)</v>
          </cell>
          <cell r="C360">
            <v>4160.04</v>
          </cell>
          <cell r="D360">
            <v>0</v>
          </cell>
          <cell r="E360">
            <v>352.24</v>
          </cell>
          <cell r="F360">
            <v>3807.8</v>
          </cell>
        </row>
        <row r="361">
          <cell r="A361" t="str">
            <v>19100000-00703000-00160000</v>
          </cell>
          <cell r="B361" t="str">
            <v>SOFOM CONSORCIO MEXICANO (INT)</v>
          </cell>
          <cell r="C361">
            <v>397587.45</v>
          </cell>
          <cell r="D361">
            <v>0</v>
          </cell>
          <cell r="E361">
            <v>0</v>
          </cell>
          <cell r="F361">
            <v>397587.45</v>
          </cell>
        </row>
        <row r="362">
          <cell r="A362" t="str">
            <v>19100000-00703000-00170000</v>
          </cell>
          <cell r="B362" t="str">
            <v>SUAREZ RODRIGUEZ HERNANDO (IN)</v>
          </cell>
          <cell r="C362">
            <v>132547.26999999999</v>
          </cell>
          <cell r="D362">
            <v>0</v>
          </cell>
          <cell r="E362">
            <v>0</v>
          </cell>
          <cell r="F362">
            <v>132547.26999999999</v>
          </cell>
        </row>
        <row r="363">
          <cell r="A363" t="str">
            <v>19100000-00704000-00000000</v>
          </cell>
          <cell r="B363" t="str">
            <v>GASTOS POR APLICAR</v>
          </cell>
          <cell r="C363">
            <v>1080008.8799999999</v>
          </cell>
          <cell r="D363">
            <v>0</v>
          </cell>
          <cell r="E363">
            <v>48870.35</v>
          </cell>
          <cell r="F363">
            <v>1031138.53</v>
          </cell>
        </row>
        <row r="364">
          <cell r="A364" t="str">
            <v>19100000-00704000-00060000</v>
          </cell>
          <cell r="B364" t="str">
            <v>APOYO MERCANTIL, S.A. DE C.V.</v>
          </cell>
          <cell r="C364">
            <v>928283.52</v>
          </cell>
          <cell r="D364">
            <v>0</v>
          </cell>
          <cell r="E364">
            <v>43231.6</v>
          </cell>
          <cell r="F364">
            <v>885051.92</v>
          </cell>
        </row>
        <row r="365">
          <cell r="A365" t="str">
            <v>19100000-00704000-00070000</v>
          </cell>
          <cell r="B365" t="str">
            <v>CORPORACION FINANCIERA ATLAS</v>
          </cell>
          <cell r="C365">
            <v>151725.35999999999</v>
          </cell>
          <cell r="D365">
            <v>0</v>
          </cell>
          <cell r="E365">
            <v>5638.75</v>
          </cell>
          <cell r="F365">
            <v>146086.60999999999</v>
          </cell>
        </row>
        <row r="366">
          <cell r="A366" t="str">
            <v>19100000-00705000-00000000</v>
          </cell>
          <cell r="B366" t="str">
            <v>ACTIVO INTAGIBLE</v>
          </cell>
          <cell r="C366">
            <v>225710</v>
          </cell>
          <cell r="D366">
            <v>0</v>
          </cell>
          <cell r="E366">
            <v>0</v>
          </cell>
          <cell r="F366">
            <v>225710</v>
          </cell>
        </row>
        <row r="367">
          <cell r="A367" t="str">
            <v>19100000-00705000-00030000</v>
          </cell>
          <cell r="B367" t="str">
            <v>BOLETIN D-3</v>
          </cell>
          <cell r="C367">
            <v>225710</v>
          </cell>
          <cell r="D367">
            <v>0</v>
          </cell>
          <cell r="E367">
            <v>0</v>
          </cell>
          <cell r="F367">
            <v>225710</v>
          </cell>
        </row>
        <row r="368">
          <cell r="A368" t="str">
            <v>19100000-00800000-00000000</v>
          </cell>
          <cell r="B368" t="str">
            <v>APORTACIONES P.P., P.A. Y F.A.</v>
          </cell>
          <cell r="C368">
            <v>7993039.8200000003</v>
          </cell>
          <cell r="D368">
            <v>116175.44</v>
          </cell>
          <cell r="E368">
            <v>40500</v>
          </cell>
        </row>
        <row r="369">
          <cell r="A369" t="str">
            <v>19100000-00801000-00000000</v>
          </cell>
          <cell r="B369" t="str">
            <v>APORT. P.P. Y P.A.</v>
          </cell>
          <cell r="C369">
            <v>7546352.8399999999</v>
          </cell>
          <cell r="D369">
            <v>0</v>
          </cell>
          <cell r="E369">
            <v>0</v>
          </cell>
          <cell r="F369">
            <v>7546352.8399999999</v>
          </cell>
        </row>
        <row r="370">
          <cell r="A370" t="str">
            <v>19100000-00801000-00030000</v>
          </cell>
          <cell r="B370" t="str">
            <v>INVERSORA BURSATIL (PENSIONES)</v>
          </cell>
          <cell r="C370">
            <v>6353364.7699999996</v>
          </cell>
          <cell r="D370">
            <v>0</v>
          </cell>
          <cell r="E370">
            <v>0</v>
          </cell>
          <cell r="F370">
            <v>6353364.7699999996</v>
          </cell>
        </row>
        <row r="371">
          <cell r="A371" t="str">
            <v>19100000-00801000-00040000</v>
          </cell>
          <cell r="B371" t="str">
            <v>BBVA BANCOMER SERVIC. 7032107</v>
          </cell>
          <cell r="C371">
            <v>355102.23</v>
          </cell>
          <cell r="D371">
            <v>0</v>
          </cell>
          <cell r="E371">
            <v>0</v>
          </cell>
          <cell r="F371">
            <v>355102.23</v>
          </cell>
        </row>
        <row r="372">
          <cell r="A372" t="str">
            <v>19100000-00801000-00050000</v>
          </cell>
          <cell r="B372" t="str">
            <v>BBVA BANCOMER SERVIC. 4012928</v>
          </cell>
          <cell r="C372">
            <v>837885.84</v>
          </cell>
          <cell r="D372">
            <v>0</v>
          </cell>
          <cell r="E372">
            <v>0</v>
          </cell>
          <cell r="F372">
            <v>837885.84</v>
          </cell>
        </row>
        <row r="373">
          <cell r="A373" t="str">
            <v>19100000-00802000-00000000</v>
          </cell>
          <cell r="B373" t="str">
            <v>APORT. FONDO AHORRO</v>
          </cell>
          <cell r="C373">
            <v>446686.98</v>
          </cell>
          <cell r="D373">
            <v>116175.44</v>
          </cell>
          <cell r="E373">
            <v>40500</v>
          </cell>
          <cell r="F373">
            <v>522362.42</v>
          </cell>
        </row>
        <row r="374">
          <cell r="A374" t="str">
            <v>19100000-00802000-00010000</v>
          </cell>
          <cell r="B374" t="str">
            <v>INVERSORA BURSATIL (F.A.)</v>
          </cell>
          <cell r="C374">
            <v>446686.98</v>
          </cell>
          <cell r="D374">
            <v>116175.44</v>
          </cell>
          <cell r="E374">
            <v>40500</v>
          </cell>
          <cell r="F374">
            <v>522362.42</v>
          </cell>
        </row>
        <row r="375">
          <cell r="A375" t="str">
            <v>20000000-00000000-00000000</v>
          </cell>
          <cell r="C375">
            <v>-35421783.640000001</v>
          </cell>
          <cell r="D375">
            <v>23345708.100000001</v>
          </cell>
          <cell r="E375">
            <v>22679929.02</v>
          </cell>
          <cell r="F375">
            <v>-34756004.560000002</v>
          </cell>
        </row>
        <row r="376">
          <cell r="B376" t="str">
            <v>PASIVO</v>
          </cell>
        </row>
        <row r="383">
          <cell r="A383" t="str">
            <v>21000000-00000000-00000000</v>
          </cell>
          <cell r="B383" t="str">
            <v>PASIVO CIRCULANTE</v>
          </cell>
          <cell r="C383">
            <v>-25421025.75</v>
          </cell>
          <cell r="D383">
            <v>23244211.09</v>
          </cell>
          <cell r="E383">
            <v>22493142.780000001</v>
          </cell>
          <cell r="F383">
            <v>-24669957.440000001</v>
          </cell>
        </row>
        <row r="386">
          <cell r="A386" t="str">
            <v>21100000-00000000-00000000</v>
          </cell>
          <cell r="B386" t="str">
            <v>CREDITOS A CORTO PLAZO</v>
          </cell>
          <cell r="C386">
            <v>-8613003.3100000005</v>
          </cell>
          <cell r="D386">
            <v>670608</v>
          </cell>
          <cell r="E386">
            <v>0</v>
          </cell>
          <cell r="F386">
            <v>-7942395.3099999996</v>
          </cell>
        </row>
        <row r="387">
          <cell r="F387">
            <v>-7942395.3099999996</v>
          </cell>
        </row>
        <row r="388">
          <cell r="A388" t="str">
            <v>21100000-00100000-00000000</v>
          </cell>
          <cell r="B388" t="str">
            <v>CREDITOS A CORTO PLAZO</v>
          </cell>
          <cell r="C388">
            <v>-8613003.3100000005</v>
          </cell>
          <cell r="D388">
            <v>670608</v>
          </cell>
          <cell r="E388">
            <v>0</v>
          </cell>
        </row>
        <row r="389">
          <cell r="A389" t="str">
            <v>21100000-00101000-00000000</v>
          </cell>
          <cell r="B389" t="str">
            <v>CREDITOS BANCARIOS MN Y USD</v>
          </cell>
          <cell r="C389">
            <v>0.41</v>
          </cell>
          <cell r="D389">
            <v>0</v>
          </cell>
          <cell r="E389">
            <v>0</v>
          </cell>
          <cell r="F389">
            <v>0.41</v>
          </cell>
        </row>
        <row r="390">
          <cell r="A390" t="str">
            <v>21100000-00101000-00040000</v>
          </cell>
          <cell r="B390" t="str">
            <v>SERFIN CTA 50000124593</v>
          </cell>
          <cell r="C390">
            <v>0.41</v>
          </cell>
          <cell r="D390">
            <v>0</v>
          </cell>
          <cell r="E390">
            <v>0</v>
          </cell>
          <cell r="F390">
            <v>0.41</v>
          </cell>
        </row>
        <row r="391">
          <cell r="A391" t="str">
            <v>21100000-00102000-00000000</v>
          </cell>
          <cell r="B391" t="str">
            <v>CREDITOS SOCIEDADES MN Y USD</v>
          </cell>
          <cell r="C391">
            <v>-8613003.7200000007</v>
          </cell>
          <cell r="D391">
            <v>670608</v>
          </cell>
          <cell r="E391">
            <v>0</v>
          </cell>
          <cell r="F391">
            <v>-7942395.7199999997</v>
          </cell>
        </row>
        <row r="392">
          <cell r="A392" t="str">
            <v>21100000-00102000-00010000</v>
          </cell>
          <cell r="B392" t="str">
            <v>SUAREZ RODRIGUEZ HERNANDO</v>
          </cell>
          <cell r="C392">
            <v>-1499159</v>
          </cell>
          <cell r="D392">
            <v>0</v>
          </cell>
          <cell r="E392">
            <v>0</v>
          </cell>
          <cell r="F392">
            <v>-1499159</v>
          </cell>
        </row>
        <row r="393">
          <cell r="A393" t="str">
            <v>21100000-00102000-00020000</v>
          </cell>
          <cell r="B393" t="str">
            <v>SOFOM CONSORCIO MEXICANO DE AR</v>
          </cell>
          <cell r="C393">
            <v>-6583710</v>
          </cell>
          <cell r="D393">
            <v>670608</v>
          </cell>
          <cell r="E393">
            <v>0</v>
          </cell>
          <cell r="F393">
            <v>-5913102</v>
          </cell>
        </row>
        <row r="394">
          <cell r="A394" t="str">
            <v>21100000-00102000-00030000</v>
          </cell>
          <cell r="B394" t="str">
            <v>SOFOM CONSORCIO MEXICANO (INT)</v>
          </cell>
          <cell r="C394">
            <v>-397587.45</v>
          </cell>
          <cell r="D394">
            <v>0</v>
          </cell>
          <cell r="E394">
            <v>0</v>
          </cell>
          <cell r="F394">
            <v>-397587.45</v>
          </cell>
        </row>
        <row r="395">
          <cell r="A395" t="str">
            <v>21100000-00102000-00040000</v>
          </cell>
          <cell r="B395" t="str">
            <v>SUAREZ RODRIGUEZ HERNANDO (IN)</v>
          </cell>
          <cell r="C395">
            <v>-132547.26999999999</v>
          </cell>
          <cell r="D395">
            <v>0</v>
          </cell>
          <cell r="E395">
            <v>0</v>
          </cell>
          <cell r="F395">
            <v>-132547.26999999999</v>
          </cell>
        </row>
        <row r="396">
          <cell r="A396" t="str">
            <v>21300000-00000000-00000000</v>
          </cell>
          <cell r="B396" t="str">
            <v>CUENTAS POR PAGAR</v>
          </cell>
          <cell r="C396">
            <v>-14382145.689999999</v>
          </cell>
          <cell r="D396">
            <v>19155679.109999999</v>
          </cell>
          <cell r="E396">
            <v>18940431.300000001</v>
          </cell>
          <cell r="F396">
            <v>-14166897.880000001</v>
          </cell>
        </row>
        <row r="397">
          <cell r="F397">
            <v>-14166897.880000001</v>
          </cell>
        </row>
        <row r="398">
          <cell r="A398" t="str">
            <v>21300000-00100000-00000000</v>
          </cell>
          <cell r="B398" t="str">
            <v>PROVEEDORES</v>
          </cell>
          <cell r="C398">
            <v>-9992016.1099999994</v>
          </cell>
          <cell r="D398">
            <v>13211601.470000001</v>
          </cell>
          <cell r="E398">
            <v>12889445.359999999</v>
          </cell>
        </row>
        <row r="399">
          <cell r="A399" t="str">
            <v>21300000-00101000-00000000</v>
          </cell>
          <cell r="B399" t="str">
            <v>PROVEEDORES MN Y USD</v>
          </cell>
          <cell r="C399">
            <v>-9992016.1099999994</v>
          </cell>
          <cell r="D399">
            <v>13211601.470000001</v>
          </cell>
          <cell r="E399">
            <v>12889445.359999999</v>
          </cell>
          <cell r="F399">
            <v>-9669860</v>
          </cell>
        </row>
        <row r="400">
          <cell r="A400" t="str">
            <v>21300000-00101000-00010000</v>
          </cell>
          <cell r="B400" t="str">
            <v>MOD PROVEEDORES MN</v>
          </cell>
          <cell r="C400">
            <v>-2643694.4300000002</v>
          </cell>
          <cell r="D400">
            <v>1560667.45</v>
          </cell>
          <cell r="E400">
            <v>1865132.25</v>
          </cell>
          <cell r="F400">
            <v>-2948159.23</v>
          </cell>
        </row>
        <row r="401">
          <cell r="A401" t="str">
            <v>21300000-00101000-00020000</v>
          </cell>
          <cell r="B401" t="str">
            <v>ACUMULADO DE RECEPCIONES</v>
          </cell>
          <cell r="C401">
            <v>0</v>
          </cell>
          <cell r="D401">
            <v>7781730.2599999998</v>
          </cell>
          <cell r="E401">
            <v>7793625.04</v>
          </cell>
          <cell r="F401">
            <v>-11894.78</v>
          </cell>
        </row>
        <row r="402">
          <cell r="A402" t="str">
            <v>21300000-00101000-00030000</v>
          </cell>
          <cell r="B402" t="str">
            <v>ANTICIPO PROVEEDORES</v>
          </cell>
          <cell r="C402">
            <v>56321.93</v>
          </cell>
          <cell r="D402">
            <v>26754.95</v>
          </cell>
          <cell r="E402">
            <v>27275.279999999999</v>
          </cell>
          <cell r="F402">
            <v>55801.599999999999</v>
          </cell>
        </row>
        <row r="403">
          <cell r="A403" t="str">
            <v>21300000-00101000-00110000</v>
          </cell>
          <cell r="B403" t="str">
            <v>MOD PROVEEDORES USD</v>
          </cell>
          <cell r="C403">
            <v>-566508.67000000004</v>
          </cell>
          <cell r="D403">
            <v>293958.21999999997</v>
          </cell>
          <cell r="E403">
            <v>247564.2</v>
          </cell>
          <cell r="F403">
            <v>-520114.65</v>
          </cell>
        </row>
        <row r="404">
          <cell r="A404" t="str">
            <v>21300000-00101000-00120000</v>
          </cell>
          <cell r="B404" t="str">
            <v>MOD PROVEEDORES USD INT</v>
          </cell>
          <cell r="C404">
            <v>-6828516.71</v>
          </cell>
          <cell r="D404">
            <v>3538872.36</v>
          </cell>
          <cell r="E404">
            <v>2955848.59</v>
          </cell>
          <cell r="F404">
            <v>-6245492.9400000004</v>
          </cell>
        </row>
        <row r="405">
          <cell r="A405" t="str">
            <v>21300000-00101000-00910000</v>
          </cell>
          <cell r="B405" t="str">
            <v>MOD PROVEEDORES EUROS</v>
          </cell>
          <cell r="C405">
            <v>-491.82</v>
          </cell>
          <cell r="D405">
            <v>491.82</v>
          </cell>
          <cell r="E405">
            <v>0</v>
          </cell>
          <cell r="F405">
            <v>0</v>
          </cell>
        </row>
        <row r="406">
          <cell r="A406" t="str">
            <v>21300000-00101000-00920000</v>
          </cell>
          <cell r="B406" t="str">
            <v>MOD PROVEEDORES EUROS INT</v>
          </cell>
          <cell r="C406">
            <v>-9126.41</v>
          </cell>
          <cell r="D406">
            <v>9126.41</v>
          </cell>
          <cell r="E406">
            <v>0</v>
          </cell>
          <cell r="F406">
            <v>0</v>
          </cell>
        </row>
        <row r="407">
          <cell r="A407" t="str">
            <v>21300000-00200000-00000000</v>
          </cell>
          <cell r="B407" t="str">
            <v>ACREEDORES</v>
          </cell>
          <cell r="C407">
            <v>-4390129.58</v>
          </cell>
          <cell r="D407">
            <v>5944077.6399999997</v>
          </cell>
          <cell r="E407">
            <v>6050985.9400000004</v>
          </cell>
        </row>
        <row r="408">
          <cell r="A408" t="str">
            <v>21300000-00201000-00000000</v>
          </cell>
          <cell r="B408" t="str">
            <v>ACREEDORES DIVERSOS MN Y USD</v>
          </cell>
          <cell r="C408">
            <v>-1721764.01</v>
          </cell>
          <cell r="D408">
            <v>4072204.71</v>
          </cell>
          <cell r="E408">
            <v>3517308.84</v>
          </cell>
          <cell r="F408">
            <v>-1166868.1399999999</v>
          </cell>
        </row>
        <row r="409">
          <cell r="A409" t="str">
            <v>21300000-00201000-00010000</v>
          </cell>
          <cell r="B409" t="str">
            <v>MOD ACREEDORES DIVERSOS MN</v>
          </cell>
          <cell r="C409">
            <v>-1517411.83</v>
          </cell>
          <cell r="D409">
            <v>2969657.59</v>
          </cell>
          <cell r="E409">
            <v>2565198.73</v>
          </cell>
          <cell r="F409">
            <v>-1112952.97</v>
          </cell>
        </row>
        <row r="410">
          <cell r="A410" t="str">
            <v>21300000-00201000-00030000</v>
          </cell>
          <cell r="B410" t="str">
            <v>ANTICIPO ACREEDORES</v>
          </cell>
          <cell r="C410">
            <v>159404.87</v>
          </cell>
          <cell r="D410">
            <v>756347.19</v>
          </cell>
          <cell r="E410">
            <v>747825.77</v>
          </cell>
          <cell r="F410">
            <v>167926.29</v>
          </cell>
        </row>
        <row r="411">
          <cell r="A411" t="str">
            <v>21300000-00201000-00110000</v>
          </cell>
          <cell r="B411" t="str">
            <v>MOD ACREEDORES DIV USD</v>
          </cell>
          <cell r="C411">
            <v>-22107.61</v>
          </cell>
          <cell r="D411">
            <v>26474.83</v>
          </cell>
          <cell r="E411">
            <v>15846.82</v>
          </cell>
          <cell r="F411">
            <v>-11479.6</v>
          </cell>
        </row>
        <row r="412">
          <cell r="A412" t="str">
            <v>21300000-00201000-00120000</v>
          </cell>
          <cell r="B412" t="str">
            <v>MOD ACREEDORES DIV USD INT</v>
          </cell>
          <cell r="C412">
            <v>-295763.48</v>
          </cell>
          <cell r="D412">
            <v>317592.52</v>
          </cell>
          <cell r="E412">
            <v>188437.52</v>
          </cell>
          <cell r="F412">
            <v>-166608.48000000001</v>
          </cell>
        </row>
        <row r="413">
          <cell r="A413" t="str">
            <v>21300000-00201000-00910000</v>
          </cell>
          <cell r="B413" t="str">
            <v>ACREEDORES DIVERSOS EUROS</v>
          </cell>
          <cell r="C413">
            <v>-2346.34</v>
          </cell>
          <cell r="D413">
            <v>0</v>
          </cell>
          <cell r="E413">
            <v>0</v>
          </cell>
          <cell r="F413">
            <v>-2346.34</v>
          </cell>
        </row>
        <row r="414">
          <cell r="A414" t="str">
            <v>21300000-00201000-00920000</v>
          </cell>
          <cell r="B414" t="str">
            <v>ACREEDORES DIVERSOS EUROS INT</v>
          </cell>
          <cell r="C414">
            <v>-43539.62</v>
          </cell>
          <cell r="D414">
            <v>2132.58</v>
          </cell>
          <cell r="E414">
            <v>0</v>
          </cell>
          <cell r="F414">
            <v>-41407.040000000001</v>
          </cell>
        </row>
        <row r="415">
          <cell r="A415" t="str">
            <v>21300000-00202000-00000000</v>
          </cell>
          <cell r="B415" t="str">
            <v>CUENTAS POR PAGAR</v>
          </cell>
          <cell r="C415">
            <v>-22654.38</v>
          </cell>
          <cell r="D415">
            <v>107676.83</v>
          </cell>
          <cell r="E415">
            <v>85882.76</v>
          </cell>
          <cell r="F415">
            <v>-860.31</v>
          </cell>
        </row>
        <row r="416">
          <cell r="A416" t="str">
            <v>21300000-00202000-00010000</v>
          </cell>
          <cell r="B416" t="str">
            <v>CUENTAS POR PAGAR</v>
          </cell>
          <cell r="C416">
            <v>0</v>
          </cell>
          <cell r="D416">
            <v>59201.38</v>
          </cell>
          <cell r="E416">
            <v>59201.38</v>
          </cell>
          <cell r="F416">
            <v>0</v>
          </cell>
        </row>
        <row r="417">
          <cell r="A417" t="str">
            <v>21300000-00202000-00020000</v>
          </cell>
          <cell r="B417" t="str">
            <v>CAJA CHICA D ADMINISTRATIVA</v>
          </cell>
          <cell r="C417">
            <v>-2245</v>
          </cell>
          <cell r="D417">
            <v>8241.1</v>
          </cell>
          <cell r="E417">
            <v>5996.1</v>
          </cell>
          <cell r="F417">
            <v>0</v>
          </cell>
        </row>
        <row r="418">
          <cell r="A418" t="str">
            <v>21300000-00202000-00030000</v>
          </cell>
          <cell r="B418" t="str">
            <v>CAJA CHICA D COMERCIAL</v>
          </cell>
          <cell r="C418">
            <v>-3107.37</v>
          </cell>
          <cell r="D418">
            <v>5215.97</v>
          </cell>
          <cell r="E418">
            <v>2108.6</v>
          </cell>
          <cell r="F418">
            <v>0</v>
          </cell>
        </row>
        <row r="419">
          <cell r="A419" t="str">
            <v>21300000-00202000-00040000</v>
          </cell>
          <cell r="B419" t="str">
            <v>CAJA CHICA PRODUCCION</v>
          </cell>
          <cell r="C419">
            <v>-4543.58</v>
          </cell>
          <cell r="D419">
            <v>9569.92</v>
          </cell>
          <cell r="E419">
            <v>5104.4399999999996</v>
          </cell>
          <cell r="F419">
            <v>-78.099999999999994</v>
          </cell>
        </row>
        <row r="420">
          <cell r="A420" t="str">
            <v>21300000-00202000-00050000</v>
          </cell>
          <cell r="B420" t="str">
            <v>CAJA CHICA RECURSOS HUMANOS</v>
          </cell>
          <cell r="C420">
            <v>-300.01</v>
          </cell>
          <cell r="D420">
            <v>4867.97</v>
          </cell>
          <cell r="E420">
            <v>4567.96</v>
          </cell>
          <cell r="F420">
            <v>0</v>
          </cell>
        </row>
        <row r="421">
          <cell r="A421" t="str">
            <v>21300000-00202000-00060000</v>
          </cell>
          <cell r="B421" t="str">
            <v>CAJA CHICA MODULO CLIENTES</v>
          </cell>
          <cell r="C421">
            <v>-608.62</v>
          </cell>
          <cell r="D421">
            <v>1759.04</v>
          </cell>
          <cell r="E421">
            <v>1150.42</v>
          </cell>
          <cell r="F421">
            <v>0</v>
          </cell>
        </row>
        <row r="422">
          <cell r="A422" t="str">
            <v>21300000-00202000-00070000</v>
          </cell>
          <cell r="B422" t="str">
            <v>CAJA CHICA GUADALAJARA</v>
          </cell>
          <cell r="C422">
            <v>-572.21</v>
          </cell>
          <cell r="D422">
            <v>1561.19</v>
          </cell>
          <cell r="E422">
            <v>988.98</v>
          </cell>
          <cell r="F422">
            <v>0</v>
          </cell>
        </row>
        <row r="423">
          <cell r="A423" t="str">
            <v>21300000-00202000-00090000</v>
          </cell>
          <cell r="B423" t="str">
            <v>CAJA CHICA DIR GENERAL</v>
          </cell>
          <cell r="C423">
            <v>-384</v>
          </cell>
          <cell r="D423">
            <v>384</v>
          </cell>
          <cell r="E423">
            <v>0</v>
          </cell>
          <cell r="F423">
            <v>0</v>
          </cell>
        </row>
        <row r="424">
          <cell r="A424" t="str">
            <v>21300000-00202000-00100000</v>
          </cell>
          <cell r="B424" t="str">
            <v>CAJA CHICA ADQUISICIONES</v>
          </cell>
          <cell r="C424">
            <v>-1714.53</v>
          </cell>
          <cell r="D424">
            <v>1714.53</v>
          </cell>
          <cell r="E424">
            <v>0</v>
          </cell>
          <cell r="F424">
            <v>0</v>
          </cell>
        </row>
        <row r="425">
          <cell r="A425" t="str">
            <v>21300000-00202000-00110000</v>
          </cell>
          <cell r="B425" t="str">
            <v>CAJA CHICA COM INTERNACIONAL</v>
          </cell>
          <cell r="C425">
            <v>-3402.85</v>
          </cell>
          <cell r="D425">
            <v>8226.2800000000007</v>
          </cell>
          <cell r="E425">
            <v>4823.43</v>
          </cell>
          <cell r="F425">
            <v>0</v>
          </cell>
        </row>
        <row r="426">
          <cell r="A426" t="str">
            <v>21300000-00202000-00140000</v>
          </cell>
          <cell r="B426" t="str">
            <v>CAJA CHICA CANCUN</v>
          </cell>
          <cell r="C426">
            <v>-5233.21</v>
          </cell>
          <cell r="D426">
            <v>5892.45</v>
          </cell>
          <cell r="E426">
            <v>1441.45</v>
          </cell>
          <cell r="F426">
            <v>-782.21</v>
          </cell>
        </row>
        <row r="427">
          <cell r="A427" t="str">
            <v>21300000-00202000-00170000</v>
          </cell>
          <cell r="B427" t="str">
            <v>CAJA CHICA LABORATORIO</v>
          </cell>
          <cell r="C427">
            <v>-543</v>
          </cell>
          <cell r="D427">
            <v>1043</v>
          </cell>
          <cell r="E427">
            <v>500</v>
          </cell>
          <cell r="F427">
            <v>0</v>
          </cell>
        </row>
        <row r="428">
          <cell r="A428" t="str">
            <v>21300000-00203000-00000000</v>
          </cell>
          <cell r="B428" t="str">
            <v>ACREEDORES ACCIONISTAS</v>
          </cell>
          <cell r="C428">
            <v>-72555.53</v>
          </cell>
          <cell r="D428">
            <v>0</v>
          </cell>
          <cell r="E428">
            <v>0</v>
          </cell>
          <cell r="F428">
            <v>-72555.53</v>
          </cell>
        </row>
        <row r="429">
          <cell r="A429" t="str">
            <v>21300000-00203000-00030000</v>
          </cell>
          <cell r="B429" t="str">
            <v>SUAREZ RODRIGUEZ HERNANDO</v>
          </cell>
          <cell r="C429">
            <v>-5249</v>
          </cell>
          <cell r="D429">
            <v>0</v>
          </cell>
          <cell r="E429">
            <v>0</v>
          </cell>
          <cell r="F429">
            <v>-5249</v>
          </cell>
        </row>
        <row r="430">
          <cell r="A430" t="str">
            <v>21300000-00203000-00040000</v>
          </cell>
          <cell r="B430" t="str">
            <v>HANEINE HAUA RICARDO</v>
          </cell>
          <cell r="C430">
            <v>-3910.54</v>
          </cell>
          <cell r="D430">
            <v>0</v>
          </cell>
          <cell r="E430">
            <v>0</v>
          </cell>
          <cell r="F430">
            <v>-3910.54</v>
          </cell>
        </row>
        <row r="431">
          <cell r="A431" t="str">
            <v>21300000-00203000-00050000</v>
          </cell>
          <cell r="B431" t="str">
            <v>PINEDA PINTO ADRIANA IRENE</v>
          </cell>
          <cell r="C431">
            <v>-5478</v>
          </cell>
          <cell r="D431">
            <v>0</v>
          </cell>
          <cell r="E431">
            <v>0</v>
          </cell>
          <cell r="F431">
            <v>-5478</v>
          </cell>
        </row>
        <row r="432">
          <cell r="A432" t="str">
            <v>21300000-00203000-00060000</v>
          </cell>
          <cell r="B432" t="str">
            <v>PINEDA PINTO MAURICIO ALBERTO</v>
          </cell>
          <cell r="C432">
            <v>-5438</v>
          </cell>
          <cell r="D432">
            <v>0</v>
          </cell>
          <cell r="E432">
            <v>0</v>
          </cell>
          <cell r="F432">
            <v>-5438</v>
          </cell>
        </row>
        <row r="433">
          <cell r="A433" t="str">
            <v>21300000-00203000-00070000</v>
          </cell>
          <cell r="B433" t="str">
            <v>PINEDA PINTO SERGIO MANUEL</v>
          </cell>
          <cell r="C433">
            <v>-6356.2</v>
          </cell>
          <cell r="D433">
            <v>0</v>
          </cell>
          <cell r="E433">
            <v>0</v>
          </cell>
          <cell r="F433">
            <v>-6356.2</v>
          </cell>
        </row>
        <row r="434">
          <cell r="A434" t="str">
            <v>21300000-00203000-00080000</v>
          </cell>
          <cell r="B434" t="str">
            <v>SALAS VARGAS FERNANDO JOSE</v>
          </cell>
          <cell r="C434">
            <v>-4366.63</v>
          </cell>
          <cell r="D434">
            <v>0</v>
          </cell>
          <cell r="E434">
            <v>0</v>
          </cell>
          <cell r="F434">
            <v>-4366.63</v>
          </cell>
        </row>
        <row r="435">
          <cell r="A435" t="str">
            <v>21300000-00203000-00090000</v>
          </cell>
          <cell r="B435" t="str">
            <v>SALAS VARGAS GUILLERMO DIONISI</v>
          </cell>
          <cell r="C435">
            <v>-34817.160000000003</v>
          </cell>
          <cell r="D435">
            <v>0</v>
          </cell>
          <cell r="E435">
            <v>0</v>
          </cell>
          <cell r="F435">
            <v>-34817.160000000003</v>
          </cell>
        </row>
        <row r="436">
          <cell r="A436" t="str">
            <v>21300000-00203000-00100000</v>
          </cell>
          <cell r="B436" t="str">
            <v>PINTO PARRA SOLEDAD</v>
          </cell>
          <cell r="C436">
            <v>-6940</v>
          </cell>
          <cell r="D436">
            <v>0</v>
          </cell>
          <cell r="E436">
            <v>0</v>
          </cell>
          <cell r="F436">
            <v>-6940</v>
          </cell>
        </row>
        <row r="437">
          <cell r="A437" t="str">
            <v>21300000-00204000-00000000</v>
          </cell>
          <cell r="B437" t="str">
            <v>ACREEDORES EMPLEADOS</v>
          </cell>
          <cell r="C437">
            <v>-1067864.1499999999</v>
          </cell>
          <cell r="D437">
            <v>62756.97</v>
          </cell>
          <cell r="E437">
            <v>89826.85</v>
          </cell>
          <cell r="F437">
            <v>-1094934.03</v>
          </cell>
        </row>
        <row r="438">
          <cell r="A438" t="str">
            <v>21300000-00204000-00010000</v>
          </cell>
          <cell r="B438" t="str">
            <v>MOD ACREEDORES EMPLEADOS MN</v>
          </cell>
          <cell r="C438">
            <v>0</v>
          </cell>
          <cell r="D438">
            <v>49916.97</v>
          </cell>
          <cell r="E438">
            <v>49916.97</v>
          </cell>
          <cell r="F438">
            <v>0</v>
          </cell>
        </row>
        <row r="439">
          <cell r="A439" t="str">
            <v>21300000-00204000-00040000</v>
          </cell>
          <cell r="B439" t="str">
            <v>MORENO LEON HUMBERTO</v>
          </cell>
          <cell r="C439">
            <v>-48957.04</v>
          </cell>
          <cell r="D439">
            <v>0</v>
          </cell>
          <cell r="E439">
            <v>1833.38</v>
          </cell>
          <cell r="F439">
            <v>-50790.42</v>
          </cell>
        </row>
        <row r="440">
          <cell r="A440" t="str">
            <v>21300000-00204000-00050000</v>
          </cell>
          <cell r="B440" t="str">
            <v>SANCHEZ GARCIA HUGO</v>
          </cell>
          <cell r="C440">
            <v>-174362.25</v>
          </cell>
          <cell r="D440">
            <v>0</v>
          </cell>
          <cell r="E440">
            <v>747.5</v>
          </cell>
          <cell r="F440">
            <v>-175109.75</v>
          </cell>
        </row>
        <row r="441">
          <cell r="A441" t="str">
            <v>21300000-00204000-00100000</v>
          </cell>
          <cell r="B441" t="str">
            <v>SOLANO SALINAS ALEJANDRO</v>
          </cell>
          <cell r="C441">
            <v>-4233.41</v>
          </cell>
          <cell r="D441">
            <v>0</v>
          </cell>
          <cell r="E441">
            <v>233.54</v>
          </cell>
          <cell r="F441">
            <v>-4466.95</v>
          </cell>
        </row>
        <row r="442">
          <cell r="A442" t="str">
            <v>21300000-00204000-00110000</v>
          </cell>
          <cell r="B442" t="str">
            <v>FERNANDEZ MONDRAGON ARTURO</v>
          </cell>
          <cell r="C442">
            <v>-4796.6400000000003</v>
          </cell>
          <cell r="D442">
            <v>0</v>
          </cell>
          <cell r="E442">
            <v>233.54</v>
          </cell>
          <cell r="F442">
            <v>-5030.18</v>
          </cell>
        </row>
        <row r="443">
          <cell r="A443" t="str">
            <v>21300000-00204000-00120000</v>
          </cell>
          <cell r="B443" t="str">
            <v>SEVILLA LARA MARTIN</v>
          </cell>
          <cell r="C443">
            <v>0</v>
          </cell>
          <cell r="D443">
            <v>0</v>
          </cell>
          <cell r="E443">
            <v>21435</v>
          </cell>
          <cell r="F443">
            <v>-21435</v>
          </cell>
        </row>
        <row r="444">
          <cell r="A444" t="str">
            <v>21300000-00204000-00160000</v>
          </cell>
          <cell r="B444" t="str">
            <v>TORRES CASTRO MIGUEL ANGEL</v>
          </cell>
          <cell r="C444">
            <v>14881.68</v>
          </cell>
          <cell r="D444">
            <v>0</v>
          </cell>
          <cell r="E444">
            <v>0</v>
          </cell>
          <cell r="F444">
            <v>14881.68</v>
          </cell>
        </row>
        <row r="445">
          <cell r="A445" t="str">
            <v>21300000-00204000-00200000</v>
          </cell>
          <cell r="B445" t="str">
            <v>LEON HERRERA JOSE LUIS</v>
          </cell>
          <cell r="C445">
            <v>-91398.8</v>
          </cell>
          <cell r="D445">
            <v>12840</v>
          </cell>
          <cell r="E445">
            <v>246.8</v>
          </cell>
          <cell r="F445">
            <v>-78805.600000000006</v>
          </cell>
        </row>
        <row r="446">
          <cell r="A446" t="str">
            <v>21300000-00204000-00260000</v>
          </cell>
          <cell r="B446" t="str">
            <v>MONTALTI CORRADO</v>
          </cell>
          <cell r="C446">
            <v>-207700.53</v>
          </cell>
          <cell r="D446">
            <v>0</v>
          </cell>
          <cell r="E446">
            <v>0</v>
          </cell>
          <cell r="F446">
            <v>-207700.53</v>
          </cell>
        </row>
        <row r="447">
          <cell r="A447" t="str">
            <v>21300000-00204000-00270000</v>
          </cell>
          <cell r="B447" t="str">
            <v>ACEVEDO ALONSO PEDRO GERSAIN</v>
          </cell>
          <cell r="C447">
            <v>-6495</v>
          </cell>
          <cell r="D447">
            <v>0</v>
          </cell>
          <cell r="E447">
            <v>0</v>
          </cell>
          <cell r="F447">
            <v>-6495</v>
          </cell>
        </row>
        <row r="448">
          <cell r="A448" t="str">
            <v>21300000-00204000-00310000</v>
          </cell>
          <cell r="B448" t="str">
            <v>ABEDILLO ARTEAGA ELIZABETH</v>
          </cell>
          <cell r="C448">
            <v>-6752</v>
          </cell>
          <cell r="D448">
            <v>0</v>
          </cell>
          <cell r="E448">
            <v>0</v>
          </cell>
          <cell r="F448">
            <v>-6752</v>
          </cell>
        </row>
        <row r="449">
          <cell r="A449" t="str">
            <v>21300000-00204000-00370000</v>
          </cell>
          <cell r="B449" t="str">
            <v>LEON MARURI BARBARA MARISELA</v>
          </cell>
          <cell r="C449">
            <v>-3914.13</v>
          </cell>
          <cell r="D449">
            <v>0</v>
          </cell>
          <cell r="E449">
            <v>237.22</v>
          </cell>
          <cell r="F449">
            <v>-4151.3500000000004</v>
          </cell>
        </row>
        <row r="450">
          <cell r="A450" t="str">
            <v>21300000-00204000-00470000</v>
          </cell>
          <cell r="B450" t="str">
            <v>PECH ULUAC MATIAS</v>
          </cell>
          <cell r="C450">
            <v>-1166.9000000000001</v>
          </cell>
          <cell r="D450">
            <v>0</v>
          </cell>
          <cell r="E450">
            <v>233.38</v>
          </cell>
          <cell r="F450">
            <v>-1400.28</v>
          </cell>
        </row>
        <row r="451">
          <cell r="A451" t="str">
            <v>21300000-00204000-00490000</v>
          </cell>
          <cell r="B451" t="str">
            <v>SENTIES VILLA IVETTE</v>
          </cell>
          <cell r="C451">
            <v>-7717.84</v>
          </cell>
          <cell r="D451">
            <v>0</v>
          </cell>
          <cell r="E451">
            <v>249.16</v>
          </cell>
          <cell r="F451">
            <v>-7967</v>
          </cell>
        </row>
        <row r="452">
          <cell r="A452" t="str">
            <v>21300000-00204000-00500000</v>
          </cell>
          <cell r="B452" t="str">
            <v>SUAREZ RODRIGUEZ HERNANDO</v>
          </cell>
          <cell r="C452">
            <v>-354453.08</v>
          </cell>
          <cell r="D452">
            <v>0</v>
          </cell>
          <cell r="E452">
            <v>675</v>
          </cell>
          <cell r="F452">
            <v>-355128.08</v>
          </cell>
        </row>
        <row r="453">
          <cell r="A453" t="str">
            <v>21300000-00204000-00740000</v>
          </cell>
          <cell r="B453" t="str">
            <v>CORRAL URIZA JORGE MANUEL</v>
          </cell>
          <cell r="C453">
            <v>-25033.41</v>
          </cell>
          <cell r="D453">
            <v>0</v>
          </cell>
          <cell r="E453">
            <v>1859.54</v>
          </cell>
          <cell r="F453">
            <v>-26892.95</v>
          </cell>
        </row>
        <row r="454">
          <cell r="A454" t="str">
            <v>21300000-00204000-00890000</v>
          </cell>
          <cell r="B454" t="str">
            <v>FIGUEROA MARTINEZ REYES</v>
          </cell>
          <cell r="C454">
            <v>-17378.12</v>
          </cell>
          <cell r="D454">
            <v>0</v>
          </cell>
          <cell r="E454">
            <v>0</v>
          </cell>
          <cell r="F454">
            <v>-17378.12</v>
          </cell>
        </row>
        <row r="455">
          <cell r="A455" t="str">
            <v>21300000-00204000-00910000</v>
          </cell>
          <cell r="B455" t="str">
            <v>BERMUDEZ GUTIERREZ MIRIAM</v>
          </cell>
          <cell r="C455">
            <v>-6704</v>
          </cell>
          <cell r="D455">
            <v>0</v>
          </cell>
          <cell r="E455">
            <v>0</v>
          </cell>
          <cell r="F455">
            <v>-6704</v>
          </cell>
        </row>
        <row r="456">
          <cell r="A456" t="str">
            <v>21300000-00204000-00950000</v>
          </cell>
          <cell r="B456" t="str">
            <v>HERRERA ROSAS BAUDEL</v>
          </cell>
          <cell r="C456">
            <v>-10353.14</v>
          </cell>
          <cell r="D456">
            <v>0</v>
          </cell>
          <cell r="E456">
            <v>249.16</v>
          </cell>
          <cell r="F456">
            <v>-10602.3</v>
          </cell>
        </row>
        <row r="457">
          <cell r="A457" t="str">
            <v>21300000-00204000-01050000</v>
          </cell>
          <cell r="B457" t="str">
            <v>PEREZ DOMINGUEZ RICARDO</v>
          </cell>
          <cell r="C457">
            <v>-865.76</v>
          </cell>
          <cell r="D457">
            <v>0</v>
          </cell>
          <cell r="E457">
            <v>0</v>
          </cell>
          <cell r="F457">
            <v>-865.76</v>
          </cell>
        </row>
        <row r="458">
          <cell r="A458" t="str">
            <v>21300000-00204000-01090000</v>
          </cell>
          <cell r="B458" t="str">
            <v>CETINA FLORES SALVADOR</v>
          </cell>
          <cell r="C458">
            <v>-1318</v>
          </cell>
          <cell r="D458">
            <v>0</v>
          </cell>
          <cell r="E458">
            <v>659</v>
          </cell>
          <cell r="F458">
            <v>-1977</v>
          </cell>
        </row>
        <row r="459">
          <cell r="A459" t="str">
            <v>21300000-00204000-01100000</v>
          </cell>
          <cell r="B459" t="str">
            <v>CAMMAERT HURTADO SEBASTIAN</v>
          </cell>
          <cell r="C459">
            <v>-103271</v>
          </cell>
          <cell r="D459">
            <v>0</v>
          </cell>
          <cell r="E459">
            <v>10908</v>
          </cell>
          <cell r="F459">
            <v>-114179</v>
          </cell>
        </row>
        <row r="460">
          <cell r="A460" t="str">
            <v>21300000-00204000-01110000</v>
          </cell>
          <cell r="B460" t="str">
            <v>LOPEZ GALAN ROBERTO</v>
          </cell>
          <cell r="C460">
            <v>-2256</v>
          </cell>
          <cell r="D460">
            <v>0</v>
          </cell>
          <cell r="E460">
            <v>0</v>
          </cell>
          <cell r="F460">
            <v>-2256</v>
          </cell>
        </row>
        <row r="461">
          <cell r="A461" t="str">
            <v>21300000-00204000-01150000</v>
          </cell>
          <cell r="B461" t="str">
            <v>RAMIREZ HERNANDEZ VERONICA</v>
          </cell>
          <cell r="C461">
            <v>-3618.78</v>
          </cell>
          <cell r="D461">
            <v>0</v>
          </cell>
          <cell r="E461">
            <v>109.66</v>
          </cell>
          <cell r="F461">
            <v>-3728.44</v>
          </cell>
        </row>
        <row r="462">
          <cell r="A462" t="str">
            <v>21300000-00205000-00000000</v>
          </cell>
          <cell r="B462" t="str">
            <v>ACREEDORES VARIOS</v>
          </cell>
          <cell r="C462">
            <v>-111335.6</v>
          </cell>
          <cell r="D462">
            <v>938617.55</v>
          </cell>
          <cell r="E462">
            <v>957324.89</v>
          </cell>
          <cell r="F462">
            <v>-130042.94</v>
          </cell>
        </row>
        <row r="463">
          <cell r="A463" t="str">
            <v>21300000-00205000-00010000</v>
          </cell>
          <cell r="B463" t="str">
            <v>FONACOT</v>
          </cell>
          <cell r="C463">
            <v>-18955.54</v>
          </cell>
          <cell r="D463">
            <v>19134.86</v>
          </cell>
          <cell r="E463">
            <v>17729.13</v>
          </cell>
          <cell r="F463">
            <v>-17549.810000000001</v>
          </cell>
        </row>
        <row r="464">
          <cell r="A464" t="str">
            <v>21300000-00205000-00030000</v>
          </cell>
          <cell r="B464" t="str">
            <v>DESCUENTO COMEDOR</v>
          </cell>
          <cell r="C464">
            <v>1445.34</v>
          </cell>
          <cell r="D464">
            <v>9867.01</v>
          </cell>
          <cell r="E464">
            <v>9295</v>
          </cell>
          <cell r="F464">
            <v>2017.35</v>
          </cell>
        </row>
        <row r="465">
          <cell r="A465" t="str">
            <v>21300000-00205000-00040000</v>
          </cell>
          <cell r="B465" t="str">
            <v>SUELDOS POR PAGAR</v>
          </cell>
          <cell r="C465">
            <v>-8944.44</v>
          </cell>
          <cell r="D465">
            <v>840459.24</v>
          </cell>
          <cell r="E465">
            <v>821992.78</v>
          </cell>
          <cell r="F465">
            <v>9522.02</v>
          </cell>
        </row>
        <row r="466">
          <cell r="A466" t="str">
            <v>21300000-00205000-00050000</v>
          </cell>
          <cell r="B466" t="str">
            <v>RETENCION LEGAL</v>
          </cell>
          <cell r="C466">
            <v>-1194.75</v>
          </cell>
          <cell r="D466">
            <v>1593.83</v>
          </cell>
          <cell r="E466">
            <v>1712.83</v>
          </cell>
          <cell r="F466">
            <v>-1313.75</v>
          </cell>
        </row>
        <row r="467">
          <cell r="A467" t="str">
            <v>21300000-00205000-00070000</v>
          </cell>
          <cell r="B467" t="str">
            <v>CUOTA SINDICAL</v>
          </cell>
          <cell r="C467">
            <v>-1507.33</v>
          </cell>
          <cell r="D467">
            <v>1456.82</v>
          </cell>
          <cell r="E467">
            <v>1500.95</v>
          </cell>
          <cell r="F467">
            <v>-1551.46</v>
          </cell>
        </row>
        <row r="468">
          <cell r="A468" t="str">
            <v>21300000-00205000-00080000</v>
          </cell>
          <cell r="B468" t="str">
            <v>CREDITO INFONAVIT</v>
          </cell>
          <cell r="C468">
            <v>-67105.19</v>
          </cell>
          <cell r="D468">
            <v>66105.789999999994</v>
          </cell>
          <cell r="E468">
            <v>37118.82</v>
          </cell>
          <cell r="F468">
            <v>-38118.22</v>
          </cell>
        </row>
        <row r="469">
          <cell r="A469" t="str">
            <v>21300000-00205000-00120000</v>
          </cell>
          <cell r="B469" t="str">
            <v>AGUINALDO POR PAGAR PROVISION</v>
          </cell>
          <cell r="C469">
            <v>0</v>
          </cell>
          <cell r="D469">
            <v>0</v>
          </cell>
          <cell r="E469">
            <v>67651.38</v>
          </cell>
          <cell r="F469">
            <v>-67651.38</v>
          </cell>
        </row>
        <row r="470">
          <cell r="A470" t="str">
            <v>21300000-00205000-00130000</v>
          </cell>
          <cell r="B470" t="str">
            <v>SERVICIO EXTRAORDINARIO COMED.</v>
          </cell>
          <cell r="C470">
            <v>-15073.69</v>
          </cell>
          <cell r="D470">
            <v>0</v>
          </cell>
          <cell r="E470">
            <v>324</v>
          </cell>
          <cell r="F470">
            <v>-15397.69</v>
          </cell>
        </row>
        <row r="471">
          <cell r="A471" t="str">
            <v>21300000-00206000-00000000</v>
          </cell>
          <cell r="B471" t="str">
            <v>P.T.U. POR PAGAR</v>
          </cell>
          <cell r="C471">
            <v>-49568.87</v>
          </cell>
          <cell r="D471">
            <v>0</v>
          </cell>
          <cell r="E471">
            <v>604142</v>
          </cell>
          <cell r="F471">
            <v>-653710.87</v>
          </cell>
        </row>
        <row r="472">
          <cell r="A472" t="str">
            <v>21300000-00206000-00010000</v>
          </cell>
          <cell r="B472" t="str">
            <v>P.T.U. POR PAGAR</v>
          </cell>
          <cell r="C472">
            <v>-49568.87</v>
          </cell>
          <cell r="D472">
            <v>0</v>
          </cell>
          <cell r="E472">
            <v>0</v>
          </cell>
          <cell r="F472">
            <v>-49568.87</v>
          </cell>
        </row>
        <row r="473">
          <cell r="A473" t="str">
            <v>21300000-00206000-00100000</v>
          </cell>
          <cell r="B473" t="str">
            <v>P.T.U. EJ/09</v>
          </cell>
          <cell r="C473">
            <v>0</v>
          </cell>
          <cell r="D473">
            <v>0</v>
          </cell>
          <cell r="E473">
            <v>604142</v>
          </cell>
          <cell r="F473">
            <v>-604142</v>
          </cell>
        </row>
        <row r="474">
          <cell r="A474" t="str">
            <v>21300000-00207000-00000000</v>
          </cell>
          <cell r="B474" t="str">
            <v>PROVISION P.T.U. DEL EJERCICIO</v>
          </cell>
          <cell r="C474">
            <v>-604142</v>
          </cell>
          <cell r="D474">
            <v>604142</v>
          </cell>
          <cell r="E474">
            <v>41826</v>
          </cell>
          <cell r="F474">
            <v>-41826</v>
          </cell>
        </row>
        <row r="475">
          <cell r="A475" t="str">
            <v>21300000-00207000-00010000</v>
          </cell>
          <cell r="B475" t="str">
            <v>PROVISION P.T.U. DEL EJERCICIO</v>
          </cell>
          <cell r="C475">
            <v>-604142</v>
          </cell>
          <cell r="D475">
            <v>604142</v>
          </cell>
          <cell r="E475">
            <v>41826</v>
          </cell>
          <cell r="F475">
            <v>-41826</v>
          </cell>
        </row>
        <row r="476">
          <cell r="A476" t="str">
            <v>21300000-00208000-00000000</v>
          </cell>
          <cell r="B476" t="str">
            <v>OTROS ACREEDORES</v>
          </cell>
          <cell r="C476">
            <v>-229782.36</v>
          </cell>
          <cell r="D476">
            <v>10000</v>
          </cell>
          <cell r="E476">
            <v>0</v>
          </cell>
          <cell r="F476">
            <v>-219782.36</v>
          </cell>
        </row>
        <row r="477">
          <cell r="A477" t="str">
            <v>21300000-00208000-00110000</v>
          </cell>
          <cell r="B477" t="str">
            <v>DEPOSITOS POR ACLARAR</v>
          </cell>
          <cell r="C477">
            <v>-221589.39</v>
          </cell>
          <cell r="D477">
            <v>10000</v>
          </cell>
          <cell r="E477">
            <v>0</v>
          </cell>
          <cell r="F477">
            <v>-211589.39</v>
          </cell>
        </row>
        <row r="478">
          <cell r="A478" t="str">
            <v>21300000-00208000-00140000</v>
          </cell>
          <cell r="B478" t="str">
            <v>SUAREZ MUÑOZ ESTEFANIA</v>
          </cell>
          <cell r="C478">
            <v>-22207.97</v>
          </cell>
          <cell r="D478">
            <v>0</v>
          </cell>
          <cell r="E478">
            <v>0</v>
          </cell>
          <cell r="F478">
            <v>-22207.97</v>
          </cell>
        </row>
        <row r="479">
          <cell r="A479" t="str">
            <v>21300000-00208000-00200000</v>
          </cell>
          <cell r="B479" t="str">
            <v>SUAREZ MUÑOZ MAXIMILIANO</v>
          </cell>
          <cell r="C479">
            <v>14015</v>
          </cell>
          <cell r="D479">
            <v>0</v>
          </cell>
          <cell r="E479">
            <v>0</v>
          </cell>
          <cell r="F479">
            <v>14015</v>
          </cell>
        </row>
        <row r="480">
          <cell r="A480" t="str">
            <v>21300000-00209000-00000000</v>
          </cell>
          <cell r="B480" t="str">
            <v>ACREEDORES SUBSIDIARIAS</v>
          </cell>
          <cell r="C480">
            <v>-56027.5</v>
          </cell>
          <cell r="D480">
            <v>0</v>
          </cell>
          <cell r="E480">
            <v>0</v>
          </cell>
          <cell r="F480">
            <v>-56027.5</v>
          </cell>
        </row>
        <row r="481">
          <cell r="A481" t="str">
            <v>21300000-00209000-00010000</v>
          </cell>
          <cell r="B481" t="str">
            <v>INMOBILIARIA PISASHA, SA DE CV</v>
          </cell>
          <cell r="C481">
            <v>-56027.5</v>
          </cell>
          <cell r="D481">
            <v>0</v>
          </cell>
          <cell r="E481">
            <v>0</v>
          </cell>
          <cell r="F481">
            <v>-56027.5</v>
          </cell>
        </row>
        <row r="482">
          <cell r="A482" t="str">
            <v>21300000-00210000-00000000</v>
          </cell>
          <cell r="B482" t="str">
            <v>ANTICIPOS DE CLIENTES</v>
          </cell>
          <cell r="C482">
            <v>-454435.18</v>
          </cell>
          <cell r="D482">
            <v>148679.57999999999</v>
          </cell>
          <cell r="E482">
            <v>754674.6</v>
          </cell>
          <cell r="F482">
            <v>-1060430.2</v>
          </cell>
        </row>
        <row r="483">
          <cell r="A483" t="str">
            <v>21300000-00210000-00010000</v>
          </cell>
          <cell r="B483" t="str">
            <v>DISTRIBUIDORES NACIONALES PLAN</v>
          </cell>
          <cell r="C483">
            <v>-407102.41</v>
          </cell>
          <cell r="D483">
            <v>108729.02</v>
          </cell>
          <cell r="E483">
            <v>754083.12</v>
          </cell>
          <cell r="F483">
            <v>-1052456.51</v>
          </cell>
        </row>
        <row r="484">
          <cell r="A484" t="str">
            <v>21300000-00210000-00020000</v>
          </cell>
          <cell r="B484" t="str">
            <v>CLIENTES EMPLEADOS</v>
          </cell>
          <cell r="C484">
            <v>-915.54</v>
          </cell>
          <cell r="D484">
            <v>0</v>
          </cell>
          <cell r="E484">
            <v>591.48</v>
          </cell>
          <cell r="F484">
            <v>-1507.02</v>
          </cell>
        </row>
        <row r="485">
          <cell r="A485" t="str">
            <v>21300000-00210000-00030000</v>
          </cell>
          <cell r="B485" t="str">
            <v>TIENDA AGRICULTURA</v>
          </cell>
          <cell r="C485">
            <v>-0.09</v>
          </cell>
          <cell r="D485">
            <v>0</v>
          </cell>
          <cell r="E485">
            <v>0</v>
          </cell>
          <cell r="F485">
            <v>-0.09</v>
          </cell>
        </row>
        <row r="486">
          <cell r="A486" t="str">
            <v>21300000-00210000-00040000</v>
          </cell>
          <cell r="B486" t="str">
            <v>TIENDA DIVISION DEL NORTE</v>
          </cell>
          <cell r="C486">
            <v>85.28</v>
          </cell>
          <cell r="D486">
            <v>0</v>
          </cell>
          <cell r="E486">
            <v>0</v>
          </cell>
          <cell r="F486">
            <v>85.28</v>
          </cell>
        </row>
        <row r="487">
          <cell r="A487" t="str">
            <v>21300000-00210000-00160000</v>
          </cell>
          <cell r="B487" t="str">
            <v>TIENDA ACOXPA</v>
          </cell>
          <cell r="C487">
            <v>76.25</v>
          </cell>
          <cell r="D487">
            <v>0</v>
          </cell>
          <cell r="E487">
            <v>0</v>
          </cell>
          <cell r="F487">
            <v>76.25</v>
          </cell>
        </row>
        <row r="488">
          <cell r="A488" t="str">
            <v>21300000-00210000-00180000</v>
          </cell>
          <cell r="B488" t="str">
            <v>TIENDA PORTALES</v>
          </cell>
          <cell r="C488">
            <v>-0.02</v>
          </cell>
          <cell r="D488">
            <v>0</v>
          </cell>
          <cell r="E488">
            <v>0</v>
          </cell>
          <cell r="F488">
            <v>-0.02</v>
          </cell>
        </row>
        <row r="489">
          <cell r="A489" t="str">
            <v>21300000-00210000-00190000</v>
          </cell>
          <cell r="B489" t="str">
            <v>TIENDA IZTAPALAPA</v>
          </cell>
          <cell r="C489">
            <v>-0.01</v>
          </cell>
          <cell r="D489">
            <v>0</v>
          </cell>
          <cell r="E489">
            <v>0</v>
          </cell>
          <cell r="F489">
            <v>-0.01</v>
          </cell>
        </row>
        <row r="490">
          <cell r="A490" t="str">
            <v>21300000-00210000-00200000</v>
          </cell>
          <cell r="B490" t="str">
            <v>CLIENTES DIVERSOS</v>
          </cell>
          <cell r="C490">
            <v>-7895.15</v>
          </cell>
          <cell r="D490">
            <v>0</v>
          </cell>
          <cell r="E490">
            <v>0</v>
          </cell>
          <cell r="F490">
            <v>-7895.15</v>
          </cell>
        </row>
        <row r="491">
          <cell r="A491" t="str">
            <v>21300000-00210000-00220000</v>
          </cell>
          <cell r="B491" t="str">
            <v>TIENDA ECATEPEC</v>
          </cell>
          <cell r="C491">
            <v>-0.01</v>
          </cell>
          <cell r="D491">
            <v>0</v>
          </cell>
          <cell r="E491">
            <v>0</v>
          </cell>
          <cell r="F491">
            <v>-0.01</v>
          </cell>
        </row>
        <row r="492">
          <cell r="A492" t="str">
            <v>21300000-00210000-00230000</v>
          </cell>
          <cell r="B492" t="str">
            <v>TIENDA COACALCO 1</v>
          </cell>
          <cell r="C492">
            <v>0.01</v>
          </cell>
          <cell r="D492">
            <v>0</v>
          </cell>
          <cell r="E492">
            <v>0</v>
          </cell>
          <cell r="F492">
            <v>0.01</v>
          </cell>
        </row>
        <row r="493">
          <cell r="A493" t="str">
            <v>21300000-00210000-00400000</v>
          </cell>
          <cell r="B493" t="str">
            <v>DIST Y CLIENTES EXPORTACION</v>
          </cell>
          <cell r="C493">
            <v>1266.95</v>
          </cell>
          <cell r="D493">
            <v>0</v>
          </cell>
          <cell r="E493">
            <v>0</v>
          </cell>
          <cell r="F493">
            <v>1266.95</v>
          </cell>
        </row>
        <row r="494">
          <cell r="A494" t="str">
            <v>21300000-00210000-00500000</v>
          </cell>
          <cell r="B494" t="str">
            <v>TIENDA CANCUN 10%</v>
          </cell>
          <cell r="C494">
            <v>-39950.44</v>
          </cell>
          <cell r="D494">
            <v>39950.559999999998</v>
          </cell>
          <cell r="E494">
            <v>0</v>
          </cell>
          <cell r="F494">
            <v>0.12</v>
          </cell>
        </row>
        <row r="495">
          <cell r="A495" t="str">
            <v>21300000-XXX00000-00000000</v>
          </cell>
          <cell r="C495">
            <v>0</v>
          </cell>
          <cell r="D495">
            <v>0</v>
          </cell>
          <cell r="E495">
            <v>0</v>
          </cell>
        </row>
        <row r="496">
          <cell r="A496" t="str">
            <v>21300000-XXXXX-00000000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</row>
        <row r="497">
          <cell r="A497" t="str">
            <v>21500000-00000000-00000000</v>
          </cell>
          <cell r="B497" t="str">
            <v>IMPUESTOS POR PAGAR</v>
          </cell>
          <cell r="C497">
            <v>-2425876.75</v>
          </cell>
          <cell r="D497">
            <v>3417923.98</v>
          </cell>
          <cell r="E497">
            <v>3552711.48</v>
          </cell>
          <cell r="F497">
            <v>-2560664.25</v>
          </cell>
        </row>
        <row r="498">
          <cell r="F498">
            <v>-2560664.25</v>
          </cell>
        </row>
        <row r="499">
          <cell r="A499" t="str">
            <v>21500000-00100000-00000000</v>
          </cell>
          <cell r="B499" t="str">
            <v>IMPUESTOS POR PAGAR</v>
          </cell>
          <cell r="C499">
            <v>-2425876.75</v>
          </cell>
          <cell r="D499">
            <v>3417923.98</v>
          </cell>
          <cell r="E499">
            <v>3552711.48</v>
          </cell>
        </row>
        <row r="500">
          <cell r="A500" t="str">
            <v>21500000-00101000-00000000</v>
          </cell>
          <cell r="B500" t="str">
            <v>IMPUESTOS NORMALES</v>
          </cell>
          <cell r="C500">
            <v>-940798.93</v>
          </cell>
          <cell r="D500">
            <v>2171455.87</v>
          </cell>
          <cell r="E500">
            <v>2006691.13</v>
          </cell>
          <cell r="F500">
            <v>-776034.19</v>
          </cell>
        </row>
        <row r="501">
          <cell r="A501" t="str">
            <v>21500000-00101000-00020000</v>
          </cell>
          <cell r="B501" t="str">
            <v>5% INFONAVIT</v>
          </cell>
          <cell r="C501">
            <v>-113090.96</v>
          </cell>
          <cell r="D501">
            <v>113090.96</v>
          </cell>
          <cell r="E501">
            <v>63615.85</v>
          </cell>
          <cell r="F501">
            <v>-63615.85</v>
          </cell>
        </row>
        <row r="502">
          <cell r="A502" t="str">
            <v>21500000-00101000-00030000</v>
          </cell>
          <cell r="B502" t="str">
            <v>I.S.P.T. RETENIDO</v>
          </cell>
          <cell r="C502">
            <v>0</v>
          </cell>
          <cell r="D502">
            <v>2092.92</v>
          </cell>
          <cell r="E502">
            <v>162972.92000000001</v>
          </cell>
          <cell r="F502">
            <v>-160880</v>
          </cell>
        </row>
        <row r="503">
          <cell r="A503" t="str">
            <v>21500000-00101000-00040000</v>
          </cell>
          <cell r="B503" t="str">
            <v>I.M.S.S</v>
          </cell>
          <cell r="C503">
            <v>-113941.88</v>
          </cell>
          <cell r="D503">
            <v>113941.88</v>
          </cell>
          <cell r="E503">
            <v>124586.11</v>
          </cell>
          <cell r="F503">
            <v>-124586.11</v>
          </cell>
        </row>
        <row r="504">
          <cell r="A504" t="str">
            <v>21500000-00101000-00050000</v>
          </cell>
          <cell r="B504" t="str">
            <v>I.S.R.</v>
          </cell>
          <cell r="C504">
            <v>-115569</v>
          </cell>
          <cell r="D504">
            <v>128197</v>
          </cell>
          <cell r="E504">
            <v>144825</v>
          </cell>
          <cell r="F504">
            <v>-132197</v>
          </cell>
        </row>
        <row r="505">
          <cell r="A505" t="str">
            <v>21500000-00101000-00070000</v>
          </cell>
          <cell r="B505" t="str">
            <v>I.S.P.T. POR PAGAR</v>
          </cell>
          <cell r="C505">
            <v>-221632</v>
          </cell>
          <cell r="D505">
            <v>223149</v>
          </cell>
          <cell r="E505">
            <v>160880</v>
          </cell>
          <cell r="F505">
            <v>-159363</v>
          </cell>
        </row>
        <row r="506">
          <cell r="A506" t="str">
            <v>21500000-00101000-00090000</v>
          </cell>
          <cell r="B506" t="str">
            <v>I.S.R. PROFESIONISTAS</v>
          </cell>
          <cell r="C506">
            <v>-9099</v>
          </cell>
          <cell r="D506">
            <v>9099.2999999999993</v>
          </cell>
          <cell r="E506">
            <v>3050.3</v>
          </cell>
          <cell r="F506">
            <v>-3050</v>
          </cell>
        </row>
        <row r="507">
          <cell r="A507" t="str">
            <v>21500000-00101000-00100000</v>
          </cell>
          <cell r="B507" t="str">
            <v>I.S.R. ARRENDAMIENTO</v>
          </cell>
          <cell r="C507">
            <v>-2762</v>
          </cell>
          <cell r="D507">
            <v>2762.5</v>
          </cell>
          <cell r="E507">
            <v>2830.5</v>
          </cell>
          <cell r="F507">
            <v>-2830</v>
          </cell>
        </row>
        <row r="508">
          <cell r="A508" t="str">
            <v>21500000-00101000-00110000</v>
          </cell>
          <cell r="B508" t="str">
            <v>2.5% SOBRE NOMINAS</v>
          </cell>
          <cell r="C508">
            <v>-39531</v>
          </cell>
          <cell r="D508">
            <v>39531</v>
          </cell>
          <cell r="E508">
            <v>30822</v>
          </cell>
          <cell r="F508">
            <v>-30822</v>
          </cell>
        </row>
        <row r="509">
          <cell r="A509" t="str">
            <v>21500000-00101000-00120000</v>
          </cell>
          <cell r="B509" t="str">
            <v>CESANTIA Y VEJEZ</v>
          </cell>
          <cell r="C509">
            <v>-96048.94</v>
          </cell>
          <cell r="D509">
            <v>96048.94</v>
          </cell>
          <cell r="E509">
            <v>54160.09</v>
          </cell>
          <cell r="F509">
            <v>-54160.09</v>
          </cell>
        </row>
        <row r="510">
          <cell r="A510" t="str">
            <v>21500000-00101000-00130000</v>
          </cell>
          <cell r="B510" t="str">
            <v>2% DEL S.A.R/ RETIRO</v>
          </cell>
          <cell r="C510">
            <v>-45236.37</v>
          </cell>
          <cell r="D510">
            <v>45236.37</v>
          </cell>
          <cell r="E510">
            <v>25446.36</v>
          </cell>
          <cell r="F510">
            <v>-25446.36</v>
          </cell>
        </row>
        <row r="511">
          <cell r="A511" t="str">
            <v>21500000-00101000-00150000</v>
          </cell>
          <cell r="B511" t="str">
            <v>IVA TRASLADADO AL 15% APLICADO</v>
          </cell>
          <cell r="C511">
            <v>0</v>
          </cell>
          <cell r="D511">
            <v>120063</v>
          </cell>
          <cell r="E511">
            <v>0</v>
          </cell>
          <cell r="F511">
            <v>120063</v>
          </cell>
        </row>
        <row r="512">
          <cell r="A512" t="str">
            <v>21500000-00101000-00160000</v>
          </cell>
          <cell r="B512" t="str">
            <v>IVA TRASLADADO AL 15%</v>
          </cell>
          <cell r="C512">
            <v>0</v>
          </cell>
          <cell r="D512">
            <v>0</v>
          </cell>
          <cell r="E512">
            <v>120063</v>
          </cell>
          <cell r="F512">
            <v>-120063</v>
          </cell>
        </row>
        <row r="513">
          <cell r="A513" t="str">
            <v>21500000-00101000-00180000</v>
          </cell>
          <cell r="B513" t="str">
            <v>I.S.P.T. RETENIDO APLICADO</v>
          </cell>
          <cell r="C513">
            <v>0</v>
          </cell>
          <cell r="D513">
            <v>160880</v>
          </cell>
          <cell r="E513">
            <v>0</v>
          </cell>
          <cell r="F513">
            <v>160880</v>
          </cell>
        </row>
        <row r="514">
          <cell r="A514" t="str">
            <v>21500000-00101000-00190000</v>
          </cell>
          <cell r="B514" t="str">
            <v>IVA RETENIDO EN HONORARIOS P.F</v>
          </cell>
          <cell r="C514">
            <v>-14714</v>
          </cell>
          <cell r="D514">
            <v>14708</v>
          </cell>
          <cell r="E514">
            <v>8798</v>
          </cell>
          <cell r="F514">
            <v>-8804</v>
          </cell>
        </row>
        <row r="515">
          <cell r="A515" t="str">
            <v>21500000-00101000-00260000</v>
          </cell>
          <cell r="B515" t="str">
            <v>I.S.R. DEL EJERCICIO POR PAGAR</v>
          </cell>
          <cell r="C515">
            <v>-162432</v>
          </cell>
          <cell r="D515">
            <v>0</v>
          </cell>
          <cell r="E515">
            <v>0</v>
          </cell>
          <cell r="F515">
            <v>-162432</v>
          </cell>
        </row>
        <row r="516">
          <cell r="A516" t="str">
            <v>21500000-00101000-00290000</v>
          </cell>
          <cell r="B516" t="str">
            <v>IMSS X APLICAR</v>
          </cell>
          <cell r="C516">
            <v>-82.48</v>
          </cell>
          <cell r="D516">
            <v>0</v>
          </cell>
          <cell r="E516">
            <v>0</v>
          </cell>
          <cell r="F516">
            <v>-82.48</v>
          </cell>
        </row>
        <row r="517">
          <cell r="A517" t="str">
            <v>21500000-00101000-00300000</v>
          </cell>
          <cell r="B517" t="str">
            <v>CV X APLICAR</v>
          </cell>
          <cell r="C517">
            <v>-56.3</v>
          </cell>
          <cell r="D517">
            <v>0</v>
          </cell>
          <cell r="E517">
            <v>0</v>
          </cell>
          <cell r="F517">
            <v>-56.3</v>
          </cell>
        </row>
        <row r="518">
          <cell r="A518" t="str">
            <v>21500000-00101000-00320000</v>
          </cell>
          <cell r="B518" t="str">
            <v>I.D.E. POR PAGAR</v>
          </cell>
          <cell r="C518">
            <v>-6603</v>
          </cell>
          <cell r="D518">
            <v>8816</v>
          </cell>
          <cell r="E518">
            <v>10802</v>
          </cell>
          <cell r="F518">
            <v>-8589</v>
          </cell>
        </row>
        <row r="519">
          <cell r="A519" t="str">
            <v>21500000-00101000-00330000</v>
          </cell>
          <cell r="B519" t="str">
            <v>IVA TRASLADADO AL 16%</v>
          </cell>
          <cell r="C519">
            <v>0</v>
          </cell>
          <cell r="D519">
            <v>0</v>
          </cell>
          <cell r="E519">
            <v>1087830</v>
          </cell>
          <cell r="F519">
            <v>-1087830</v>
          </cell>
        </row>
        <row r="520">
          <cell r="A520" t="str">
            <v>21500000-00101000-00340000</v>
          </cell>
          <cell r="B520" t="str">
            <v>IVA TRASLADADO AL 16% APLIC</v>
          </cell>
          <cell r="C520">
            <v>0</v>
          </cell>
          <cell r="D520">
            <v>1087830</v>
          </cell>
          <cell r="E520">
            <v>0</v>
          </cell>
          <cell r="F520">
            <v>1087830</v>
          </cell>
        </row>
        <row r="521">
          <cell r="A521" t="str">
            <v>21500000-00101000-00350000</v>
          </cell>
          <cell r="B521" t="str">
            <v>IVA TRASLADADO AL 11%</v>
          </cell>
          <cell r="C521">
            <v>0</v>
          </cell>
          <cell r="D521">
            <v>0</v>
          </cell>
          <cell r="E521">
            <v>6009</v>
          </cell>
          <cell r="F521">
            <v>-6009</v>
          </cell>
        </row>
        <row r="522">
          <cell r="A522" t="str">
            <v>21500000-00101000-00360000</v>
          </cell>
          <cell r="B522" t="str">
            <v>IVA TRASLADADO AL 11% APLIC</v>
          </cell>
          <cell r="C522">
            <v>0</v>
          </cell>
          <cell r="D522">
            <v>6009</v>
          </cell>
          <cell r="E522">
            <v>0</v>
          </cell>
          <cell r="F522">
            <v>6009</v>
          </cell>
        </row>
        <row r="523">
          <cell r="A523" t="str">
            <v>21500000-00102000-00000000</v>
          </cell>
          <cell r="B523" t="str">
            <v>PAGOS PROVISIONALES I.S.R.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</row>
        <row r="524">
          <cell r="A524" t="str">
            <v>21500000-00103000-00000000</v>
          </cell>
          <cell r="B524" t="str">
            <v>PROVISIONES ISR E IVA DIFERIDO</v>
          </cell>
          <cell r="C524">
            <v>-1485077.82</v>
          </cell>
          <cell r="D524">
            <v>1246468.1100000001</v>
          </cell>
          <cell r="E524">
            <v>1546020.35</v>
          </cell>
          <cell r="F524">
            <v>-1784630.06</v>
          </cell>
        </row>
        <row r="525">
          <cell r="A525" t="str">
            <v>21500000-00103000-00010000</v>
          </cell>
          <cell r="B525" t="str">
            <v>I.V.A TRASLADADO DIFERIDO 15%</v>
          </cell>
          <cell r="C525">
            <v>-1400676.68</v>
          </cell>
          <cell r="D525">
            <v>125514.78</v>
          </cell>
          <cell r="E525">
            <v>90871.18</v>
          </cell>
          <cell r="F525">
            <v>-1366033.08</v>
          </cell>
        </row>
        <row r="526">
          <cell r="A526" t="str">
            <v>21500000-00103000-00020000</v>
          </cell>
          <cell r="B526" t="str">
            <v>I.S.R. PROFESIONISTAS DIFERIDO</v>
          </cell>
          <cell r="C526">
            <v>0</v>
          </cell>
          <cell r="D526">
            <v>3050.3</v>
          </cell>
          <cell r="E526">
            <v>3050.3</v>
          </cell>
          <cell r="F526">
            <v>0</v>
          </cell>
        </row>
        <row r="527">
          <cell r="A527" t="str">
            <v>21500000-00103000-00030000</v>
          </cell>
          <cell r="B527" t="str">
            <v>I.S.R. ARRENDAMIENTO DIFERIDO</v>
          </cell>
          <cell r="C527">
            <v>0</v>
          </cell>
          <cell r="D527">
            <v>2830.5</v>
          </cell>
          <cell r="E527">
            <v>2830.5</v>
          </cell>
          <cell r="F527">
            <v>0</v>
          </cell>
        </row>
        <row r="528">
          <cell r="A528" t="str">
            <v>21500000-00103000-00040000</v>
          </cell>
          <cell r="B528" t="str">
            <v>IVA RETENIDO S/HONOR DIFERIDO</v>
          </cell>
          <cell r="C528">
            <v>0</v>
          </cell>
          <cell r="D528">
            <v>3254.67</v>
          </cell>
          <cell r="E528">
            <v>3254.67</v>
          </cell>
          <cell r="F528">
            <v>0</v>
          </cell>
        </row>
        <row r="529">
          <cell r="A529" t="str">
            <v>21500000-00103000-00050000</v>
          </cell>
          <cell r="B529" t="str">
            <v>IVA RETENIDO S/ARREND DIFERIDO</v>
          </cell>
          <cell r="C529">
            <v>0</v>
          </cell>
          <cell r="D529">
            <v>3020.15</v>
          </cell>
          <cell r="E529">
            <v>3020.15</v>
          </cell>
          <cell r="F529">
            <v>0</v>
          </cell>
        </row>
        <row r="530">
          <cell r="A530" t="str">
            <v>21500000-00103000-00060000</v>
          </cell>
          <cell r="B530" t="str">
            <v>IVA RETENIDO S/FLET DIFERIDO</v>
          </cell>
          <cell r="C530">
            <v>-4587.53</v>
          </cell>
          <cell r="D530">
            <v>2865.49</v>
          </cell>
          <cell r="E530">
            <v>2770.3</v>
          </cell>
          <cell r="F530">
            <v>-4492.34</v>
          </cell>
        </row>
        <row r="531">
          <cell r="A531" t="str">
            <v>21500000-00103000-00070000</v>
          </cell>
          <cell r="B531" t="str">
            <v>I.V.A TRASLADADO DIFERIDO 10%</v>
          </cell>
          <cell r="C531">
            <v>-79813.61</v>
          </cell>
          <cell r="D531">
            <v>0</v>
          </cell>
          <cell r="E531">
            <v>7522.33</v>
          </cell>
          <cell r="F531">
            <v>-87335.94</v>
          </cell>
        </row>
        <row r="532">
          <cell r="A532" t="str">
            <v>21500000-00103000-00080000</v>
          </cell>
          <cell r="B532" t="str">
            <v>I.V.A TRASLADADO DIFERIDO 16%</v>
          </cell>
          <cell r="C532">
            <v>0</v>
          </cell>
          <cell r="D532">
            <v>1099923.22</v>
          </cell>
          <cell r="E532">
            <v>1419433.33</v>
          </cell>
          <cell r="F532">
            <v>-319510.11</v>
          </cell>
        </row>
        <row r="533">
          <cell r="A533" t="str">
            <v>21500000-00103000-00090000</v>
          </cell>
          <cell r="B533" t="str">
            <v>I.V.A TRASLADADO DIFERIDO 11%</v>
          </cell>
          <cell r="C533">
            <v>0</v>
          </cell>
          <cell r="D533">
            <v>6009</v>
          </cell>
          <cell r="E533">
            <v>13267.59</v>
          </cell>
          <cell r="F533">
            <v>-7258.59</v>
          </cell>
        </row>
        <row r="534">
          <cell r="A534" t="str">
            <v>21900000-00000000-00000000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</row>
        <row r="535">
          <cell r="F535">
            <v>0</v>
          </cell>
        </row>
        <row r="536">
          <cell r="A536" t="str">
            <v>21900000-70000000-00000000</v>
          </cell>
          <cell r="C536">
            <v>0</v>
          </cell>
          <cell r="D536">
            <v>0</v>
          </cell>
          <cell r="E536">
            <v>0</v>
          </cell>
        </row>
        <row r="537">
          <cell r="A537" t="str">
            <v>21900000-70000000-00000000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</row>
        <row r="538">
          <cell r="A538" t="str">
            <v>23000000-00000000-00000000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</row>
        <row r="541">
          <cell r="A541" t="str">
            <v>23000000-00000000-00000000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</row>
        <row r="542">
          <cell r="F542">
            <v>0</v>
          </cell>
        </row>
        <row r="543">
          <cell r="A543" t="str">
            <v>23000000-10000000-00000000</v>
          </cell>
          <cell r="C543">
            <v>0</v>
          </cell>
          <cell r="D543">
            <v>0</v>
          </cell>
          <cell r="E543">
            <v>0</v>
          </cell>
        </row>
        <row r="544">
          <cell r="A544" t="str">
            <v>23000000-10000000-00000000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</row>
        <row r="545">
          <cell r="A545" t="str">
            <v>23700000-00000000-00000000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</row>
        <row r="546">
          <cell r="F546">
            <v>0</v>
          </cell>
        </row>
        <row r="547">
          <cell r="A547" t="str">
            <v>23700000-60000000-00000000</v>
          </cell>
          <cell r="C547">
            <v>0</v>
          </cell>
          <cell r="D547">
            <v>0</v>
          </cell>
          <cell r="E547">
            <v>0</v>
          </cell>
        </row>
        <row r="548">
          <cell r="A548" t="str">
            <v>23700000-60000000-00000000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</row>
        <row r="549">
          <cell r="A549" t="str">
            <v>25000000-00000000-00000000</v>
          </cell>
          <cell r="B549" t="str">
            <v>PASIVO A LARGO PLAZO</v>
          </cell>
          <cell r="C549">
            <v>-10000757.890000001</v>
          </cell>
          <cell r="D549">
            <v>101497.01</v>
          </cell>
          <cell r="E549">
            <v>186786.24</v>
          </cell>
          <cell r="F549">
            <v>-10086047.119999999</v>
          </cell>
        </row>
        <row r="552">
          <cell r="A552" t="str">
            <v>25100000-00000000-00000000</v>
          </cell>
          <cell r="B552" t="str">
            <v>CREDITO HIPOTECARIOS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</row>
        <row r="553">
          <cell r="F553">
            <v>0</v>
          </cell>
        </row>
        <row r="554">
          <cell r="A554" t="str">
            <v>25100000-00100000-00000000</v>
          </cell>
          <cell r="B554" t="str">
            <v>CREDITOS A LARGO PLAZO</v>
          </cell>
          <cell r="C554">
            <v>0</v>
          </cell>
          <cell r="D554">
            <v>0</v>
          </cell>
          <cell r="E554">
            <v>0</v>
          </cell>
        </row>
        <row r="555">
          <cell r="A555" t="str">
            <v>25100000-00101000-00000000</v>
          </cell>
          <cell r="B555" t="str">
            <v>CREDITOS BANCARIOS MN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</row>
        <row r="556">
          <cell r="A556" t="str">
            <v>25100000-00102000-00000000</v>
          </cell>
          <cell r="B556" t="str">
            <v>CREDITOS BANCARIOS UDIS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</row>
        <row r="557">
          <cell r="A557" t="str">
            <v>25200000-00000000-00000000</v>
          </cell>
          <cell r="B557" t="str">
            <v>ARRENDAMIENTO FINANCIERO</v>
          </cell>
          <cell r="C557">
            <v>-1197207.75</v>
          </cell>
          <cell r="D557">
            <v>60151.19</v>
          </cell>
          <cell r="E557">
            <v>0</v>
          </cell>
          <cell r="F557">
            <v>-1137056.56</v>
          </cell>
        </row>
        <row r="558">
          <cell r="F558">
            <v>-1137056.56</v>
          </cell>
        </row>
        <row r="559">
          <cell r="A559" t="str">
            <v>25200000-00100000-00000000</v>
          </cell>
          <cell r="B559" t="str">
            <v>ARRENDAMIENTO FINANCIERO</v>
          </cell>
          <cell r="C559">
            <v>-1197207.75</v>
          </cell>
          <cell r="D559">
            <v>60151.19</v>
          </cell>
          <cell r="E559">
            <v>0</v>
          </cell>
        </row>
        <row r="560">
          <cell r="A560" t="str">
            <v>25200000-00101000-00000000</v>
          </cell>
          <cell r="B560" t="str">
            <v>ARRENDADORA COMERCIAL AMERICA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</row>
        <row r="561">
          <cell r="A561" t="str">
            <v>25200000-00102000-00000000</v>
          </cell>
          <cell r="B561" t="str">
            <v>BBVA BANCOMER, S.A. DE C.V.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</row>
        <row r="562">
          <cell r="A562" t="str">
            <v>25200000-00103000-00000000</v>
          </cell>
          <cell r="B562" t="str">
            <v>APOYO MERCANTIL, S.A. DE C.V.</v>
          </cell>
          <cell r="C562">
            <v>-932946.08</v>
          </cell>
          <cell r="D562">
            <v>43231.6</v>
          </cell>
          <cell r="E562">
            <v>0</v>
          </cell>
          <cell r="F562">
            <v>-889714.48</v>
          </cell>
        </row>
        <row r="563">
          <cell r="A563" t="str">
            <v>25200000-00103000-00010000</v>
          </cell>
          <cell r="B563" t="str">
            <v>APOYO MERCANTIL (CAPITAL)</v>
          </cell>
          <cell r="C563">
            <v>-828336.68</v>
          </cell>
          <cell r="D563">
            <v>35983.699999999997</v>
          </cell>
          <cell r="E563">
            <v>0</v>
          </cell>
          <cell r="F563">
            <v>-792352.98</v>
          </cell>
        </row>
        <row r="564">
          <cell r="A564" t="str">
            <v>25200000-00103000-00020000</v>
          </cell>
          <cell r="B564" t="str">
            <v>APOYO MERCANTIL (INTERESES)</v>
          </cell>
          <cell r="C564">
            <v>-104609.4</v>
          </cell>
          <cell r="D564">
            <v>7247.9</v>
          </cell>
          <cell r="E564">
            <v>0</v>
          </cell>
          <cell r="F564">
            <v>-97361.5</v>
          </cell>
        </row>
        <row r="565">
          <cell r="A565" t="str">
            <v>25200000-00104000-00000000</v>
          </cell>
          <cell r="B565" t="str">
            <v>BANCO SANTANDER SA</v>
          </cell>
          <cell r="C565">
            <v>-85305.09</v>
          </cell>
          <cell r="D565">
            <v>8580.35</v>
          </cell>
          <cell r="E565">
            <v>0</v>
          </cell>
          <cell r="F565">
            <v>-76724.740000000005</v>
          </cell>
        </row>
        <row r="566">
          <cell r="A566" t="str">
            <v>25200000-00104000-00010000</v>
          </cell>
          <cell r="B566" t="str">
            <v>BANCO SANTANDER SA (CAPITAL)</v>
          </cell>
          <cell r="C566">
            <v>-80487.45</v>
          </cell>
          <cell r="D566">
            <v>7716.45</v>
          </cell>
          <cell r="E566">
            <v>0</v>
          </cell>
          <cell r="F566">
            <v>-72771</v>
          </cell>
        </row>
        <row r="567">
          <cell r="A567" t="str">
            <v>25200000-00104000-00020000</v>
          </cell>
          <cell r="B567" t="str">
            <v>BANCO SANTANDER SA (INT E IVA)</v>
          </cell>
          <cell r="C567">
            <v>-4817.6400000000003</v>
          </cell>
          <cell r="D567">
            <v>863.9</v>
          </cell>
          <cell r="E567">
            <v>0</v>
          </cell>
          <cell r="F567">
            <v>-3953.74</v>
          </cell>
        </row>
        <row r="568">
          <cell r="A568" t="str">
            <v>25200000-00105000-00000000</v>
          </cell>
          <cell r="B568" t="str">
            <v>CORPORACION FINANCIERA ATLAS</v>
          </cell>
          <cell r="C568">
            <v>-178956.58</v>
          </cell>
          <cell r="D568">
            <v>8339.24</v>
          </cell>
          <cell r="E568">
            <v>0</v>
          </cell>
          <cell r="F568">
            <v>-170617.34</v>
          </cell>
        </row>
        <row r="569">
          <cell r="A569" t="str">
            <v>25200000-00105000-00010000</v>
          </cell>
          <cell r="B569" t="str">
            <v>COR FINANCIERA ATLAS (CAPITAL)</v>
          </cell>
          <cell r="C569">
            <v>-147062.79999999999</v>
          </cell>
          <cell r="D569">
            <v>5638.75</v>
          </cell>
          <cell r="E569">
            <v>0</v>
          </cell>
          <cell r="F569">
            <v>-141424.04999999999</v>
          </cell>
        </row>
        <row r="570">
          <cell r="A570" t="str">
            <v>25200000-00105000-00020000</v>
          </cell>
          <cell r="B570" t="str">
            <v>COR FINANCIERA ATLAS (INT-IVA)</v>
          </cell>
          <cell r="C570">
            <v>-31893.78</v>
          </cell>
          <cell r="D570">
            <v>2700.49</v>
          </cell>
          <cell r="E570">
            <v>0</v>
          </cell>
          <cell r="F570">
            <v>-29193.29</v>
          </cell>
        </row>
        <row r="571">
          <cell r="A571" t="str">
            <v>25300000-00000000-00000000</v>
          </cell>
          <cell r="B571" t="str">
            <v>RESERVAS POR PROVISIONES</v>
          </cell>
          <cell r="C571">
            <v>-8622737.1400000006</v>
          </cell>
          <cell r="D571">
            <v>41345.82</v>
          </cell>
          <cell r="E571">
            <v>186786.24</v>
          </cell>
          <cell r="F571">
            <v>-8768177.5600000005</v>
          </cell>
        </row>
        <row r="572">
          <cell r="F572">
            <v>-8768177.5600000005</v>
          </cell>
        </row>
        <row r="573">
          <cell r="A573" t="str">
            <v>25300000-00100000-00000000</v>
          </cell>
          <cell r="B573" t="str">
            <v>RESERVAS POR PROVISIONES</v>
          </cell>
          <cell r="C573">
            <v>-8622737.1400000006</v>
          </cell>
          <cell r="D573">
            <v>41345.82</v>
          </cell>
          <cell r="E573">
            <v>186786.24</v>
          </cell>
        </row>
        <row r="574">
          <cell r="A574" t="str">
            <v>25300000-00101000-00000000</v>
          </cell>
          <cell r="B574" t="str">
            <v>PRIMA DE ANTIGUEDAD</v>
          </cell>
          <cell r="C574">
            <v>-979023.45</v>
          </cell>
          <cell r="D574">
            <v>0</v>
          </cell>
          <cell r="E574">
            <v>13173.59</v>
          </cell>
          <cell r="F574">
            <v>-992197.04</v>
          </cell>
        </row>
        <row r="575">
          <cell r="A575" t="str">
            <v>25300000-00101000-00010000</v>
          </cell>
          <cell r="B575" t="str">
            <v>VARIOS</v>
          </cell>
          <cell r="C575">
            <v>-661028.78</v>
          </cell>
          <cell r="D575">
            <v>0</v>
          </cell>
          <cell r="E575">
            <v>13173.59</v>
          </cell>
          <cell r="F575">
            <v>-674202.37</v>
          </cell>
        </row>
        <row r="576">
          <cell r="A576" t="str">
            <v>25300000-00101000-00020000</v>
          </cell>
          <cell r="B576" t="str">
            <v>INTERESES</v>
          </cell>
          <cell r="C576">
            <v>-317994.67</v>
          </cell>
          <cell r="D576">
            <v>0</v>
          </cell>
          <cell r="E576">
            <v>0</v>
          </cell>
          <cell r="F576">
            <v>-317994.67</v>
          </cell>
        </row>
        <row r="577">
          <cell r="A577" t="str">
            <v>25300000-00102000-00000000</v>
          </cell>
          <cell r="B577" t="str">
            <v>PLAN DE PENSIONES</v>
          </cell>
          <cell r="C577">
            <v>-6634208.0899999999</v>
          </cell>
          <cell r="D577">
            <v>0</v>
          </cell>
          <cell r="E577">
            <v>48540.19</v>
          </cell>
          <cell r="F577">
            <v>-6682748.2800000003</v>
          </cell>
        </row>
        <row r="578">
          <cell r="A578" t="str">
            <v>25300000-00102000-00010000</v>
          </cell>
          <cell r="B578" t="str">
            <v>VARIOS</v>
          </cell>
          <cell r="C578">
            <v>-3599466.95</v>
          </cell>
          <cell r="D578">
            <v>0</v>
          </cell>
          <cell r="E578">
            <v>48540.19</v>
          </cell>
          <cell r="F578">
            <v>-3648007.14</v>
          </cell>
        </row>
        <row r="579">
          <cell r="A579" t="str">
            <v>25300000-00102000-00020000</v>
          </cell>
          <cell r="B579" t="str">
            <v>INTERESES</v>
          </cell>
          <cell r="C579">
            <v>-3034741.14</v>
          </cell>
          <cell r="D579">
            <v>0</v>
          </cell>
          <cell r="E579">
            <v>0</v>
          </cell>
          <cell r="F579">
            <v>-3034741.14</v>
          </cell>
        </row>
        <row r="580">
          <cell r="A580" t="str">
            <v>25300000-00103000-00000000</v>
          </cell>
          <cell r="B580" t="str">
            <v>BOLETIN D-3</v>
          </cell>
          <cell r="C580">
            <v>-472260.81</v>
          </cell>
          <cell r="D580">
            <v>0</v>
          </cell>
          <cell r="E580">
            <v>3100.5</v>
          </cell>
          <cell r="F580">
            <v>-475361.31</v>
          </cell>
        </row>
        <row r="581">
          <cell r="A581" t="str">
            <v>25300000-00103000-00010000</v>
          </cell>
          <cell r="B581" t="str">
            <v>PASIVO ADICIONAL</v>
          </cell>
          <cell r="C581">
            <v>-225710</v>
          </cell>
          <cell r="D581">
            <v>0</v>
          </cell>
          <cell r="E581">
            <v>0</v>
          </cell>
          <cell r="F581">
            <v>-225710</v>
          </cell>
        </row>
        <row r="582">
          <cell r="A582" t="str">
            <v>25300000-00103000-00020000</v>
          </cell>
          <cell r="B582" t="str">
            <v>PASIVO NETO PROYECTADO</v>
          </cell>
          <cell r="C582">
            <v>-246550.81</v>
          </cell>
          <cell r="D582">
            <v>0</v>
          </cell>
          <cell r="E582">
            <v>3100.5</v>
          </cell>
          <cell r="F582">
            <v>-249651.31</v>
          </cell>
        </row>
        <row r="583">
          <cell r="A583" t="str">
            <v>25300000-00104000-00000000</v>
          </cell>
          <cell r="B583" t="str">
            <v>FONDO DE AHORRO</v>
          </cell>
          <cell r="C583">
            <v>-537244.79</v>
          </cell>
          <cell r="D583">
            <v>41345.82</v>
          </cell>
          <cell r="E583">
            <v>121971.96</v>
          </cell>
          <cell r="F583">
            <v>-617870.93000000005</v>
          </cell>
        </row>
        <row r="584">
          <cell r="A584" t="str">
            <v>25300000-00104000-00010000</v>
          </cell>
          <cell r="B584" t="str">
            <v>FONDO DE AHORRO</v>
          </cell>
          <cell r="C584">
            <v>-576671.5</v>
          </cell>
          <cell r="D584">
            <v>845.82</v>
          </cell>
          <cell r="E584">
            <v>119181.96</v>
          </cell>
          <cell r="F584">
            <v>-695007.64</v>
          </cell>
        </row>
        <row r="585">
          <cell r="A585" t="str">
            <v>25300000-00104000-00020000</v>
          </cell>
          <cell r="B585" t="str">
            <v>FONDO DE AHORRO VARIOS</v>
          </cell>
          <cell r="C585">
            <v>-42043.29</v>
          </cell>
          <cell r="D585">
            <v>0</v>
          </cell>
          <cell r="E585">
            <v>0</v>
          </cell>
          <cell r="F585">
            <v>-42043.29</v>
          </cell>
        </row>
        <row r="586">
          <cell r="A586" t="str">
            <v>25300000-00104000-00030000</v>
          </cell>
          <cell r="B586" t="str">
            <v>PRESTAMOS S/F.A. INVERSORA</v>
          </cell>
          <cell r="C586">
            <v>81470</v>
          </cell>
          <cell r="D586">
            <v>40500</v>
          </cell>
          <cell r="E586">
            <v>2790</v>
          </cell>
          <cell r="F586">
            <v>119180</v>
          </cell>
        </row>
        <row r="587">
          <cell r="A587" t="str">
            <v>25300000-00300000-00000000</v>
          </cell>
          <cell r="C587">
            <v>0</v>
          </cell>
          <cell r="D587">
            <v>0</v>
          </cell>
          <cell r="E587">
            <v>0</v>
          </cell>
        </row>
        <row r="588">
          <cell r="A588" t="str">
            <v>25300000-00301000-00000000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</row>
        <row r="589">
          <cell r="A589" t="str">
            <v>25300000-00304000-00000000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</row>
        <row r="590">
          <cell r="A590" t="str">
            <v>25500000-00000000-00000000</v>
          </cell>
          <cell r="B590" t="str">
            <v>OTROS PASIVOS DIFERIDOS</v>
          </cell>
          <cell r="C590">
            <v>-180813</v>
          </cell>
          <cell r="D590">
            <v>0</v>
          </cell>
          <cell r="E590">
            <v>0</v>
          </cell>
          <cell r="F590">
            <v>-180813</v>
          </cell>
        </row>
        <row r="591">
          <cell r="F591">
            <v>-180813</v>
          </cell>
        </row>
        <row r="592">
          <cell r="A592" t="str">
            <v>25500000-00100000-00000000</v>
          </cell>
          <cell r="B592" t="str">
            <v>OTROS PASIVOS DIFERIDOS</v>
          </cell>
          <cell r="C592">
            <v>-180813</v>
          </cell>
          <cell r="D592">
            <v>0</v>
          </cell>
          <cell r="E592">
            <v>0</v>
          </cell>
        </row>
        <row r="593">
          <cell r="A593" t="str">
            <v>25500000-00101000-00000000</v>
          </cell>
          <cell r="B593" t="str">
            <v>P.T.U. DIFERIDA</v>
          </cell>
          <cell r="C593">
            <v>397201</v>
          </cell>
          <cell r="D593">
            <v>0</v>
          </cell>
          <cell r="E593">
            <v>0</v>
          </cell>
          <cell r="F593">
            <v>397201</v>
          </cell>
        </row>
        <row r="594">
          <cell r="A594" t="str">
            <v>25500000-00101000-00010000</v>
          </cell>
          <cell r="B594" t="str">
            <v>P.T.U. DIFERIDA</v>
          </cell>
          <cell r="C594">
            <v>397201</v>
          </cell>
          <cell r="D594">
            <v>0</v>
          </cell>
          <cell r="E594">
            <v>0</v>
          </cell>
          <cell r="F594">
            <v>397201</v>
          </cell>
        </row>
        <row r="595">
          <cell r="A595" t="str">
            <v>25500000-00102000-00000000</v>
          </cell>
          <cell r="B595" t="str">
            <v>I.S.R. DIFERIDO</v>
          </cell>
          <cell r="C595">
            <v>-578014</v>
          </cell>
          <cell r="D595">
            <v>0</v>
          </cell>
          <cell r="E595">
            <v>0</v>
          </cell>
          <cell r="F595">
            <v>-578014</v>
          </cell>
        </row>
        <row r="596">
          <cell r="A596" t="str">
            <v>25500000-00102000-00010000</v>
          </cell>
          <cell r="B596" t="str">
            <v>I.S.R. DIFERIDO</v>
          </cell>
          <cell r="C596">
            <v>-578014</v>
          </cell>
          <cell r="D596">
            <v>0</v>
          </cell>
          <cell r="E596">
            <v>0</v>
          </cell>
          <cell r="F596">
            <v>-578014</v>
          </cell>
        </row>
        <row r="597">
          <cell r="A597" t="str">
            <v>28000000-00000000-00000000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</row>
        <row r="600">
          <cell r="A600" t="str">
            <v>28000000-00000000-00000000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</row>
        <row r="601">
          <cell r="F601">
            <v>0</v>
          </cell>
        </row>
        <row r="602">
          <cell r="A602" t="str">
            <v>28000000-50000000-00000000</v>
          </cell>
          <cell r="C602">
            <v>0</v>
          </cell>
          <cell r="D602">
            <v>0</v>
          </cell>
          <cell r="E602">
            <v>0</v>
          </cell>
        </row>
        <row r="603">
          <cell r="A603" t="str">
            <v>28000000-50000000-00000000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</row>
        <row r="604">
          <cell r="A604" t="str">
            <v>28000000-60000000-00000000</v>
          </cell>
          <cell r="C604">
            <v>0</v>
          </cell>
          <cell r="D604">
            <v>0</v>
          </cell>
          <cell r="E604">
            <v>0</v>
          </cell>
        </row>
        <row r="605">
          <cell r="A605" t="str">
            <v>28000000-60000000-00000000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</row>
        <row r="606">
          <cell r="A606" t="str">
            <v>28000000-70000000-00000000</v>
          </cell>
          <cell r="C606">
            <v>0</v>
          </cell>
          <cell r="D606">
            <v>0</v>
          </cell>
          <cell r="E606">
            <v>0</v>
          </cell>
        </row>
        <row r="607">
          <cell r="A607" t="str">
            <v>28000000-70000000-00000000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</row>
        <row r="608">
          <cell r="A608" t="str">
            <v>30000000-00000000-00000000</v>
          </cell>
          <cell r="C608">
            <v>-40878300.609999999</v>
          </cell>
          <cell r="D608">
            <v>179325</v>
          </cell>
          <cell r="E608">
            <v>0</v>
          </cell>
          <cell r="F608">
            <v>-40698975.609999999</v>
          </cell>
        </row>
        <row r="609">
          <cell r="B609" t="str">
            <v>CAPITAL</v>
          </cell>
        </row>
        <row r="616">
          <cell r="A616" t="str">
            <v>31000000-00000000-00000000</v>
          </cell>
          <cell r="B616" t="str">
            <v>CAPITAL</v>
          </cell>
          <cell r="C616">
            <v>-40878300.609999999</v>
          </cell>
          <cell r="D616">
            <v>179325</v>
          </cell>
          <cell r="E616">
            <v>0</v>
          </cell>
          <cell r="F616">
            <v>-40698975.609999999</v>
          </cell>
        </row>
        <row r="619">
          <cell r="A619" t="str">
            <v>31100000-00000000-00000000</v>
          </cell>
          <cell r="B619" t="str">
            <v>CAPITAL</v>
          </cell>
          <cell r="C619">
            <v>-40878300.609999999</v>
          </cell>
          <cell r="D619">
            <v>179325</v>
          </cell>
          <cell r="E619">
            <v>0</v>
          </cell>
          <cell r="F619">
            <v>-40698975.609999999</v>
          </cell>
        </row>
        <row r="620">
          <cell r="F620">
            <v>-40698975.609999999</v>
          </cell>
        </row>
        <row r="621">
          <cell r="A621" t="str">
            <v>31100000-00100000-00000000</v>
          </cell>
          <cell r="B621" t="str">
            <v>CAPITAL CONTABLE</v>
          </cell>
          <cell r="C621">
            <v>-40878300.609999999</v>
          </cell>
          <cell r="D621">
            <v>179325</v>
          </cell>
          <cell r="E621">
            <v>0</v>
          </cell>
        </row>
        <row r="622">
          <cell r="A622" t="str">
            <v>31100000-00101000-00000000</v>
          </cell>
          <cell r="B622" t="str">
            <v>CAPITAL SOCIAL</v>
          </cell>
          <cell r="C622">
            <v>-3000000</v>
          </cell>
          <cell r="D622">
            <v>0</v>
          </cell>
          <cell r="E622">
            <v>0</v>
          </cell>
          <cell r="F622">
            <v>-3000000</v>
          </cell>
        </row>
        <row r="623">
          <cell r="A623" t="str">
            <v>31100000-00101000-00010000</v>
          </cell>
          <cell r="B623" t="str">
            <v>CAPITAL SOCIAL FIJO</v>
          </cell>
          <cell r="C623">
            <v>-1000000</v>
          </cell>
          <cell r="D623">
            <v>0</v>
          </cell>
          <cell r="E623">
            <v>0</v>
          </cell>
          <cell r="F623">
            <v>-1000000</v>
          </cell>
        </row>
        <row r="624">
          <cell r="A624" t="str">
            <v>31100000-00101000-00020000</v>
          </cell>
          <cell r="B624" t="str">
            <v>CAPITAL SOCIAL VARIABLE</v>
          </cell>
          <cell r="C624">
            <v>-2000000</v>
          </cell>
          <cell r="D624">
            <v>0</v>
          </cell>
          <cell r="E624">
            <v>0</v>
          </cell>
          <cell r="F624">
            <v>-2000000</v>
          </cell>
        </row>
        <row r="625">
          <cell r="A625" t="str">
            <v>31100000-00102000-00000000</v>
          </cell>
          <cell r="B625" t="str">
            <v>RESERVA LEGAL</v>
          </cell>
          <cell r="C625">
            <v>-600000</v>
          </cell>
          <cell r="D625">
            <v>0</v>
          </cell>
          <cell r="E625">
            <v>0</v>
          </cell>
          <cell r="F625">
            <v>-600000</v>
          </cell>
        </row>
        <row r="626">
          <cell r="A626" t="str">
            <v>31100000-00102000-00010000</v>
          </cell>
          <cell r="B626" t="str">
            <v>RESERVA LEGAL</v>
          </cell>
          <cell r="C626">
            <v>-600000</v>
          </cell>
          <cell r="D626">
            <v>0</v>
          </cell>
          <cell r="E626">
            <v>0</v>
          </cell>
          <cell r="F626">
            <v>-600000</v>
          </cell>
        </row>
        <row r="627">
          <cell r="A627" t="str">
            <v>31100000-00103000-00000000</v>
          </cell>
          <cell r="B627" t="str">
            <v>UTILIDADES ACUMULADAS</v>
          </cell>
          <cell r="C627">
            <v>-30100318.289999999</v>
          </cell>
          <cell r="D627">
            <v>0</v>
          </cell>
          <cell r="E627">
            <v>0</v>
          </cell>
          <cell r="F627">
            <v>-30100318.289999999</v>
          </cell>
        </row>
        <row r="628">
          <cell r="A628" t="str">
            <v>31100000-00103000-00010000</v>
          </cell>
          <cell r="B628" t="str">
            <v>UTILIDADES ACUMULADAS AL EJ-93</v>
          </cell>
          <cell r="C628">
            <v>-4400974.4800000004</v>
          </cell>
          <cell r="D628">
            <v>0</v>
          </cell>
          <cell r="E628">
            <v>0</v>
          </cell>
          <cell r="F628">
            <v>-4400974.4800000004</v>
          </cell>
        </row>
        <row r="629">
          <cell r="A629" t="str">
            <v>31100000-00103000-00020000</v>
          </cell>
          <cell r="B629" t="str">
            <v>UTILIDAD EJERCICIO - 1996</v>
          </cell>
          <cell r="C629">
            <v>-1873973.65</v>
          </cell>
          <cell r="D629">
            <v>0</v>
          </cell>
          <cell r="E629">
            <v>0</v>
          </cell>
          <cell r="F629">
            <v>-1873973.65</v>
          </cell>
        </row>
        <row r="630">
          <cell r="A630" t="str">
            <v>31100000-00103000-00030000</v>
          </cell>
          <cell r="B630" t="str">
            <v>UTILIDAD EJERCICIO - 1997</v>
          </cell>
          <cell r="C630">
            <v>-2448276.79</v>
          </cell>
          <cell r="D630">
            <v>0</v>
          </cell>
          <cell r="E630">
            <v>0</v>
          </cell>
          <cell r="F630">
            <v>-2448276.79</v>
          </cell>
        </row>
        <row r="631">
          <cell r="A631" t="str">
            <v>31100000-00103000-00040000</v>
          </cell>
          <cell r="B631" t="str">
            <v>UTILIDAD EJERCICIO - 1999</v>
          </cell>
          <cell r="C631">
            <v>-839073.74</v>
          </cell>
          <cell r="D631">
            <v>0</v>
          </cell>
          <cell r="E631">
            <v>0</v>
          </cell>
          <cell r="F631">
            <v>-839073.74</v>
          </cell>
        </row>
        <row r="632">
          <cell r="A632" t="str">
            <v>31100000-00103000-00060000</v>
          </cell>
          <cell r="B632" t="str">
            <v>UTILIDAD EJERCICIO - 2001</v>
          </cell>
          <cell r="C632">
            <v>-1103463.6299999999</v>
          </cell>
          <cell r="D632">
            <v>0</v>
          </cell>
          <cell r="E632">
            <v>0</v>
          </cell>
          <cell r="F632">
            <v>-1103463.6299999999</v>
          </cell>
        </row>
        <row r="633">
          <cell r="A633" t="str">
            <v>31100000-00103000-00070000</v>
          </cell>
          <cell r="B633" t="str">
            <v>UTILIDAD EJERCICIO - 2002</v>
          </cell>
          <cell r="C633">
            <v>-8107291.6299999999</v>
          </cell>
          <cell r="D633">
            <v>0</v>
          </cell>
          <cell r="E633">
            <v>0</v>
          </cell>
          <cell r="F633">
            <v>-8107291.6299999999</v>
          </cell>
        </row>
        <row r="634">
          <cell r="A634" t="str">
            <v>31100000-00103000-00080000</v>
          </cell>
          <cell r="B634" t="str">
            <v>UTILIDAD EJERCICIO - 2003</v>
          </cell>
          <cell r="C634">
            <v>-1172790.02</v>
          </cell>
          <cell r="D634">
            <v>0</v>
          </cell>
          <cell r="E634">
            <v>0</v>
          </cell>
          <cell r="F634">
            <v>-1172790.02</v>
          </cell>
        </row>
        <row r="635">
          <cell r="A635" t="str">
            <v>31100000-00103000-00100000</v>
          </cell>
          <cell r="B635" t="str">
            <v>UTILIDAD EJERCICIO - 2005</v>
          </cell>
          <cell r="C635">
            <v>-623593.56999999995</v>
          </cell>
          <cell r="D635">
            <v>0</v>
          </cell>
          <cell r="E635">
            <v>0</v>
          </cell>
          <cell r="F635">
            <v>-623593.56999999995</v>
          </cell>
        </row>
        <row r="636">
          <cell r="A636" t="str">
            <v>31100000-00103000-00110000</v>
          </cell>
          <cell r="B636" t="str">
            <v>UTILIDAD EJERCICIO - 2006</v>
          </cell>
          <cell r="C636">
            <v>-45655.9</v>
          </cell>
          <cell r="D636">
            <v>0</v>
          </cell>
          <cell r="E636">
            <v>0</v>
          </cell>
          <cell r="F636">
            <v>-45655.9</v>
          </cell>
        </row>
        <row r="637">
          <cell r="A637" t="str">
            <v>31100000-00103000-00120000</v>
          </cell>
          <cell r="B637" t="str">
            <v>UTILIDAD EJERCICIO - 2007</v>
          </cell>
          <cell r="C637">
            <v>-2345834.2000000002</v>
          </cell>
          <cell r="D637">
            <v>0</v>
          </cell>
          <cell r="E637">
            <v>0</v>
          </cell>
          <cell r="F637">
            <v>-2345834.2000000002</v>
          </cell>
        </row>
        <row r="638">
          <cell r="A638" t="str">
            <v>31100000-00103000-00130000</v>
          </cell>
          <cell r="B638" t="str">
            <v>UTILIDAD EJERCICIO - 2008</v>
          </cell>
          <cell r="C638">
            <v>-4412283.34</v>
          </cell>
          <cell r="D638">
            <v>0</v>
          </cell>
          <cell r="E638">
            <v>0</v>
          </cell>
          <cell r="F638">
            <v>-4412283.34</v>
          </cell>
        </row>
        <row r="639">
          <cell r="A639" t="str">
            <v>31100000-00103000-00140000</v>
          </cell>
          <cell r="B639" t="str">
            <v>UTILIDAD EJERCICIO - 2009</v>
          </cell>
          <cell r="C639">
            <v>-2727107.34</v>
          </cell>
          <cell r="D639">
            <v>0</v>
          </cell>
          <cell r="E639">
            <v>0</v>
          </cell>
          <cell r="F639">
            <v>-2727107.34</v>
          </cell>
        </row>
        <row r="640">
          <cell r="A640" t="str">
            <v>31100000-00104000-00000000</v>
          </cell>
          <cell r="B640" t="str">
            <v>PERDIDAS ACUMULADAS</v>
          </cell>
          <cell r="C640">
            <v>8032472.1900000004</v>
          </cell>
          <cell r="D640">
            <v>0</v>
          </cell>
          <cell r="E640">
            <v>0</v>
          </cell>
          <cell r="F640">
            <v>8032472.1900000004</v>
          </cell>
        </row>
        <row r="641">
          <cell r="A641" t="str">
            <v>31100000-00104000-00010000</v>
          </cell>
          <cell r="B641" t="str">
            <v>PERDIDA DEL EJERCICIO-1994</v>
          </cell>
          <cell r="C641">
            <v>337090.76</v>
          </cell>
          <cell r="D641">
            <v>0</v>
          </cell>
          <cell r="E641">
            <v>0</v>
          </cell>
          <cell r="F641">
            <v>337090.76</v>
          </cell>
        </row>
        <row r="642">
          <cell r="A642" t="str">
            <v>31100000-00104000-00020000</v>
          </cell>
          <cell r="B642" t="str">
            <v>PERDIDA DEL EJERCICIO-1995</v>
          </cell>
          <cell r="C642">
            <v>4768295.49</v>
          </cell>
          <cell r="D642">
            <v>0</v>
          </cell>
          <cell r="E642">
            <v>0</v>
          </cell>
          <cell r="F642">
            <v>4768295.49</v>
          </cell>
        </row>
        <row r="643">
          <cell r="A643" t="str">
            <v>31100000-00104000-00030000</v>
          </cell>
          <cell r="B643" t="str">
            <v>PERDIDA DEL EJERCICIO-1998</v>
          </cell>
          <cell r="C643">
            <v>2022194.95</v>
          </cell>
          <cell r="D643">
            <v>0</v>
          </cell>
          <cell r="E643">
            <v>0</v>
          </cell>
          <cell r="F643">
            <v>2022194.95</v>
          </cell>
        </row>
        <row r="644">
          <cell r="A644" t="str">
            <v>31100000-00104000-00050000</v>
          </cell>
          <cell r="B644" t="str">
            <v>PERDIDA DEL EJERCICIO-2000</v>
          </cell>
          <cell r="C644">
            <v>790335.26</v>
          </cell>
          <cell r="D644">
            <v>0</v>
          </cell>
          <cell r="E644">
            <v>0</v>
          </cell>
          <cell r="F644">
            <v>790335.26</v>
          </cell>
        </row>
        <row r="645">
          <cell r="A645" t="str">
            <v>31100000-00104000-00060000</v>
          </cell>
          <cell r="B645" t="str">
            <v>PERDIDA DEL EJERCICIO-2004</v>
          </cell>
          <cell r="C645">
            <v>114555.73</v>
          </cell>
          <cell r="D645">
            <v>0</v>
          </cell>
          <cell r="E645">
            <v>0</v>
          </cell>
          <cell r="F645">
            <v>114555.73</v>
          </cell>
        </row>
        <row r="646">
          <cell r="A646" t="str">
            <v>31100000-00105000-00000000</v>
          </cell>
          <cell r="B646" t="str">
            <v>PERDIDAS Y GANANCIAS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</row>
        <row r="647">
          <cell r="A647" t="str">
            <v>31100000-00106000-00000000</v>
          </cell>
          <cell r="B647" t="str">
            <v>ACTUALIZACION CAPITAL CONTABLE</v>
          </cell>
          <cell r="C647">
            <v>-18624154.170000002</v>
          </cell>
          <cell r="D647">
            <v>0</v>
          </cell>
          <cell r="E647">
            <v>0</v>
          </cell>
          <cell r="F647">
            <v>-18624154.170000002</v>
          </cell>
        </row>
        <row r="648">
          <cell r="A648" t="str">
            <v>31100000-00106000-00010000</v>
          </cell>
          <cell r="B648" t="str">
            <v>ACT. CAPITAL SOCIAL</v>
          </cell>
          <cell r="C648">
            <v>-21159087</v>
          </cell>
          <cell r="D648">
            <v>0</v>
          </cell>
          <cell r="E648">
            <v>0</v>
          </cell>
          <cell r="F648">
            <v>-21159087</v>
          </cell>
        </row>
        <row r="649">
          <cell r="A649" t="str">
            <v>31100000-00106000-00020000</v>
          </cell>
          <cell r="B649" t="str">
            <v>ACT. RESERVA LEGAL</v>
          </cell>
          <cell r="C649">
            <v>-1900787</v>
          </cell>
          <cell r="D649">
            <v>0</v>
          </cell>
          <cell r="E649">
            <v>0</v>
          </cell>
          <cell r="F649">
            <v>-1900787</v>
          </cell>
        </row>
        <row r="650">
          <cell r="A650" t="str">
            <v>31100000-00106000-00030000</v>
          </cell>
          <cell r="B650" t="str">
            <v>ACT. UTILIDADES ACUMULADAS</v>
          </cell>
          <cell r="C650">
            <v>-27703486.489999998</v>
          </cell>
          <cell r="D650">
            <v>0</v>
          </cell>
          <cell r="E650">
            <v>0</v>
          </cell>
          <cell r="F650">
            <v>-27703486.489999998</v>
          </cell>
        </row>
        <row r="651">
          <cell r="A651" t="str">
            <v>31100000-00106000-00040000</v>
          </cell>
          <cell r="B651" t="str">
            <v>ACT. UTILIDAD DEL EJERCICIO</v>
          </cell>
          <cell r="C651">
            <v>923989.24</v>
          </cell>
          <cell r="D651">
            <v>0</v>
          </cell>
          <cell r="E651">
            <v>0</v>
          </cell>
          <cell r="F651">
            <v>923989.24</v>
          </cell>
        </row>
        <row r="652">
          <cell r="A652" t="str">
            <v>31100000-00106000-00050000</v>
          </cell>
          <cell r="B652" t="str">
            <v>ACT. PERDIDA EJERCICIO 1995</v>
          </cell>
          <cell r="C652">
            <v>1507335</v>
          </cell>
          <cell r="D652">
            <v>0</v>
          </cell>
          <cell r="E652">
            <v>0</v>
          </cell>
          <cell r="F652">
            <v>1507335</v>
          </cell>
        </row>
        <row r="653">
          <cell r="A653" t="str">
            <v>31100000-00106000-00060000</v>
          </cell>
          <cell r="B653" t="str">
            <v>ACT. PERD. ACUM.</v>
          </cell>
          <cell r="C653">
            <v>22141894.949999999</v>
          </cell>
          <cell r="D653">
            <v>0</v>
          </cell>
          <cell r="E653">
            <v>0</v>
          </cell>
          <cell r="F653">
            <v>22141894.949999999</v>
          </cell>
        </row>
        <row r="654">
          <cell r="A654" t="str">
            <v>31100000-00106000-00070000</v>
          </cell>
          <cell r="B654" t="str">
            <v>ACT. UTILIDAD EJ-1996</v>
          </cell>
          <cell r="C654">
            <v>1730525</v>
          </cell>
          <cell r="D654">
            <v>0</v>
          </cell>
          <cell r="E654">
            <v>0</v>
          </cell>
          <cell r="F654">
            <v>1730525</v>
          </cell>
        </row>
        <row r="655">
          <cell r="A655" t="str">
            <v>31100000-00106000-00080000</v>
          </cell>
          <cell r="B655" t="str">
            <v>ACT. RESULTADO EJ-1997</v>
          </cell>
          <cell r="C655">
            <v>1455741</v>
          </cell>
          <cell r="D655">
            <v>0</v>
          </cell>
          <cell r="E655">
            <v>0</v>
          </cell>
          <cell r="F655">
            <v>1455741</v>
          </cell>
        </row>
        <row r="656">
          <cell r="A656" t="str">
            <v>31100000-00106000-00090000</v>
          </cell>
          <cell r="B656" t="str">
            <v>ACT. RES. POSICION MON. PATRIM</v>
          </cell>
          <cell r="C656">
            <v>-3131249</v>
          </cell>
          <cell r="D656">
            <v>0</v>
          </cell>
          <cell r="E656">
            <v>0</v>
          </cell>
          <cell r="F656">
            <v>-3131249</v>
          </cell>
        </row>
        <row r="657">
          <cell r="A657" t="str">
            <v>31100000-00106000-00100000</v>
          </cell>
          <cell r="B657" t="str">
            <v>ACT. RESULTADO EJ-1998</v>
          </cell>
          <cell r="C657">
            <v>1553745</v>
          </cell>
          <cell r="D657">
            <v>0</v>
          </cell>
          <cell r="E657">
            <v>0</v>
          </cell>
          <cell r="F657">
            <v>1553745</v>
          </cell>
        </row>
        <row r="658">
          <cell r="A658" t="str">
            <v>31100000-00106000-00110000</v>
          </cell>
          <cell r="B658" t="str">
            <v>ACT. RESULTADO EJ-1999</v>
          </cell>
          <cell r="C658">
            <v>1231352.74</v>
          </cell>
          <cell r="D658">
            <v>0</v>
          </cell>
          <cell r="E658">
            <v>0</v>
          </cell>
          <cell r="F658">
            <v>1231352.74</v>
          </cell>
        </row>
        <row r="659">
          <cell r="A659" t="str">
            <v>31100000-00106000-00120000</v>
          </cell>
          <cell r="B659" t="str">
            <v>ACT. RESULTADO EJ-2000</v>
          </cell>
          <cell r="C659">
            <v>704408</v>
          </cell>
          <cell r="D659">
            <v>0</v>
          </cell>
          <cell r="E659">
            <v>0</v>
          </cell>
          <cell r="F659">
            <v>704408</v>
          </cell>
        </row>
        <row r="660">
          <cell r="A660" t="str">
            <v>31100000-00106000-00130000</v>
          </cell>
          <cell r="B660" t="str">
            <v>ACT. RESULTADO EJ-2001</v>
          </cell>
          <cell r="C660">
            <v>605903</v>
          </cell>
          <cell r="D660">
            <v>0</v>
          </cell>
          <cell r="E660">
            <v>0</v>
          </cell>
          <cell r="F660">
            <v>605903</v>
          </cell>
        </row>
        <row r="661">
          <cell r="A661" t="str">
            <v>31100000-00106000-00140000</v>
          </cell>
          <cell r="B661" t="str">
            <v>ACT. RESULTADO EJ-2002</v>
          </cell>
          <cell r="C661">
            <v>1877133</v>
          </cell>
          <cell r="D661">
            <v>0</v>
          </cell>
          <cell r="E661">
            <v>0</v>
          </cell>
          <cell r="F661">
            <v>1877133</v>
          </cell>
        </row>
        <row r="662">
          <cell r="A662" t="str">
            <v>31100000-00106000-00150000</v>
          </cell>
          <cell r="B662" t="str">
            <v>ACT. RESULTADO EJ-2003</v>
          </cell>
          <cell r="C662">
            <v>492344.37</v>
          </cell>
          <cell r="D662">
            <v>0</v>
          </cell>
          <cell r="E662">
            <v>0</v>
          </cell>
          <cell r="F662">
            <v>492344.37</v>
          </cell>
        </row>
        <row r="663">
          <cell r="A663" t="str">
            <v>31100000-00106000-00160000</v>
          </cell>
          <cell r="B663" t="str">
            <v>ACT. RESULTADO EJ-2004</v>
          </cell>
          <cell r="C663">
            <v>783404.35</v>
          </cell>
          <cell r="D663">
            <v>0</v>
          </cell>
          <cell r="E663">
            <v>0</v>
          </cell>
          <cell r="F663">
            <v>783404.35</v>
          </cell>
        </row>
        <row r="664">
          <cell r="A664" t="str">
            <v>31100000-00106000-00170000</v>
          </cell>
          <cell r="B664" t="str">
            <v>ACT. RESULTADO EJ-2005</v>
          </cell>
          <cell r="C664">
            <v>1560950.57</v>
          </cell>
          <cell r="D664">
            <v>0</v>
          </cell>
          <cell r="E664">
            <v>0</v>
          </cell>
          <cell r="F664">
            <v>1560950.57</v>
          </cell>
        </row>
        <row r="665">
          <cell r="A665" t="str">
            <v>31100000-00106000-00180000</v>
          </cell>
          <cell r="B665" t="str">
            <v>ACT. RESULTADO EJ-2006</v>
          </cell>
          <cell r="C665">
            <v>-496830.1</v>
          </cell>
          <cell r="D665">
            <v>0</v>
          </cell>
          <cell r="E665">
            <v>0</v>
          </cell>
          <cell r="F665">
            <v>-496830.1</v>
          </cell>
        </row>
        <row r="666">
          <cell r="A666" t="str">
            <v>31100000-00106000-00190000</v>
          </cell>
          <cell r="B666" t="str">
            <v>ACT. RESULTADO EJ-2007</v>
          </cell>
          <cell r="C666">
            <v>-12353.8</v>
          </cell>
          <cell r="D666">
            <v>0</v>
          </cell>
          <cell r="E666">
            <v>0</v>
          </cell>
          <cell r="F666">
            <v>-12353.8</v>
          </cell>
        </row>
        <row r="667">
          <cell r="A667" t="str">
            <v>31100000-00106000-00200000</v>
          </cell>
          <cell r="B667" t="str">
            <v>ACT. RESULTADO EJ-2008</v>
          </cell>
          <cell r="C667">
            <v>-789087</v>
          </cell>
          <cell r="D667">
            <v>0</v>
          </cell>
          <cell r="E667">
            <v>0</v>
          </cell>
          <cell r="F667">
            <v>-789087</v>
          </cell>
        </row>
        <row r="668">
          <cell r="A668" t="str">
            <v>31100000-00107000-00000000</v>
          </cell>
          <cell r="B668" t="str">
            <v>APORTAC P/FUT AUMEN DE CAPITAL</v>
          </cell>
          <cell r="C668">
            <v>-837301.65</v>
          </cell>
          <cell r="D668">
            <v>179325</v>
          </cell>
          <cell r="E668">
            <v>0</v>
          </cell>
          <cell r="F668">
            <v>-657976.65</v>
          </cell>
        </row>
        <row r="669">
          <cell r="A669" t="str">
            <v>31100000-00107000-00010000</v>
          </cell>
          <cell r="B669" t="str">
            <v>HANEINE HAHUA RICARDO</v>
          </cell>
          <cell r="C669">
            <v>-82892</v>
          </cell>
          <cell r="D669">
            <v>17753</v>
          </cell>
          <cell r="E669">
            <v>0</v>
          </cell>
          <cell r="F669">
            <v>-65139</v>
          </cell>
        </row>
        <row r="670">
          <cell r="A670" t="str">
            <v>31100000-00107000-00020000</v>
          </cell>
          <cell r="B670" t="str">
            <v>PINEDA PINTO ADRIANA IRENE</v>
          </cell>
          <cell r="C670">
            <v>-156296.54999999999</v>
          </cell>
          <cell r="D670">
            <v>33474</v>
          </cell>
          <cell r="E670">
            <v>0</v>
          </cell>
          <cell r="F670">
            <v>-122822.55</v>
          </cell>
        </row>
        <row r="671">
          <cell r="A671" t="str">
            <v>31100000-00107000-00030000</v>
          </cell>
          <cell r="B671" t="str">
            <v>PINEDA PINTO MAURICIO ALBERTO</v>
          </cell>
          <cell r="C671">
            <v>-156296.54999999999</v>
          </cell>
          <cell r="D671">
            <v>33474</v>
          </cell>
          <cell r="E671">
            <v>0</v>
          </cell>
          <cell r="F671">
            <v>-122822.55</v>
          </cell>
        </row>
        <row r="672">
          <cell r="A672" t="str">
            <v>31100000-00107000-00040000</v>
          </cell>
          <cell r="B672" t="str">
            <v>PINEDA PINTO SERGIO MANUEL</v>
          </cell>
          <cell r="C672">
            <v>-156296.54999999999</v>
          </cell>
          <cell r="D672">
            <v>33474</v>
          </cell>
          <cell r="E672">
            <v>0</v>
          </cell>
          <cell r="F672">
            <v>-122822.55</v>
          </cell>
        </row>
        <row r="673">
          <cell r="A673" t="str">
            <v>31100000-00107000-00060000</v>
          </cell>
          <cell r="B673" t="str">
            <v>SALAS VARGAS FERNANDO JOSE</v>
          </cell>
          <cell r="C673">
            <v>-92103</v>
          </cell>
          <cell r="D673">
            <v>19726</v>
          </cell>
          <cell r="E673">
            <v>0</v>
          </cell>
          <cell r="F673">
            <v>-72377</v>
          </cell>
        </row>
        <row r="674">
          <cell r="A674" t="str">
            <v>31100000-00107000-00070000</v>
          </cell>
          <cell r="B674" t="str">
            <v>SALAS VARGAS GUILLERMO DIONISI</v>
          </cell>
          <cell r="C674">
            <v>-87080</v>
          </cell>
          <cell r="D674">
            <v>18650</v>
          </cell>
          <cell r="E674">
            <v>0</v>
          </cell>
          <cell r="F674">
            <v>-68430</v>
          </cell>
        </row>
        <row r="675">
          <cell r="A675" t="str">
            <v>31100000-00107000-00080000</v>
          </cell>
          <cell r="B675" t="str">
            <v>SUAREZ RODRIGUEZ HERNANDO</v>
          </cell>
          <cell r="C675">
            <v>-106337</v>
          </cell>
          <cell r="D675">
            <v>22774</v>
          </cell>
          <cell r="E675">
            <v>0</v>
          </cell>
          <cell r="F675">
            <v>-83563</v>
          </cell>
        </row>
        <row r="676">
          <cell r="A676" t="str">
            <v>31100000-00110000-00000000</v>
          </cell>
          <cell r="B676" t="str">
            <v>DIVIDENDOS</v>
          </cell>
          <cell r="C676">
            <v>4251001.3099999996</v>
          </cell>
          <cell r="D676">
            <v>0</v>
          </cell>
          <cell r="E676">
            <v>0</v>
          </cell>
          <cell r="F676">
            <v>4251001.3099999996</v>
          </cell>
        </row>
        <row r="677">
          <cell r="A677" t="str">
            <v>31100000-00110000-00010000</v>
          </cell>
          <cell r="B677" t="str">
            <v>HANEINE HAUA RICARDO</v>
          </cell>
          <cell r="C677">
            <v>199797.59</v>
          </cell>
          <cell r="D677">
            <v>0</v>
          </cell>
          <cell r="E677">
            <v>0</v>
          </cell>
          <cell r="F677">
            <v>199797.59</v>
          </cell>
        </row>
        <row r="678">
          <cell r="A678" t="str">
            <v>31100000-00110000-00020000</v>
          </cell>
          <cell r="B678" t="str">
            <v>PINEDA PINTO ADRIANA IRENE</v>
          </cell>
          <cell r="C678">
            <v>498783.55</v>
          </cell>
          <cell r="D678">
            <v>0</v>
          </cell>
          <cell r="E678">
            <v>0</v>
          </cell>
          <cell r="F678">
            <v>498783.55</v>
          </cell>
        </row>
        <row r="679">
          <cell r="A679" t="str">
            <v>31100000-00110000-00030000</v>
          </cell>
          <cell r="B679" t="str">
            <v>PINEDA PINTO MAURICIO ALBERTO</v>
          </cell>
          <cell r="C679">
            <v>498783.55</v>
          </cell>
          <cell r="D679">
            <v>0</v>
          </cell>
          <cell r="E679">
            <v>0</v>
          </cell>
          <cell r="F679">
            <v>498783.55</v>
          </cell>
        </row>
        <row r="680">
          <cell r="A680" t="str">
            <v>31100000-00110000-00040000</v>
          </cell>
          <cell r="B680" t="str">
            <v>PINEDA PINTO SERGIO MANUEL</v>
          </cell>
          <cell r="C680">
            <v>498783.55</v>
          </cell>
          <cell r="D680">
            <v>0</v>
          </cell>
          <cell r="E680">
            <v>0</v>
          </cell>
          <cell r="F680">
            <v>498783.55</v>
          </cell>
        </row>
        <row r="681">
          <cell r="A681" t="str">
            <v>31100000-00110000-00060000</v>
          </cell>
          <cell r="B681" t="str">
            <v>SALAS VARGAS FERNANDO JOSE</v>
          </cell>
          <cell r="C681">
            <v>246558.59</v>
          </cell>
          <cell r="D681">
            <v>0</v>
          </cell>
          <cell r="E681">
            <v>0</v>
          </cell>
          <cell r="F681">
            <v>246558.59</v>
          </cell>
        </row>
        <row r="682">
          <cell r="A682" t="str">
            <v>31100000-00110000-00070000</v>
          </cell>
          <cell r="B682" t="str">
            <v>SALAS VARGAS GUILLERMO DIONISI</v>
          </cell>
          <cell r="C682">
            <v>221052.59</v>
          </cell>
          <cell r="D682">
            <v>0</v>
          </cell>
          <cell r="E682">
            <v>0</v>
          </cell>
          <cell r="F682">
            <v>221052.59</v>
          </cell>
        </row>
        <row r="683">
          <cell r="A683" t="str">
            <v>31100000-00110000-00080000</v>
          </cell>
          <cell r="B683" t="str">
            <v>SUAREZ RODRIGUEZ HERNANDO</v>
          </cell>
          <cell r="C683">
            <v>386841.65</v>
          </cell>
          <cell r="D683">
            <v>0</v>
          </cell>
          <cell r="E683">
            <v>0</v>
          </cell>
          <cell r="F683">
            <v>386841.65</v>
          </cell>
        </row>
        <row r="684">
          <cell r="A684" t="str">
            <v>31100000-00110000-00090000</v>
          </cell>
          <cell r="B684" t="str">
            <v>SALITACOL, S.A. DE C.V.</v>
          </cell>
          <cell r="C684">
            <v>1700400.24</v>
          </cell>
          <cell r="D684">
            <v>0</v>
          </cell>
          <cell r="E684">
            <v>0</v>
          </cell>
          <cell r="F684">
            <v>1700400.24</v>
          </cell>
        </row>
        <row r="685">
          <cell r="A685" t="str">
            <v>40000000-00000000-00000000</v>
          </cell>
          <cell r="C685">
            <v>0</v>
          </cell>
          <cell r="D685">
            <v>9397664.1300000008</v>
          </cell>
          <cell r="E685">
            <v>18856764.600000001</v>
          </cell>
          <cell r="F685">
            <v>-9459100.4700000007</v>
          </cell>
        </row>
        <row r="686">
          <cell r="B686" t="str">
            <v>VTAS NETAS NACIONALES Y EXP</v>
          </cell>
        </row>
        <row r="693">
          <cell r="A693" t="str">
            <v>41000000-00000000-00000000</v>
          </cell>
          <cell r="B693" t="str">
            <v>VTAS TOTALES NACIONALES Y EXP</v>
          </cell>
          <cell r="C693">
            <v>0</v>
          </cell>
          <cell r="D693">
            <v>557058.55000000005</v>
          </cell>
          <cell r="E693">
            <v>10074749.07</v>
          </cell>
          <cell r="F693">
            <v>-9517690.5199999996</v>
          </cell>
        </row>
        <row r="696">
          <cell r="A696" t="str">
            <v>41100000-00000000-00000000</v>
          </cell>
          <cell r="B696" t="str">
            <v>VTAS NACIONALES GRAVADAS</v>
          </cell>
          <cell r="C696">
            <v>0</v>
          </cell>
          <cell r="D696">
            <v>73605.66</v>
          </cell>
          <cell r="E696">
            <v>8225514.5700000003</v>
          </cell>
          <cell r="F696">
            <v>-8151908.9100000001</v>
          </cell>
        </row>
        <row r="697">
          <cell r="F697">
            <v>-8151908.9100000001</v>
          </cell>
        </row>
        <row r="698">
          <cell r="A698" t="str">
            <v>41100000-00000000-00000000</v>
          </cell>
          <cell r="B698" t="str">
            <v>VTAS NACIONALES GRAVADAS</v>
          </cell>
          <cell r="C698">
            <v>0</v>
          </cell>
          <cell r="D698">
            <v>0</v>
          </cell>
          <cell r="E698">
            <v>0</v>
          </cell>
        </row>
        <row r="699">
          <cell r="A699" t="str">
            <v>41100000-00000000-00000000</v>
          </cell>
          <cell r="B699" t="str">
            <v>VTAS NACIONALES GRAVADAS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</row>
        <row r="700">
          <cell r="A700" t="str">
            <v>41100000-50000000-00000000</v>
          </cell>
          <cell r="B700" t="str">
            <v>VTAS NACIONALES GRAVADAS</v>
          </cell>
          <cell r="C700">
            <v>0</v>
          </cell>
          <cell r="D700">
            <v>73605.66</v>
          </cell>
          <cell r="E700">
            <v>8225514.5700000003</v>
          </cell>
        </row>
        <row r="701">
          <cell r="A701" t="str">
            <v>41100000-50000000-00000000</v>
          </cell>
          <cell r="B701" t="str">
            <v>VTAS NACIONALES GRAVADAS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</row>
        <row r="702">
          <cell r="A702" t="str">
            <v>41100000-50001000-00000000</v>
          </cell>
          <cell r="B702" t="str">
            <v>VTAS PT  PLANTA</v>
          </cell>
          <cell r="C702">
            <v>0</v>
          </cell>
          <cell r="D702">
            <v>73605.66</v>
          </cell>
          <cell r="E702">
            <v>8224823.3200000003</v>
          </cell>
          <cell r="F702">
            <v>-8151217.6600000001</v>
          </cell>
        </row>
        <row r="703">
          <cell r="A703" t="str">
            <v>41100000-50001000-00010000</v>
          </cell>
          <cell r="B703" t="str">
            <v>PERMATONE - PASTAS INT</v>
          </cell>
          <cell r="C703">
            <v>0</v>
          </cell>
          <cell r="D703">
            <v>48990</v>
          </cell>
          <cell r="E703">
            <v>3292956.61</v>
          </cell>
          <cell r="F703">
            <v>-3243966.61</v>
          </cell>
        </row>
        <row r="704">
          <cell r="A704" t="str">
            <v>41100000-50001000-00020000</v>
          </cell>
          <cell r="B704" t="str">
            <v>EXTERIORES</v>
          </cell>
          <cell r="C704">
            <v>0</v>
          </cell>
          <cell r="D704">
            <v>16655.97</v>
          </cell>
          <cell r="E704">
            <v>1567706.94</v>
          </cell>
          <cell r="F704">
            <v>-1551050.97</v>
          </cell>
        </row>
        <row r="705">
          <cell r="A705" t="str">
            <v>41100000-50001000-00030000</v>
          </cell>
          <cell r="B705" t="str">
            <v>PINTURAS</v>
          </cell>
          <cell r="C705">
            <v>0</v>
          </cell>
          <cell r="D705">
            <v>2487.69</v>
          </cell>
          <cell r="E705">
            <v>992383.79</v>
          </cell>
          <cell r="F705">
            <v>-989896.1</v>
          </cell>
        </row>
        <row r="706">
          <cell r="A706" t="str">
            <v>41100000-50001000-00040000</v>
          </cell>
          <cell r="B706" t="str">
            <v>COMPLEMENTOS</v>
          </cell>
          <cell r="C706">
            <v>0</v>
          </cell>
          <cell r="D706">
            <v>2652</v>
          </cell>
          <cell r="E706">
            <v>1567917.3</v>
          </cell>
          <cell r="F706">
            <v>-1565265.3</v>
          </cell>
        </row>
        <row r="707">
          <cell r="A707" t="str">
            <v>41100000-50001000-00050000</v>
          </cell>
          <cell r="B707" t="str">
            <v>IMPERMEABILIZANTES</v>
          </cell>
          <cell r="C707">
            <v>0</v>
          </cell>
          <cell r="D707">
            <v>0</v>
          </cell>
          <cell r="E707">
            <v>94427.74</v>
          </cell>
          <cell r="F707">
            <v>-94427.74</v>
          </cell>
        </row>
        <row r="708">
          <cell r="A708" t="str">
            <v>41100000-50001000-00060000</v>
          </cell>
          <cell r="B708" t="str">
            <v>SISTEMA - PRECOR</v>
          </cell>
          <cell r="C708">
            <v>0</v>
          </cell>
          <cell r="D708">
            <v>0</v>
          </cell>
          <cell r="E708">
            <v>282449.34999999998</v>
          </cell>
          <cell r="F708">
            <v>-282449.34999999998</v>
          </cell>
        </row>
        <row r="709">
          <cell r="A709" t="str">
            <v>41100000-50001000-00110000</v>
          </cell>
          <cell r="B709" t="str">
            <v>HERRAMIENTAS</v>
          </cell>
          <cell r="C709">
            <v>0</v>
          </cell>
          <cell r="D709">
            <v>2745</v>
          </cell>
          <cell r="E709">
            <v>151940.73000000001</v>
          </cell>
          <cell r="F709">
            <v>-149195.73000000001</v>
          </cell>
        </row>
        <row r="710">
          <cell r="A710" t="str">
            <v>41100000-50001000-00130000</v>
          </cell>
          <cell r="B710" t="str">
            <v>MAQUILAS</v>
          </cell>
          <cell r="C710">
            <v>0</v>
          </cell>
          <cell r="D710">
            <v>0</v>
          </cell>
          <cell r="E710">
            <v>41846.639999999999</v>
          </cell>
          <cell r="F710">
            <v>-41846.639999999999</v>
          </cell>
        </row>
        <row r="711">
          <cell r="A711" t="str">
            <v>41100000-50001000-00140000</v>
          </cell>
          <cell r="B711" t="str">
            <v>OTROS</v>
          </cell>
          <cell r="C711">
            <v>0</v>
          </cell>
          <cell r="D711">
            <v>0</v>
          </cell>
          <cell r="E711">
            <v>77678.789999999994</v>
          </cell>
          <cell r="F711">
            <v>-77678.789999999994</v>
          </cell>
        </row>
        <row r="712">
          <cell r="A712" t="str">
            <v>41100000-50001000-00160000</v>
          </cell>
          <cell r="B712" t="str">
            <v>FOLLETERIA</v>
          </cell>
          <cell r="C712">
            <v>0</v>
          </cell>
          <cell r="D712">
            <v>75</v>
          </cell>
          <cell r="E712">
            <v>3967.5</v>
          </cell>
          <cell r="F712">
            <v>-3892.5</v>
          </cell>
        </row>
        <row r="713">
          <cell r="A713" t="str">
            <v>41100000-50001000-00180000</v>
          </cell>
          <cell r="B713" t="str">
            <v>IGUALACIONES</v>
          </cell>
          <cell r="C713">
            <v>0</v>
          </cell>
          <cell r="D713">
            <v>0</v>
          </cell>
          <cell r="E713">
            <v>4660</v>
          </cell>
          <cell r="F713">
            <v>-4660</v>
          </cell>
        </row>
        <row r="714">
          <cell r="A714" t="str">
            <v>41100000-50001000-00220000</v>
          </cell>
          <cell r="B714" t="str">
            <v>VENTAS DE ACTIVOS</v>
          </cell>
          <cell r="C714">
            <v>0</v>
          </cell>
          <cell r="D714">
            <v>0</v>
          </cell>
          <cell r="E714">
            <v>146887.93</v>
          </cell>
          <cell r="F714">
            <v>-146887.93</v>
          </cell>
        </row>
        <row r="715">
          <cell r="A715" t="str">
            <v>41100000-50002000-00000000</v>
          </cell>
          <cell r="B715" t="str">
            <v>VTAS PT PR1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</row>
        <row r="716">
          <cell r="A716" t="str">
            <v>41100000-50003000-00000000</v>
          </cell>
          <cell r="B716" t="str">
            <v>VTAS PT AGRICULTURA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</row>
        <row r="717">
          <cell r="A717" t="str">
            <v>41100000-50004000-00000000</v>
          </cell>
          <cell r="B717" t="str">
            <v>VTAS PT DIVISION DEL NORTE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</row>
        <row r="718">
          <cell r="A718" t="str">
            <v>41100000-50005000-00000000</v>
          </cell>
          <cell r="B718" t="str">
            <v>VTAS PT GUADALAJARA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</row>
        <row r="719">
          <cell r="A719" t="str">
            <v>41100000-50006000-00000000</v>
          </cell>
          <cell r="B719" t="str">
            <v>VTAS PT SALDOS Y DEVOLUCIONES</v>
          </cell>
          <cell r="C719">
            <v>0</v>
          </cell>
          <cell r="D719">
            <v>0</v>
          </cell>
          <cell r="E719">
            <v>691.25</v>
          </cell>
          <cell r="F719">
            <v>-691.25</v>
          </cell>
        </row>
        <row r="720">
          <cell r="A720" t="str">
            <v>41100000-50006000-00010000</v>
          </cell>
          <cell r="B720" t="str">
            <v>PERMATONE - PASTAS INT</v>
          </cell>
          <cell r="C720">
            <v>0</v>
          </cell>
          <cell r="D720">
            <v>0</v>
          </cell>
          <cell r="E720">
            <v>691.25</v>
          </cell>
          <cell r="F720">
            <v>-691.25</v>
          </cell>
        </row>
        <row r="721">
          <cell r="A721" t="str">
            <v>41100000-50007000-00000000</v>
          </cell>
          <cell r="B721" t="str">
            <v>VTAS PT CUARENTENA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</row>
        <row r="722">
          <cell r="A722" t="str">
            <v>41100000-50008000-00000000</v>
          </cell>
          <cell r="B722" t="str">
            <v>VTAS PT CONSIGNACION BODEGON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</row>
        <row r="723">
          <cell r="A723" t="str">
            <v>41100000-50009000-00000000</v>
          </cell>
          <cell r="B723" t="str">
            <v>VTAS PT OFICINAS COMERCIALES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</row>
        <row r="724">
          <cell r="A724" t="str">
            <v>41100000-50016000-00000000</v>
          </cell>
          <cell r="B724" t="str">
            <v>VENTAS NACION GVDA P.T. ACOXPA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</row>
        <row r="725">
          <cell r="A725" t="str">
            <v>41100000-50017000-00000000</v>
          </cell>
          <cell r="B725" t="str">
            <v>VENTAS NACION GVDA P.T REFORMA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</row>
        <row r="726">
          <cell r="A726" t="str">
            <v>41100000-50018000-00000000</v>
          </cell>
          <cell r="B726" t="str">
            <v>VENTAS NAC. GVDA.P.T.PORTALES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</row>
        <row r="727">
          <cell r="A727" t="str">
            <v>41100000-50019000-00000000</v>
          </cell>
          <cell r="B727" t="str">
            <v>VENTAS NAC. GVDA.P.T.IZTAPALAP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</row>
        <row r="728">
          <cell r="A728" t="str">
            <v>41100000-50020000-00000000</v>
          </cell>
          <cell r="B728" t="str">
            <v>VENTAS NACIONALES GVDA PT CANC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</row>
        <row r="729">
          <cell r="A729" t="str">
            <v>41100000-50021000-00000000</v>
          </cell>
          <cell r="B729" t="str">
            <v>VENTAS NACIONALES GVDA PT CUAJ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</row>
        <row r="730">
          <cell r="A730" t="str">
            <v>41100000-50022000-00000000</v>
          </cell>
          <cell r="B730" t="str">
            <v>VENTAS NACIONALES GVDA PT ECAT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</row>
        <row r="731">
          <cell r="A731" t="str">
            <v>41100000-50023000-00000000</v>
          </cell>
          <cell r="B731" t="str">
            <v>VTAS PT COACALCO 1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</row>
        <row r="732">
          <cell r="A732" t="str">
            <v>41100000-50024000-00000000</v>
          </cell>
          <cell r="B732" t="str">
            <v>VTAS PT COACALCO 2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</row>
        <row r="733">
          <cell r="A733" t="str">
            <v>41100000-50025000-00000000</v>
          </cell>
          <cell r="B733" t="str">
            <v>VTAS PT PERINORTE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</row>
        <row r="734">
          <cell r="A734" t="str">
            <v>41200000-00000000-00000000</v>
          </cell>
          <cell r="B734" t="str">
            <v>VTAS NACIONALES EXENTAS</v>
          </cell>
          <cell r="C734">
            <v>0</v>
          </cell>
          <cell r="D734">
            <v>53804.9</v>
          </cell>
          <cell r="E734">
            <v>53804.9</v>
          </cell>
          <cell r="F734">
            <v>0</v>
          </cell>
        </row>
        <row r="735">
          <cell r="F735">
            <v>0</v>
          </cell>
        </row>
        <row r="736">
          <cell r="A736" t="str">
            <v>41200000-50000000-00000000</v>
          </cell>
          <cell r="B736" t="str">
            <v>VTAS NACIONALES EXENTAS</v>
          </cell>
          <cell r="C736">
            <v>0</v>
          </cell>
          <cell r="D736">
            <v>53804.9</v>
          </cell>
          <cell r="E736">
            <v>53804.9</v>
          </cell>
        </row>
        <row r="737">
          <cell r="A737" t="str">
            <v>41200000-50000000-00000000</v>
          </cell>
          <cell r="B737" t="str">
            <v>VTAS NACIONALES EXENTAS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</row>
        <row r="738">
          <cell r="A738" t="str">
            <v>41200000-50001000-00000000</v>
          </cell>
          <cell r="B738" t="str">
            <v>VTAS PT  PLANTA</v>
          </cell>
          <cell r="C738">
            <v>0</v>
          </cell>
          <cell r="D738">
            <v>53804.9</v>
          </cell>
          <cell r="E738">
            <v>53804.9</v>
          </cell>
          <cell r="F738">
            <v>0</v>
          </cell>
        </row>
        <row r="739">
          <cell r="A739" t="str">
            <v>41200000-50001000-00170000</v>
          </cell>
          <cell r="B739" t="str">
            <v>APLICAC Y SUMIN DE MATERIALES</v>
          </cell>
          <cell r="C739">
            <v>0</v>
          </cell>
          <cell r="D739">
            <v>53804.9</v>
          </cell>
          <cell r="E739">
            <v>53804.9</v>
          </cell>
          <cell r="F739">
            <v>0</v>
          </cell>
        </row>
        <row r="740">
          <cell r="A740" t="str">
            <v>41200000-50002000-00000000</v>
          </cell>
          <cell r="B740" t="str">
            <v>VTAS PT PR1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</row>
        <row r="741">
          <cell r="A741" t="str">
            <v>41200000-50003000-00000000</v>
          </cell>
          <cell r="B741" t="str">
            <v>VTAS PT AGRICULTURA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</row>
        <row r="742">
          <cell r="A742" t="str">
            <v>41200000-50004000-00000000</v>
          </cell>
          <cell r="B742" t="str">
            <v>VTAS PT DIVISION DEL NORTE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</row>
        <row r="743">
          <cell r="A743" t="str">
            <v>41200000-50005000-00000000</v>
          </cell>
          <cell r="B743" t="str">
            <v>VTAS PT GUADALAJARA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</row>
        <row r="744">
          <cell r="A744" t="str">
            <v>41200000-50006000-00000000</v>
          </cell>
          <cell r="B744" t="str">
            <v>VTAS PT SALDOS Y DEVOLUCIONES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</row>
        <row r="745">
          <cell r="A745" t="str">
            <v>41200000-50007000-00000000</v>
          </cell>
          <cell r="B745" t="str">
            <v>VTAS PT CUARENTENA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</row>
        <row r="746">
          <cell r="A746" t="str">
            <v>41200000-50008000-00000000</v>
          </cell>
          <cell r="B746" t="str">
            <v>VTAS PT CONSIGNACION BODEGON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</row>
        <row r="747">
          <cell r="A747" t="str">
            <v>41200000-50009000-00000000</v>
          </cell>
          <cell r="B747" t="str">
            <v>VTAS PT OFICINAS COMERCIALES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</row>
        <row r="748">
          <cell r="A748" t="str">
            <v>41200000-50016000-00000000</v>
          </cell>
          <cell r="B748" t="str">
            <v>VENTAS NACIO EXENTAS PT ACOXPA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</row>
        <row r="749">
          <cell r="A749" t="str">
            <v>41200000-50017000-00000000</v>
          </cell>
          <cell r="B749" t="str">
            <v>VENTAS NAC EXENTAS PT REFORMA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</row>
        <row r="750">
          <cell r="A750" t="str">
            <v>41200000-50018000-00000000</v>
          </cell>
          <cell r="B750" t="str">
            <v>VENTAS NAC EXENTAS P.T. PORTAL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</row>
        <row r="751">
          <cell r="A751" t="str">
            <v>41200000-50019000-00000000</v>
          </cell>
          <cell r="B751" t="str">
            <v>VENTAS NAC EXENTAS P.T. IZTAPA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</row>
        <row r="752">
          <cell r="A752" t="str">
            <v>41200000-50020000-00000000</v>
          </cell>
          <cell r="B752" t="str">
            <v>VENTAS NACS EXENTAS PT CANCUN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</row>
        <row r="753">
          <cell r="A753" t="str">
            <v>41300000-00000000-00000000</v>
          </cell>
          <cell r="B753" t="str">
            <v>VTAS DE EXPORTACION</v>
          </cell>
          <cell r="C753">
            <v>0</v>
          </cell>
          <cell r="D753">
            <v>429647.99</v>
          </cell>
          <cell r="E753">
            <v>1634864.98</v>
          </cell>
          <cell r="F753">
            <v>-1205216.99</v>
          </cell>
        </row>
        <row r="754">
          <cell r="F754">
            <v>-1205216.99</v>
          </cell>
        </row>
        <row r="755">
          <cell r="A755" t="str">
            <v>41300000-00000000-00000000</v>
          </cell>
          <cell r="B755" t="str">
            <v>VTAS DE EXPORTACION</v>
          </cell>
          <cell r="C755">
            <v>0</v>
          </cell>
          <cell r="D755">
            <v>0</v>
          </cell>
          <cell r="E755">
            <v>0</v>
          </cell>
        </row>
        <row r="756">
          <cell r="A756" t="str">
            <v>41300000-00000000-00000000</v>
          </cell>
          <cell r="B756" t="str">
            <v>VTAS DE EXPORTACION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</row>
        <row r="757">
          <cell r="A757" t="str">
            <v>41300000-50000000-00000000</v>
          </cell>
          <cell r="B757" t="str">
            <v>VTAS DE EXPORTACION</v>
          </cell>
          <cell r="C757">
            <v>0</v>
          </cell>
          <cell r="D757">
            <v>429647.99</v>
          </cell>
          <cell r="E757">
            <v>1634864.98</v>
          </cell>
        </row>
        <row r="758">
          <cell r="A758" t="str">
            <v>41300000-50000000-00000000</v>
          </cell>
          <cell r="B758" t="str">
            <v>VTAS DE EXPORTACION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</row>
        <row r="759">
          <cell r="A759" t="str">
            <v>41300000-50001000-00000000</v>
          </cell>
          <cell r="B759" t="str">
            <v>VTAS DE EXPORTACION</v>
          </cell>
          <cell r="C759">
            <v>0</v>
          </cell>
          <cell r="D759">
            <v>429647.99</v>
          </cell>
          <cell r="E759">
            <v>1634864.98</v>
          </cell>
          <cell r="F759">
            <v>-1205216.99</v>
          </cell>
        </row>
        <row r="760">
          <cell r="A760" t="str">
            <v>41300000-50001000-00010000</v>
          </cell>
          <cell r="B760" t="str">
            <v>PERMATONE - PASTAS INT</v>
          </cell>
          <cell r="C760">
            <v>0</v>
          </cell>
          <cell r="D760">
            <v>0</v>
          </cell>
          <cell r="E760">
            <v>82386.42</v>
          </cell>
          <cell r="F760">
            <v>-82386.42</v>
          </cell>
        </row>
        <row r="761">
          <cell r="A761" t="str">
            <v>41300000-50001000-00020000</v>
          </cell>
          <cell r="B761" t="str">
            <v>EXTERIORES</v>
          </cell>
          <cell r="C761">
            <v>0</v>
          </cell>
          <cell r="D761">
            <v>357177.14</v>
          </cell>
          <cell r="E761">
            <v>1249071.29</v>
          </cell>
          <cell r="F761">
            <v>-891894.15</v>
          </cell>
        </row>
        <row r="762">
          <cell r="A762" t="str">
            <v>41300000-50001000-00030000</v>
          </cell>
          <cell r="B762" t="str">
            <v>PINTURAS</v>
          </cell>
          <cell r="C762">
            <v>0</v>
          </cell>
          <cell r="D762">
            <v>0</v>
          </cell>
          <cell r="E762">
            <v>17788.740000000002</v>
          </cell>
          <cell r="F762">
            <v>-17788.740000000002</v>
          </cell>
        </row>
        <row r="763">
          <cell r="A763" t="str">
            <v>41300000-50001000-00040000</v>
          </cell>
          <cell r="B763" t="str">
            <v>COMPLEMENTOS</v>
          </cell>
          <cell r="C763">
            <v>0</v>
          </cell>
          <cell r="D763">
            <v>0</v>
          </cell>
          <cell r="E763">
            <v>26793.439999999999</v>
          </cell>
          <cell r="F763">
            <v>-26793.439999999999</v>
          </cell>
        </row>
        <row r="764">
          <cell r="A764" t="str">
            <v>41300000-50001000-00110000</v>
          </cell>
          <cell r="B764" t="str">
            <v>HERRAMIENTAS</v>
          </cell>
          <cell r="C764">
            <v>0</v>
          </cell>
          <cell r="D764">
            <v>0</v>
          </cell>
          <cell r="E764">
            <v>3044.9</v>
          </cell>
          <cell r="F764">
            <v>-3044.9</v>
          </cell>
        </row>
        <row r="765">
          <cell r="A765" t="str">
            <v>41300000-50001000-00140000</v>
          </cell>
          <cell r="B765" t="str">
            <v>OTROS</v>
          </cell>
          <cell r="C765">
            <v>0</v>
          </cell>
          <cell r="D765">
            <v>0.13</v>
          </cell>
          <cell r="E765">
            <v>0.05</v>
          </cell>
          <cell r="F765">
            <v>0.08</v>
          </cell>
        </row>
        <row r="766">
          <cell r="A766" t="str">
            <v>41300000-50001000-00150000</v>
          </cell>
          <cell r="B766" t="str">
            <v>PROMOCIONALES</v>
          </cell>
          <cell r="C766">
            <v>0</v>
          </cell>
          <cell r="D766">
            <v>0</v>
          </cell>
          <cell r="E766">
            <v>103.44</v>
          </cell>
          <cell r="F766">
            <v>-103.44</v>
          </cell>
        </row>
        <row r="767">
          <cell r="A767" t="str">
            <v>41300000-50001000-00160000</v>
          </cell>
          <cell r="B767" t="str">
            <v>FOLLETERIA</v>
          </cell>
          <cell r="C767">
            <v>0</v>
          </cell>
          <cell r="D767">
            <v>0</v>
          </cell>
          <cell r="E767">
            <v>2249.8200000000002</v>
          </cell>
          <cell r="F767">
            <v>-2249.8200000000002</v>
          </cell>
        </row>
        <row r="768">
          <cell r="A768" t="str">
            <v>41300000-50001000-00190000</v>
          </cell>
          <cell r="B768" t="str">
            <v>GASTOS ADUANALES</v>
          </cell>
          <cell r="C768">
            <v>0</v>
          </cell>
          <cell r="D768">
            <v>72470.720000000001</v>
          </cell>
          <cell r="E768">
            <v>253426.88</v>
          </cell>
          <cell r="F768">
            <v>-180956.16</v>
          </cell>
        </row>
        <row r="769">
          <cell r="A769" t="str">
            <v>41400000-00000000-00000000</v>
          </cell>
          <cell r="B769" t="str">
            <v>VENTAS NACIONALES GRAVADAS 10%</v>
          </cell>
          <cell r="C769">
            <v>0</v>
          </cell>
          <cell r="D769">
            <v>0</v>
          </cell>
          <cell r="E769">
            <v>160564.62</v>
          </cell>
          <cell r="F769">
            <v>-160564.62</v>
          </cell>
        </row>
        <row r="770">
          <cell r="F770">
            <v>-160564.62</v>
          </cell>
        </row>
        <row r="771">
          <cell r="A771" t="str">
            <v>41400000-50000000-00000000</v>
          </cell>
          <cell r="B771" t="str">
            <v>VENTAS NAC GRAVADAS 10% P.T.</v>
          </cell>
          <cell r="C771">
            <v>0</v>
          </cell>
          <cell r="D771">
            <v>0</v>
          </cell>
          <cell r="E771">
            <v>160564.62</v>
          </cell>
        </row>
        <row r="772">
          <cell r="A772" t="str">
            <v>41400000-50020000-00000000</v>
          </cell>
          <cell r="B772" t="str">
            <v>VENTAS NAC GRAV 10% PT CANCUN</v>
          </cell>
          <cell r="C772">
            <v>0</v>
          </cell>
          <cell r="D772">
            <v>0</v>
          </cell>
          <cell r="E772">
            <v>160564.62</v>
          </cell>
          <cell r="F772">
            <v>-160564.62</v>
          </cell>
        </row>
        <row r="773">
          <cell r="A773" t="str">
            <v>41400000-50020000-00010000</v>
          </cell>
          <cell r="B773" t="str">
            <v>PERMATONE-PASTAS INTERIORES</v>
          </cell>
          <cell r="C773">
            <v>0</v>
          </cell>
          <cell r="D773">
            <v>0</v>
          </cell>
          <cell r="E773">
            <v>34532.129999999997</v>
          </cell>
          <cell r="F773">
            <v>-34532.129999999997</v>
          </cell>
        </row>
        <row r="774">
          <cell r="A774" t="str">
            <v>41400000-50020000-00020000</v>
          </cell>
          <cell r="B774" t="str">
            <v>EXTERIORES</v>
          </cell>
          <cell r="C774">
            <v>0</v>
          </cell>
          <cell r="D774">
            <v>0</v>
          </cell>
          <cell r="E774">
            <v>10080</v>
          </cell>
          <cell r="F774">
            <v>-10080</v>
          </cell>
        </row>
        <row r="775">
          <cell r="A775" t="str">
            <v>41400000-50020000-00030000</v>
          </cell>
          <cell r="B775" t="str">
            <v>PINTURAS</v>
          </cell>
          <cell r="C775">
            <v>0</v>
          </cell>
          <cell r="D775">
            <v>0</v>
          </cell>
          <cell r="E775">
            <v>94948.25</v>
          </cell>
          <cell r="F775">
            <v>-94948.25</v>
          </cell>
        </row>
        <row r="776">
          <cell r="A776" t="str">
            <v>41400000-50020000-00040000</v>
          </cell>
          <cell r="B776" t="str">
            <v>COMPLEMENTOS</v>
          </cell>
          <cell r="C776">
            <v>0</v>
          </cell>
          <cell r="D776">
            <v>0</v>
          </cell>
          <cell r="E776">
            <v>21004.240000000002</v>
          </cell>
          <cell r="F776">
            <v>-21004.240000000002</v>
          </cell>
        </row>
        <row r="777">
          <cell r="A777" t="str">
            <v>42000000-00000000-00000000</v>
          </cell>
          <cell r="B777" t="str">
            <v>DES DEV Y BON TOTALES NAL/EXP</v>
          </cell>
          <cell r="C777">
            <v>0</v>
          </cell>
          <cell r="D777">
            <v>58590.05</v>
          </cell>
          <cell r="E777">
            <v>0</v>
          </cell>
          <cell r="F777">
            <v>58590.05</v>
          </cell>
        </row>
        <row r="780">
          <cell r="A780" t="str">
            <v>42000000-00000000-00000000</v>
          </cell>
          <cell r="B780" t="str">
            <v>DES DEV Y BON TOTALES NAL/EXP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</row>
        <row r="781">
          <cell r="F781">
            <v>0</v>
          </cell>
        </row>
        <row r="782">
          <cell r="A782" t="str">
            <v>42000000-00000000-00000000</v>
          </cell>
          <cell r="B782" t="str">
            <v>DES DEV Y BON TOTALES NAL/EXP</v>
          </cell>
          <cell r="C782">
            <v>0</v>
          </cell>
          <cell r="D782">
            <v>0</v>
          </cell>
          <cell r="E782">
            <v>0</v>
          </cell>
        </row>
        <row r="783">
          <cell r="A783" t="str">
            <v>42000000-00000000-00000000</v>
          </cell>
          <cell r="B783" t="str">
            <v>DES DEV Y BON TOTALES NAL/EXP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</row>
        <row r="784">
          <cell r="A784" t="str">
            <v>42100000-00000000-00000000</v>
          </cell>
          <cell r="B784" t="str">
            <v>DESCTS DEV Y BONIF NAL GRAVADA</v>
          </cell>
          <cell r="C784">
            <v>0</v>
          </cell>
          <cell r="D784">
            <v>1976.84</v>
          </cell>
          <cell r="E784">
            <v>0</v>
          </cell>
          <cell r="F784">
            <v>1976.84</v>
          </cell>
        </row>
        <row r="785">
          <cell r="F785">
            <v>1976.84</v>
          </cell>
        </row>
        <row r="786">
          <cell r="A786" t="str">
            <v>42100000-00000000-00000000</v>
          </cell>
          <cell r="B786" t="str">
            <v>DESCTS DEV Y BONIF NAL GRAVADA</v>
          </cell>
          <cell r="C786">
            <v>0</v>
          </cell>
          <cell r="D786">
            <v>0</v>
          </cell>
          <cell r="E786">
            <v>0</v>
          </cell>
        </row>
        <row r="787">
          <cell r="A787" t="str">
            <v>42100000-00000000-00000000</v>
          </cell>
          <cell r="B787" t="str">
            <v>DESCTS DEV Y BONIF NAL GRAVADA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</row>
        <row r="788">
          <cell r="A788" t="str">
            <v>42100000-50000000-00000000</v>
          </cell>
          <cell r="B788" t="str">
            <v>DESCTS DEV Y BONIF NAL GRAVADA</v>
          </cell>
          <cell r="C788">
            <v>0</v>
          </cell>
          <cell r="D788">
            <v>1976.84</v>
          </cell>
          <cell r="E788">
            <v>0</v>
          </cell>
        </row>
        <row r="789">
          <cell r="A789" t="str">
            <v>42100000-50000000-00000000</v>
          </cell>
          <cell r="B789" t="str">
            <v>DESCTS DEV Y BONIF NAL GRAVADA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</row>
        <row r="790">
          <cell r="A790" t="str">
            <v>42100000-50001000-00000000</v>
          </cell>
          <cell r="B790" t="str">
            <v>DESCTS DEV Y BONIF PLANTA</v>
          </cell>
          <cell r="C790">
            <v>0</v>
          </cell>
          <cell r="D790">
            <v>1976.84</v>
          </cell>
          <cell r="E790">
            <v>0</v>
          </cell>
          <cell r="F790">
            <v>1976.84</v>
          </cell>
        </row>
        <row r="791">
          <cell r="A791" t="str">
            <v>42100000-50001000-00010000</v>
          </cell>
          <cell r="B791" t="str">
            <v>PERMATONE - PASTAS INT</v>
          </cell>
          <cell r="C791">
            <v>0</v>
          </cell>
          <cell r="D791">
            <v>561.66</v>
          </cell>
          <cell r="E791">
            <v>0</v>
          </cell>
          <cell r="F791">
            <v>561.66</v>
          </cell>
        </row>
        <row r="792">
          <cell r="A792" t="str">
            <v>42100000-50001000-00020000</v>
          </cell>
          <cell r="B792" t="str">
            <v>EXTERIORES</v>
          </cell>
          <cell r="C792">
            <v>0</v>
          </cell>
          <cell r="D792">
            <v>955.7</v>
          </cell>
          <cell r="E792">
            <v>0</v>
          </cell>
          <cell r="F792">
            <v>955.7</v>
          </cell>
        </row>
        <row r="793">
          <cell r="A793" t="str">
            <v>42100000-50001000-00140000</v>
          </cell>
          <cell r="B793" t="str">
            <v>OTROS</v>
          </cell>
          <cell r="C793">
            <v>0</v>
          </cell>
          <cell r="D793">
            <v>459.48</v>
          </cell>
          <cell r="E793">
            <v>0</v>
          </cell>
          <cell r="F793">
            <v>459.48</v>
          </cell>
        </row>
        <row r="794">
          <cell r="A794" t="str">
            <v>42100000-50002000-00000000</v>
          </cell>
          <cell r="B794" t="str">
            <v>DESCTS DEV Y BONIF PR1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</row>
        <row r="795">
          <cell r="A795" t="str">
            <v>42100000-50003000-00000000</v>
          </cell>
          <cell r="B795" t="str">
            <v>DESCTS DEV Y BONIF AGRICULTURA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</row>
        <row r="796">
          <cell r="A796" t="str">
            <v>42100000-50004000-00000000</v>
          </cell>
          <cell r="B796" t="str">
            <v>DESCTS DEV Y BONIF DIV NORTE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</row>
        <row r="797">
          <cell r="A797" t="str">
            <v>42100000-50005000-00000000</v>
          </cell>
          <cell r="B797" t="str">
            <v>DESCTS DEV Y BONIF GUADALAJARA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</row>
        <row r="798">
          <cell r="A798" t="str">
            <v>42100000-50006000-00000000</v>
          </cell>
          <cell r="B798" t="str">
            <v>DESCTS DEV Y BONIF SALD Y DEV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</row>
        <row r="799">
          <cell r="A799" t="str">
            <v>42100000-50007000-00000000</v>
          </cell>
          <cell r="B799" t="str">
            <v>DESCTS DEV Y BONIF CUARENTENA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</row>
        <row r="800">
          <cell r="A800" t="str">
            <v>42100000-50008000-00000000</v>
          </cell>
          <cell r="B800" t="str">
            <v>DESCTS DEV Y BONIF BODEGON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</row>
        <row r="801">
          <cell r="A801" t="str">
            <v>42100000-50009000-00000000</v>
          </cell>
          <cell r="B801" t="str">
            <v>DESCTS DEV Y BONIF OFNAS COMER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</row>
        <row r="802">
          <cell r="A802" t="str">
            <v>42100000-50016000-00000000</v>
          </cell>
          <cell r="B802" t="str">
            <v>DESCTS DEV BONIF NAC GVDA ACOX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</row>
        <row r="803">
          <cell r="A803" t="str">
            <v>42100000-50017000-00000000</v>
          </cell>
          <cell r="B803" t="str">
            <v>DECTS DEV BONIF NAC GVDA REFOR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</row>
        <row r="804">
          <cell r="A804" t="str">
            <v>42100000-50018000-00000000</v>
          </cell>
          <cell r="B804" t="str">
            <v>DESCTS DEV Y BON NAC GVDA PORT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</row>
        <row r="805">
          <cell r="A805" t="str">
            <v>42100000-50019000-00000000</v>
          </cell>
          <cell r="B805" t="str">
            <v>DESCTS DEV Y BON NAC GVDA IZTA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</row>
        <row r="806">
          <cell r="A806" t="str">
            <v>42100000-50020000-00000000</v>
          </cell>
          <cell r="B806" t="str">
            <v>DESCTS DEV BON NAC GVA CANCUN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</row>
        <row r="807">
          <cell r="A807" t="str">
            <v>42100000-50021000-00000000</v>
          </cell>
          <cell r="B807" t="str">
            <v>DESCTS DEV BON NAC GVA CUAJIMA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</row>
        <row r="808">
          <cell r="A808" t="str">
            <v>42100000-50022000-00000000</v>
          </cell>
          <cell r="B808" t="str">
            <v>DESCTS DEV BON NAC GVA ECATEPE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</row>
        <row r="809">
          <cell r="A809" t="str">
            <v>42100000-50023000-00000000</v>
          </cell>
          <cell r="B809" t="str">
            <v>DESCTS DEV Y BONIF COACALCO 1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</row>
        <row r="810">
          <cell r="A810" t="str">
            <v>42100000-50024000-00000000</v>
          </cell>
          <cell r="B810" t="str">
            <v>DESCTS DEV Y BONIF COACALCO 2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</row>
        <row r="811">
          <cell r="A811" t="str">
            <v>42200000-00000000-00000000</v>
          </cell>
          <cell r="B811" t="str">
            <v>DESCTS DEV Y BONIF EXENTAS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</row>
        <row r="812">
          <cell r="F812">
            <v>0</v>
          </cell>
        </row>
        <row r="813">
          <cell r="A813" t="str">
            <v>42200000-00000000-00000000</v>
          </cell>
          <cell r="B813" t="str">
            <v>DESCTS DEV Y BONIF EXENTAS</v>
          </cell>
          <cell r="C813">
            <v>0</v>
          </cell>
          <cell r="D813">
            <v>0</v>
          </cell>
          <cell r="E813">
            <v>0</v>
          </cell>
        </row>
        <row r="814">
          <cell r="A814" t="str">
            <v>42200000-00000000-00000000</v>
          </cell>
          <cell r="B814" t="str">
            <v>DESCTS DEV Y BONIF EXENTAS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</row>
        <row r="815">
          <cell r="A815" t="str">
            <v>42200000-50000000-00000000</v>
          </cell>
          <cell r="B815" t="str">
            <v>DESCTS DEV Y BONIF EXENTAS</v>
          </cell>
          <cell r="C815">
            <v>0</v>
          </cell>
          <cell r="D815">
            <v>0</v>
          </cell>
          <cell r="E815">
            <v>0</v>
          </cell>
        </row>
        <row r="816">
          <cell r="A816" t="str">
            <v>42200000-50000000-00000000</v>
          </cell>
          <cell r="B816" t="str">
            <v>DESCTS DEV Y BONIF EXENTAS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</row>
        <row r="817">
          <cell r="A817" t="str">
            <v>42200000-50001000-00000000</v>
          </cell>
          <cell r="B817" t="str">
            <v>DESCTS DEV Y BONIF EXT PLANTA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</row>
        <row r="818">
          <cell r="A818" t="str">
            <v>42200000-50002000-00000000</v>
          </cell>
          <cell r="B818" t="str">
            <v>DESCTS DEV Y BONIF EXT PR1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</row>
        <row r="819">
          <cell r="A819" t="str">
            <v>42200000-50003000-00000000</v>
          </cell>
          <cell r="B819" t="str">
            <v>DESCTS DEV Y BONIF EXT AGRICUL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</row>
        <row r="820">
          <cell r="A820" t="str">
            <v>42200000-50004000-00000000</v>
          </cell>
          <cell r="B820" t="str">
            <v>DESCTS DEV Y BONIF EXT DIV NTE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</row>
        <row r="821">
          <cell r="A821" t="str">
            <v>42200000-50005000-00000000</v>
          </cell>
          <cell r="B821" t="str">
            <v>DESCTS DEV Y BONIF EXT GUADALA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</row>
        <row r="822">
          <cell r="A822" t="str">
            <v>42200000-50006000-00000000</v>
          </cell>
          <cell r="B822" t="str">
            <v>DESCTS DEV Y BONIF EXT SAL DEV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</row>
        <row r="823">
          <cell r="A823" t="str">
            <v>42200000-50007000-00000000</v>
          </cell>
          <cell r="B823" t="str">
            <v>DESCTS DEV Y BONIF EXT CUARENT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</row>
        <row r="824">
          <cell r="A824" t="str">
            <v>42200000-50008000-00000000</v>
          </cell>
          <cell r="B824" t="str">
            <v>DESCTS DEV Y BONIF EXT BODEGON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</row>
        <row r="825">
          <cell r="A825" t="str">
            <v>42200000-50009000-00000000</v>
          </cell>
          <cell r="B825" t="str">
            <v>DESCTS DEV Y BONIF EXT OF COME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</row>
        <row r="826">
          <cell r="A826" t="str">
            <v>42200000-50016000-00000000</v>
          </cell>
          <cell r="B826" t="str">
            <v>DESCTS DEV Y BON NAC EXE ACOXP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</row>
        <row r="827">
          <cell r="A827" t="str">
            <v>42200000-50017000-00000000</v>
          </cell>
          <cell r="B827" t="str">
            <v>DESCTS DEV BONIF NAC EXEN REFO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</row>
        <row r="828">
          <cell r="A828" t="str">
            <v>42200000-50018000-00000000</v>
          </cell>
          <cell r="B828" t="str">
            <v>DESCTS DEV Y BONIF NAC EX PORT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</row>
        <row r="829">
          <cell r="A829" t="str">
            <v>42200000-50019000-00000000</v>
          </cell>
          <cell r="B829" t="str">
            <v>DESCTS DEV Y BONIF NAC EX IZTA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</row>
        <row r="830">
          <cell r="A830" t="str">
            <v>42200000-50020000-00000000</v>
          </cell>
          <cell r="B830" t="str">
            <v>DESCTS DEV BON NAC EXEN CANCUN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</row>
        <row r="831">
          <cell r="A831" t="str">
            <v>42300000-00000000-00000000</v>
          </cell>
          <cell r="B831" t="str">
            <v>DESCTS DEV Y BONIF EXPORTACION</v>
          </cell>
          <cell r="C831">
            <v>0</v>
          </cell>
          <cell r="D831">
            <v>56613.21</v>
          </cell>
          <cell r="E831">
            <v>0</v>
          </cell>
          <cell r="F831">
            <v>56613.21</v>
          </cell>
        </row>
        <row r="832">
          <cell r="F832">
            <v>56613.21</v>
          </cell>
        </row>
        <row r="833">
          <cell r="A833" t="str">
            <v>42300000-00000000-00000000</v>
          </cell>
          <cell r="B833" t="str">
            <v>DESCTS DEV Y BONIF EXPORTACION</v>
          </cell>
          <cell r="C833">
            <v>0</v>
          </cell>
          <cell r="D833">
            <v>0</v>
          </cell>
          <cell r="E833">
            <v>0</v>
          </cell>
        </row>
        <row r="834">
          <cell r="A834" t="str">
            <v>42300000-00000000-00000000</v>
          </cell>
          <cell r="B834" t="str">
            <v>DESCTS DEV Y BONIF EXPORTACION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</row>
        <row r="835">
          <cell r="A835" t="str">
            <v>42300000-50000000-00000000</v>
          </cell>
          <cell r="B835" t="str">
            <v>DESCTS DEV Y BONIF EXPORTACION</v>
          </cell>
          <cell r="C835">
            <v>0</v>
          </cell>
          <cell r="D835">
            <v>56613.21</v>
          </cell>
          <cell r="E835">
            <v>0</v>
          </cell>
        </row>
        <row r="836">
          <cell r="A836" t="str">
            <v>42300000-50000000-00000000</v>
          </cell>
          <cell r="B836" t="str">
            <v>DESCTS DEV Y BONIF EXPORTACION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</row>
        <row r="837">
          <cell r="A837" t="str">
            <v>42300000-50001000-00000000</v>
          </cell>
          <cell r="B837" t="str">
            <v>DESCTS DEV Y BONIF EXPORTACION</v>
          </cell>
          <cell r="C837">
            <v>0</v>
          </cell>
          <cell r="D837">
            <v>56613.21</v>
          </cell>
          <cell r="E837">
            <v>0</v>
          </cell>
          <cell r="F837">
            <v>56613.21</v>
          </cell>
        </row>
        <row r="838">
          <cell r="A838" t="str">
            <v>42300000-50001000-00510000</v>
          </cell>
          <cell r="B838" t="str">
            <v>BONIFICACIONES POR VOLUMEN</v>
          </cell>
          <cell r="C838">
            <v>0</v>
          </cell>
          <cell r="D838">
            <v>56613.21</v>
          </cell>
          <cell r="E838">
            <v>0</v>
          </cell>
          <cell r="F838">
            <v>56613.21</v>
          </cell>
        </row>
        <row r="839">
          <cell r="A839" t="str">
            <v>42400000-00000000-00000000</v>
          </cell>
          <cell r="B839" t="str">
            <v>DESCTS DEV BON NAC GVDA 10%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</row>
        <row r="840">
          <cell r="F840">
            <v>0</v>
          </cell>
        </row>
        <row r="841">
          <cell r="A841" t="str">
            <v>42400000-00000000-00000000</v>
          </cell>
          <cell r="B841" t="str">
            <v>DESCTS DEV BON NAC GVDA 10%</v>
          </cell>
          <cell r="C841">
            <v>0</v>
          </cell>
          <cell r="D841">
            <v>0</v>
          </cell>
          <cell r="E841">
            <v>0</v>
          </cell>
        </row>
        <row r="842">
          <cell r="A842" t="str">
            <v>42400000-00000000-00000000</v>
          </cell>
          <cell r="B842" t="str">
            <v>DESCTS DEV BON NAC GVDA 10%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</row>
        <row r="843">
          <cell r="A843" t="str">
            <v>42400000-50000000-00000000</v>
          </cell>
          <cell r="B843" t="str">
            <v>DESCTS DEV BON NAC GVA 10% PT</v>
          </cell>
          <cell r="C843">
            <v>0</v>
          </cell>
          <cell r="D843">
            <v>0</v>
          </cell>
          <cell r="E843">
            <v>0</v>
          </cell>
        </row>
        <row r="844">
          <cell r="A844" t="str">
            <v>42400000-50020000-00000000</v>
          </cell>
          <cell r="B844" t="str">
            <v>DESCTS DEV BON NAC GVA 10% CAN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</row>
        <row r="845">
          <cell r="A845" t="str">
            <v>45000000-00000000-00000000</v>
          </cell>
          <cell r="B845" t="str">
            <v>VTAS NETAS NAC/EXP BASE I.V.A</v>
          </cell>
          <cell r="C845">
            <v>0</v>
          </cell>
          <cell r="D845">
            <v>8782015.5299999993</v>
          </cell>
          <cell r="E845">
            <v>8782015.5299999993</v>
          </cell>
          <cell r="F845">
            <v>0</v>
          </cell>
        </row>
        <row r="848">
          <cell r="A848" t="str">
            <v>45100000-00000000-00000000</v>
          </cell>
          <cell r="B848" t="str">
            <v>VTAS NETAS NAC/EXP BASE I.V.A</v>
          </cell>
          <cell r="C848">
            <v>0</v>
          </cell>
          <cell r="D848">
            <v>8782015.5299999993</v>
          </cell>
          <cell r="E848">
            <v>8782015.5299999993</v>
          </cell>
          <cell r="F848">
            <v>0</v>
          </cell>
        </row>
        <row r="849">
          <cell r="F849">
            <v>0</v>
          </cell>
        </row>
        <row r="850">
          <cell r="A850" t="str">
            <v>45100000-89000000-00000000</v>
          </cell>
          <cell r="B850" t="str">
            <v>VTAS NETAS NAC/EXP BASE I.V.A</v>
          </cell>
          <cell r="C850">
            <v>0</v>
          </cell>
          <cell r="D850">
            <v>8782015.5299999993</v>
          </cell>
          <cell r="E850">
            <v>8782015.5299999993</v>
          </cell>
        </row>
        <row r="851">
          <cell r="A851" t="str">
            <v>45100000-89001000-00000000</v>
          </cell>
          <cell r="B851" t="str">
            <v>VTAS NETAS NAC GRAV BASE I.V.A</v>
          </cell>
          <cell r="C851">
            <v>0</v>
          </cell>
          <cell r="D851">
            <v>800422.77</v>
          </cell>
          <cell r="E851">
            <v>800422.77</v>
          </cell>
          <cell r="F851">
            <v>0</v>
          </cell>
        </row>
        <row r="852">
          <cell r="A852" t="str">
            <v>45100000-89001000-00010000</v>
          </cell>
          <cell r="B852" t="str">
            <v>VTAS NETAS NAC GRAVADAS 15%</v>
          </cell>
          <cell r="C852">
            <v>0</v>
          </cell>
          <cell r="D852">
            <v>800422.77</v>
          </cell>
          <cell r="E852">
            <v>0</v>
          </cell>
          <cell r="F852">
            <v>800422.77</v>
          </cell>
        </row>
        <row r="853">
          <cell r="A853" t="str">
            <v>45100000-89001000-00020000</v>
          </cell>
          <cell r="B853" t="str">
            <v>VTAS NETAS NAC GRAVADAS 15% AP</v>
          </cell>
          <cell r="C853">
            <v>0</v>
          </cell>
          <cell r="D853">
            <v>0</v>
          </cell>
          <cell r="E853">
            <v>800422.77</v>
          </cell>
          <cell r="F853">
            <v>-800422.77</v>
          </cell>
        </row>
        <row r="854">
          <cell r="A854" t="str">
            <v>45100000-89002000-00000000</v>
          </cell>
          <cell r="B854" t="str">
            <v>VTAS NETAS NAC EXEN BASE IVA</v>
          </cell>
          <cell r="C854">
            <v>0</v>
          </cell>
          <cell r="D854">
            <v>17639.169999999998</v>
          </cell>
          <cell r="E854">
            <v>17639.169999999998</v>
          </cell>
          <cell r="F854">
            <v>0</v>
          </cell>
        </row>
        <row r="855">
          <cell r="A855" t="str">
            <v>45100000-89002000-00010000</v>
          </cell>
          <cell r="B855" t="str">
            <v>VTAS NETAS NAC EXENTAS</v>
          </cell>
          <cell r="C855">
            <v>0</v>
          </cell>
          <cell r="D855">
            <v>17639.169999999998</v>
          </cell>
          <cell r="E855">
            <v>0</v>
          </cell>
          <cell r="F855">
            <v>17639.169999999998</v>
          </cell>
        </row>
        <row r="856">
          <cell r="A856" t="str">
            <v>45100000-89002000-00020000</v>
          </cell>
          <cell r="B856" t="str">
            <v>VTAS NETAS NAC EXENTAS APLIC</v>
          </cell>
          <cell r="C856">
            <v>0</v>
          </cell>
          <cell r="D856">
            <v>0</v>
          </cell>
          <cell r="E856">
            <v>17639.169999999998</v>
          </cell>
          <cell r="F856">
            <v>-17639.169999999998</v>
          </cell>
        </row>
        <row r="857">
          <cell r="A857" t="str">
            <v>45100000-89003000-00000000</v>
          </cell>
          <cell r="B857" t="str">
            <v>VTAS NETAS EXP BASE IVA</v>
          </cell>
          <cell r="C857">
            <v>0</v>
          </cell>
          <cell r="D857">
            <v>1110390.6100000001</v>
          </cell>
          <cell r="E857">
            <v>1110390.6100000001</v>
          </cell>
          <cell r="F857">
            <v>0</v>
          </cell>
        </row>
        <row r="858">
          <cell r="A858" t="str">
            <v>45100000-89003000-00010000</v>
          </cell>
          <cell r="B858" t="str">
            <v>VTAS NETAS EXPORTACION</v>
          </cell>
          <cell r="C858">
            <v>0</v>
          </cell>
          <cell r="D858">
            <v>1110390.6100000001</v>
          </cell>
          <cell r="E858">
            <v>0</v>
          </cell>
          <cell r="F858">
            <v>1110390.6100000001</v>
          </cell>
        </row>
        <row r="859">
          <cell r="A859" t="str">
            <v>45100000-89003000-00020000</v>
          </cell>
          <cell r="B859" t="str">
            <v>VTAS NETAS EXPORTACION APLIC</v>
          </cell>
          <cell r="C859">
            <v>0</v>
          </cell>
          <cell r="D859">
            <v>0</v>
          </cell>
          <cell r="E859">
            <v>1110390.6100000001</v>
          </cell>
          <cell r="F859">
            <v>-1110390.6100000001</v>
          </cell>
        </row>
        <row r="860">
          <cell r="A860" t="str">
            <v>45100000-89004000-00000000</v>
          </cell>
          <cell r="B860" t="str">
            <v>VTAS NETAS NAC GRAV 10% BASE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</row>
        <row r="861">
          <cell r="A861" t="str">
            <v>45100000-89005000-00000000</v>
          </cell>
          <cell r="B861" t="str">
            <v>VTAS NETAS NAC GRAV 16% BASE</v>
          </cell>
          <cell r="C861">
            <v>0</v>
          </cell>
          <cell r="D861">
            <v>6798936.9900000002</v>
          </cell>
          <cell r="E861">
            <v>6798936.9900000002</v>
          </cell>
          <cell r="F861">
            <v>0</v>
          </cell>
        </row>
        <row r="862">
          <cell r="A862" t="str">
            <v>45100000-89005000-00010000</v>
          </cell>
          <cell r="B862" t="str">
            <v>VTAS NETAS NAC GRAVADAS 16%</v>
          </cell>
          <cell r="C862">
            <v>0</v>
          </cell>
          <cell r="D862">
            <v>6798936.9900000002</v>
          </cell>
          <cell r="E862">
            <v>0</v>
          </cell>
          <cell r="F862">
            <v>6798936.9900000002</v>
          </cell>
        </row>
        <row r="863">
          <cell r="A863" t="str">
            <v>45100000-89005000-00020000</v>
          </cell>
          <cell r="B863" t="str">
            <v>VTAS NETAS NAC GRAVADAS 16% AP</v>
          </cell>
          <cell r="C863">
            <v>0</v>
          </cell>
          <cell r="D863">
            <v>0</v>
          </cell>
          <cell r="E863">
            <v>6798936.9900000002</v>
          </cell>
          <cell r="F863">
            <v>-6798936.9900000002</v>
          </cell>
        </row>
        <row r="864">
          <cell r="A864" t="str">
            <v>45100000-89006000-00000000</v>
          </cell>
          <cell r="B864" t="str">
            <v>VTAS NETAS NAC GRAV 11% BASE</v>
          </cell>
          <cell r="C864">
            <v>0</v>
          </cell>
          <cell r="D864">
            <v>54625.99</v>
          </cell>
          <cell r="E864">
            <v>54625.99</v>
          </cell>
          <cell r="F864">
            <v>0</v>
          </cell>
        </row>
        <row r="865">
          <cell r="A865" t="str">
            <v>45100000-89006000-00010000</v>
          </cell>
          <cell r="B865" t="str">
            <v>VTAS NETAS NAC GRAVADAS 11%</v>
          </cell>
          <cell r="C865">
            <v>0</v>
          </cell>
          <cell r="D865">
            <v>54625.99</v>
          </cell>
          <cell r="E865">
            <v>0</v>
          </cell>
          <cell r="F865">
            <v>54625.99</v>
          </cell>
        </row>
        <row r="866">
          <cell r="A866" t="str">
            <v>45100000-89006000-00020000</v>
          </cell>
          <cell r="B866" t="str">
            <v>VTAS NETAS NAC GRAVADAS 11% AP</v>
          </cell>
          <cell r="C866">
            <v>0</v>
          </cell>
          <cell r="D866">
            <v>0</v>
          </cell>
          <cell r="E866">
            <v>54625.99</v>
          </cell>
          <cell r="F866">
            <v>-54625.99</v>
          </cell>
        </row>
        <row r="867">
          <cell r="A867" t="str">
            <v>60000000-00000000-00000000</v>
          </cell>
          <cell r="C867">
            <v>0</v>
          </cell>
          <cell r="D867">
            <v>8873879.2899999991</v>
          </cell>
          <cell r="E867">
            <v>5106743.72</v>
          </cell>
          <cell r="F867">
            <v>3767135.57</v>
          </cell>
        </row>
        <row r="868">
          <cell r="B868" t="str">
            <v>COSTOS DE VENTAS</v>
          </cell>
        </row>
        <row r="875">
          <cell r="A875" t="str">
            <v>61000000-00000000-00000000</v>
          </cell>
          <cell r="B875" t="str">
            <v>COSTO DE FABRICACION</v>
          </cell>
          <cell r="C875">
            <v>0</v>
          </cell>
          <cell r="D875">
            <v>4557989.0599999996</v>
          </cell>
          <cell r="E875">
            <v>790853.49</v>
          </cell>
          <cell r="F875">
            <v>3767135.57</v>
          </cell>
        </row>
        <row r="878">
          <cell r="A878" t="str">
            <v>61100000-00000000-00000000</v>
          </cell>
          <cell r="B878" t="str">
            <v>COSTO DE FABRICACION</v>
          </cell>
          <cell r="C878">
            <v>0</v>
          </cell>
          <cell r="D878">
            <v>4557989.0599999996</v>
          </cell>
          <cell r="E878">
            <v>790853.49</v>
          </cell>
          <cell r="F878">
            <v>3767135.57</v>
          </cell>
        </row>
        <row r="879">
          <cell r="F879">
            <v>3767135.57</v>
          </cell>
        </row>
        <row r="880">
          <cell r="A880" t="str">
            <v>61100000-50000000-00000000</v>
          </cell>
          <cell r="B880" t="str">
            <v>COSTO DE FABRICA PRODUCTO TERM</v>
          </cell>
          <cell r="C880">
            <v>0</v>
          </cell>
          <cell r="D880">
            <v>4557989.0599999996</v>
          </cell>
          <cell r="E880">
            <v>790853.49</v>
          </cell>
        </row>
        <row r="881">
          <cell r="A881" t="str">
            <v>61100000-50001000-00000000</v>
          </cell>
          <cell r="B881" t="str">
            <v>C.F.P.T. PLANTA</v>
          </cell>
          <cell r="C881">
            <v>0</v>
          </cell>
          <cell r="D881">
            <v>4410882.72</v>
          </cell>
          <cell r="E881">
            <v>151034.23999999999</v>
          </cell>
          <cell r="F881">
            <v>4259848.4800000004</v>
          </cell>
        </row>
        <row r="882">
          <cell r="A882" t="str">
            <v>61100000-50001000-00010000</v>
          </cell>
          <cell r="B882" t="str">
            <v>PERMATONE - PASTAS INTERIORES</v>
          </cell>
          <cell r="C882">
            <v>0</v>
          </cell>
          <cell r="D882">
            <v>1575369.93</v>
          </cell>
          <cell r="E882">
            <v>22109.26</v>
          </cell>
          <cell r="F882">
            <v>1553260.67</v>
          </cell>
        </row>
        <row r="883">
          <cell r="A883" t="str">
            <v>61100000-50001000-00020000</v>
          </cell>
          <cell r="B883" t="str">
            <v>EXTERIORES</v>
          </cell>
          <cell r="C883">
            <v>0</v>
          </cell>
          <cell r="D883">
            <v>1250938.74</v>
          </cell>
          <cell r="E883">
            <v>124877.63</v>
          </cell>
          <cell r="F883">
            <v>1126061.1100000001</v>
          </cell>
        </row>
        <row r="884">
          <cell r="A884" t="str">
            <v>61100000-50001000-00030000</v>
          </cell>
          <cell r="B884" t="str">
            <v>PINTURAS</v>
          </cell>
          <cell r="C884">
            <v>0</v>
          </cell>
          <cell r="D884">
            <v>506497.21</v>
          </cell>
          <cell r="E884">
            <v>1760.31</v>
          </cell>
          <cell r="F884">
            <v>504736.9</v>
          </cell>
        </row>
        <row r="885">
          <cell r="A885" t="str">
            <v>61100000-50001000-00040000</v>
          </cell>
          <cell r="B885" t="str">
            <v>COMPLEMENTOS</v>
          </cell>
          <cell r="C885">
            <v>0</v>
          </cell>
          <cell r="D885">
            <v>741715.05</v>
          </cell>
          <cell r="E885">
            <v>1036.47</v>
          </cell>
          <cell r="F885">
            <v>740678.58</v>
          </cell>
        </row>
        <row r="886">
          <cell r="A886" t="str">
            <v>61100000-50001000-00050000</v>
          </cell>
          <cell r="B886" t="str">
            <v>IMPERMEABILIZANTES</v>
          </cell>
          <cell r="C886">
            <v>0</v>
          </cell>
          <cell r="D886">
            <v>51851.62</v>
          </cell>
          <cell r="E886">
            <v>0</v>
          </cell>
          <cell r="F886">
            <v>51851.62</v>
          </cell>
        </row>
        <row r="887">
          <cell r="A887" t="str">
            <v>61100000-50001000-00060000</v>
          </cell>
          <cell r="B887" t="str">
            <v>SISTEMA - PRECOR</v>
          </cell>
          <cell r="C887">
            <v>0</v>
          </cell>
          <cell r="D887">
            <v>128981.96</v>
          </cell>
          <cell r="E887">
            <v>0</v>
          </cell>
          <cell r="F887">
            <v>128981.96</v>
          </cell>
        </row>
        <row r="888">
          <cell r="A888" t="str">
            <v>61100000-50001000-00110000</v>
          </cell>
          <cell r="B888" t="str">
            <v>HERRAMIENTAS</v>
          </cell>
          <cell r="C888">
            <v>0</v>
          </cell>
          <cell r="D888">
            <v>119559.23</v>
          </cell>
          <cell r="E888">
            <v>1250.57</v>
          </cell>
          <cell r="F888">
            <v>118308.66</v>
          </cell>
        </row>
        <row r="889">
          <cell r="A889" t="str">
            <v>61100000-50001000-00130000</v>
          </cell>
          <cell r="B889" t="str">
            <v>MAQUILAS</v>
          </cell>
          <cell r="C889">
            <v>0</v>
          </cell>
          <cell r="D889">
            <v>25393.360000000001</v>
          </cell>
          <cell r="E889">
            <v>0</v>
          </cell>
          <cell r="F889">
            <v>25393.360000000001</v>
          </cell>
        </row>
        <row r="890">
          <cell r="A890" t="str">
            <v>61100000-50001000-00140000</v>
          </cell>
          <cell r="B890" t="str">
            <v>OTROS</v>
          </cell>
          <cell r="C890">
            <v>0</v>
          </cell>
          <cell r="D890">
            <v>10575.62</v>
          </cell>
          <cell r="E890">
            <v>0</v>
          </cell>
          <cell r="F890">
            <v>10575.62</v>
          </cell>
        </row>
        <row r="891">
          <cell r="A891" t="str">
            <v>61100000-50002000-00000000</v>
          </cell>
          <cell r="B891" t="str">
            <v>C.F.P.T.PR1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</row>
        <row r="892">
          <cell r="A892" t="str">
            <v>61100000-50003000-00000000</v>
          </cell>
          <cell r="B892" t="str">
            <v>C.F.P.T.AGRICULTURA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</row>
        <row r="893">
          <cell r="A893" t="str">
            <v>61100000-50004000-00000000</v>
          </cell>
          <cell r="B893" t="str">
            <v>C.F.P.T.DIVISION DEL NORTE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</row>
        <row r="894">
          <cell r="A894" t="str">
            <v>61100000-50005000-00000000</v>
          </cell>
          <cell r="B894" t="str">
            <v>C.F.P.T.GUADALAJARA</v>
          </cell>
          <cell r="C894">
            <v>0</v>
          </cell>
          <cell r="D894">
            <v>0</v>
          </cell>
          <cell r="E894">
            <v>881.69</v>
          </cell>
          <cell r="F894">
            <v>-881.69</v>
          </cell>
        </row>
        <row r="895">
          <cell r="A895" t="str">
            <v>61100000-50005000-00030000</v>
          </cell>
          <cell r="B895" t="str">
            <v>PINTURAS</v>
          </cell>
          <cell r="C895">
            <v>0</v>
          </cell>
          <cell r="D895">
            <v>0</v>
          </cell>
          <cell r="E895">
            <v>732.4</v>
          </cell>
          <cell r="F895">
            <v>-732.4</v>
          </cell>
        </row>
        <row r="896">
          <cell r="A896" t="str">
            <v>61100000-50005000-00040000</v>
          </cell>
          <cell r="B896" t="str">
            <v>COMPLEMENTOS</v>
          </cell>
          <cell r="C896">
            <v>0</v>
          </cell>
          <cell r="D896">
            <v>0</v>
          </cell>
          <cell r="E896">
            <v>149.29</v>
          </cell>
          <cell r="F896">
            <v>-149.29</v>
          </cell>
        </row>
        <row r="897">
          <cell r="A897" t="str">
            <v>61100000-50006000-00000000</v>
          </cell>
          <cell r="B897" t="str">
            <v>C.F.P.T.SALDOS Y DEVOLUCIONES</v>
          </cell>
          <cell r="C897">
            <v>0</v>
          </cell>
          <cell r="D897">
            <v>1469.47</v>
          </cell>
          <cell r="E897">
            <v>0</v>
          </cell>
          <cell r="F897">
            <v>1469.47</v>
          </cell>
        </row>
        <row r="898">
          <cell r="A898" t="str">
            <v>61100000-50006000-00010000</v>
          </cell>
          <cell r="B898" t="str">
            <v>PERMATONE - PASTAS INTERIORES</v>
          </cell>
          <cell r="C898">
            <v>0</v>
          </cell>
          <cell r="D898">
            <v>585.25</v>
          </cell>
          <cell r="E898">
            <v>0</v>
          </cell>
          <cell r="F898">
            <v>585.25</v>
          </cell>
        </row>
        <row r="899">
          <cell r="A899" t="str">
            <v>61100000-50006000-00020000</v>
          </cell>
          <cell r="B899" t="str">
            <v>EXTERIORES</v>
          </cell>
          <cell r="C899">
            <v>0</v>
          </cell>
          <cell r="D899">
            <v>884.22</v>
          </cell>
          <cell r="E899">
            <v>0</v>
          </cell>
          <cell r="F899">
            <v>884.22</v>
          </cell>
        </row>
        <row r="900">
          <cell r="A900" t="str">
            <v>61100000-50007000-00000000</v>
          </cell>
          <cell r="B900" t="str">
            <v>C.F.P.T.CUARENTENA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</row>
        <row r="901">
          <cell r="A901" t="str">
            <v>61100000-50008000-00000000</v>
          </cell>
          <cell r="B901" t="str">
            <v>C.F.P.T.CONSIGNACION BODEGON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</row>
        <row r="902">
          <cell r="A902" t="str">
            <v>61100000-50009000-00000000</v>
          </cell>
          <cell r="B902" t="str">
            <v>C.F.P.T. OFICINAS COMERCIALES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</row>
        <row r="903">
          <cell r="A903" t="str">
            <v>61100000-50011000-00000000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</row>
        <row r="904">
          <cell r="A904" t="str">
            <v>61100000-50016000-00000000</v>
          </cell>
          <cell r="B904" t="str">
            <v>C.F.P.T. ACOXPA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</row>
        <row r="905">
          <cell r="A905" t="str">
            <v>61100000-50017000-00000000</v>
          </cell>
          <cell r="B905" t="str">
            <v>C.F.P.T. REFORMA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</row>
        <row r="906">
          <cell r="A906" t="str">
            <v>61100000-50018000-00000000</v>
          </cell>
          <cell r="B906" t="str">
            <v>C.F.P.T. PORTALES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</row>
        <row r="907">
          <cell r="A907" t="str">
            <v>61100000-50019000-00000000</v>
          </cell>
          <cell r="B907" t="str">
            <v>C.F.P.T. IZTAPALAPA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</row>
        <row r="908">
          <cell r="A908" t="str">
            <v>61100000-50020000-00000000</v>
          </cell>
          <cell r="B908" t="str">
            <v>C.F.P.T. CANCUN</v>
          </cell>
          <cell r="C908">
            <v>0</v>
          </cell>
          <cell r="D908">
            <v>72414.929999999993</v>
          </cell>
          <cell r="E908">
            <v>0.03</v>
          </cell>
          <cell r="F908">
            <v>72414.899999999994</v>
          </cell>
        </row>
        <row r="909">
          <cell r="A909" t="str">
            <v>61100000-50020000-00010000</v>
          </cell>
          <cell r="B909" t="str">
            <v>PERMATONE-PASTAS INTERIOES</v>
          </cell>
          <cell r="C909">
            <v>0</v>
          </cell>
          <cell r="D909">
            <v>14921.42</v>
          </cell>
          <cell r="E909">
            <v>0</v>
          </cell>
          <cell r="F909">
            <v>14921.42</v>
          </cell>
        </row>
        <row r="910">
          <cell r="A910" t="str">
            <v>61100000-50020000-00020000</v>
          </cell>
          <cell r="B910" t="str">
            <v>EXTERIORES</v>
          </cell>
          <cell r="C910">
            <v>0</v>
          </cell>
          <cell r="D910">
            <v>4803.97</v>
          </cell>
          <cell r="E910">
            <v>0</v>
          </cell>
          <cell r="F910">
            <v>4803.97</v>
          </cell>
        </row>
        <row r="911">
          <cell r="A911" t="str">
            <v>61100000-50020000-00030000</v>
          </cell>
          <cell r="B911" t="str">
            <v>PINTURAS</v>
          </cell>
          <cell r="C911">
            <v>0</v>
          </cell>
          <cell r="D911">
            <v>42976.67</v>
          </cell>
          <cell r="E911">
            <v>0</v>
          </cell>
          <cell r="F911">
            <v>42976.67</v>
          </cell>
        </row>
        <row r="912">
          <cell r="A912" t="str">
            <v>61100000-50020000-00040000</v>
          </cell>
          <cell r="B912" t="str">
            <v>COMPLEMENTOS</v>
          </cell>
          <cell r="C912">
            <v>0</v>
          </cell>
          <cell r="D912">
            <v>9712.8700000000008</v>
          </cell>
          <cell r="E912">
            <v>0.03</v>
          </cell>
          <cell r="F912">
            <v>9712.84</v>
          </cell>
        </row>
        <row r="913">
          <cell r="A913" t="str">
            <v>61100000-50021000-00000000</v>
          </cell>
          <cell r="B913" t="str">
            <v>C.F.P.T. CUAJIMALPA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</row>
        <row r="914">
          <cell r="A914" t="str">
            <v>61100000-50022000-00000000</v>
          </cell>
          <cell r="B914" t="str">
            <v>C.F.P.T. ECATEPEC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</row>
        <row r="915">
          <cell r="A915" t="str">
            <v>61100000-50023000-00000000</v>
          </cell>
          <cell r="B915" t="str">
            <v>C.F.P.T. COACALCO 1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</row>
        <row r="916">
          <cell r="A916" t="str">
            <v>61100000-50024000-00000000</v>
          </cell>
          <cell r="B916" t="str">
            <v>C.F.P.T. COACALCO 2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</row>
        <row r="917">
          <cell r="A917" t="str">
            <v>61100000-50025000-00000000</v>
          </cell>
          <cell r="B917" t="str">
            <v>C.F.P.T. PERINORTE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</row>
        <row r="918">
          <cell r="A918" t="str">
            <v>61100000-50099000-00000000</v>
          </cell>
          <cell r="B918" t="str">
            <v>APLIC GTS FABRICACION Y DEPREC</v>
          </cell>
          <cell r="C918">
            <v>0</v>
          </cell>
          <cell r="D918">
            <v>73221.94</v>
          </cell>
          <cell r="E918">
            <v>638937.53</v>
          </cell>
          <cell r="F918">
            <v>-565715.59</v>
          </cell>
        </row>
        <row r="919">
          <cell r="A919" t="str">
            <v>61100000-50099000-00010000</v>
          </cell>
          <cell r="B919" t="str">
            <v>M.O.D. APLICADA A P.F.</v>
          </cell>
          <cell r="C919">
            <v>0</v>
          </cell>
          <cell r="D919">
            <v>72593.59</v>
          </cell>
          <cell r="E919">
            <v>405681.47</v>
          </cell>
          <cell r="F919">
            <v>-333087.88</v>
          </cell>
        </row>
        <row r="920">
          <cell r="A920" t="str">
            <v>61100000-50099000-00020000</v>
          </cell>
          <cell r="B920" t="str">
            <v>G.F.D. APLICADOS A P.F.</v>
          </cell>
          <cell r="C920">
            <v>0</v>
          </cell>
          <cell r="D920">
            <v>570.28</v>
          </cell>
          <cell r="E920">
            <v>208857</v>
          </cell>
          <cell r="F920">
            <v>-208286.72</v>
          </cell>
        </row>
        <row r="921">
          <cell r="A921" t="str">
            <v>61100000-50099000-00030000</v>
          </cell>
          <cell r="B921" t="str">
            <v>DEPREC. APLICADA A P.F.</v>
          </cell>
          <cell r="C921">
            <v>0</v>
          </cell>
          <cell r="D921">
            <v>58.07</v>
          </cell>
          <cell r="E921">
            <v>24399.06</v>
          </cell>
          <cell r="F921">
            <v>-24340.99</v>
          </cell>
        </row>
        <row r="922">
          <cell r="A922" t="str">
            <v>65000000-00000000-00000000</v>
          </cell>
          <cell r="B922" t="str">
            <v>COMPRAS CONTROL DE INVENTARIOS</v>
          </cell>
          <cell r="C922">
            <v>0</v>
          </cell>
          <cell r="D922">
            <v>4315890.2300000004</v>
          </cell>
          <cell r="E922">
            <v>4315890.2300000004</v>
          </cell>
          <cell r="F922">
            <v>0</v>
          </cell>
        </row>
        <row r="925">
          <cell r="A925" t="str">
            <v>65100000-00000000-00000000</v>
          </cell>
          <cell r="B925" t="str">
            <v>COMPRAS CONTROL DE INVENTARIOS</v>
          </cell>
          <cell r="C925">
            <v>0</v>
          </cell>
          <cell r="D925">
            <v>4315890.2300000004</v>
          </cell>
          <cell r="E925">
            <v>4315890.2300000004</v>
          </cell>
          <cell r="F925">
            <v>0</v>
          </cell>
        </row>
        <row r="926">
          <cell r="F926">
            <v>0</v>
          </cell>
        </row>
        <row r="927">
          <cell r="A927" t="str">
            <v>65100000-00100000-00000000</v>
          </cell>
          <cell r="B927" t="str">
            <v>COMPRAS CONTROL DE INVENTARIOS</v>
          </cell>
          <cell r="C927">
            <v>0</v>
          </cell>
          <cell r="D927">
            <v>4315890.2300000004</v>
          </cell>
          <cell r="E927">
            <v>4315890.2300000004</v>
          </cell>
        </row>
        <row r="928">
          <cell r="A928" t="str">
            <v>65100000-00101000-00000000</v>
          </cell>
          <cell r="B928" t="str">
            <v>COMPRAS MP RESINAS</v>
          </cell>
          <cell r="C928">
            <v>0</v>
          </cell>
          <cell r="D928">
            <v>1311847.71</v>
          </cell>
          <cell r="E928">
            <v>1311847.71</v>
          </cell>
          <cell r="F928">
            <v>0</v>
          </cell>
        </row>
        <row r="929">
          <cell r="A929" t="str">
            <v>65100000-00101000-00010000</v>
          </cell>
          <cell r="B929" t="str">
            <v>COMPRAS MP RESINAS</v>
          </cell>
          <cell r="C929">
            <v>0</v>
          </cell>
          <cell r="D929">
            <v>1311847.71</v>
          </cell>
          <cell r="E929">
            <v>0</v>
          </cell>
          <cell r="F929">
            <v>1311847.71</v>
          </cell>
        </row>
        <row r="930">
          <cell r="A930" t="str">
            <v>65100000-00101000-00020000</v>
          </cell>
          <cell r="B930" t="str">
            <v>COMPRAS MP RESINAS APLICADAS</v>
          </cell>
          <cell r="C930">
            <v>0</v>
          </cell>
          <cell r="D930">
            <v>0</v>
          </cell>
          <cell r="E930">
            <v>1311847.71</v>
          </cell>
          <cell r="F930">
            <v>-1311847.71</v>
          </cell>
        </row>
        <row r="931">
          <cell r="A931" t="str">
            <v>65100000-00102000-00000000</v>
          </cell>
          <cell r="B931" t="str">
            <v>COMPRAS MP CARGAS</v>
          </cell>
          <cell r="C931">
            <v>0</v>
          </cell>
          <cell r="D931">
            <v>807036.8</v>
          </cell>
          <cell r="E931">
            <v>807036.8</v>
          </cell>
          <cell r="F931">
            <v>0</v>
          </cell>
        </row>
        <row r="932">
          <cell r="A932" t="str">
            <v>65100000-00102000-00010000</v>
          </cell>
          <cell r="B932" t="str">
            <v>COMPRAS MP CARGAS</v>
          </cell>
          <cell r="C932">
            <v>0</v>
          </cell>
          <cell r="D932">
            <v>807036.8</v>
          </cell>
          <cell r="E932">
            <v>0</v>
          </cell>
          <cell r="F932">
            <v>807036.8</v>
          </cell>
        </row>
        <row r="933">
          <cell r="A933" t="str">
            <v>65100000-00102000-00020000</v>
          </cell>
          <cell r="B933" t="str">
            <v>COMPRAS MP CARGAS APLICADAS</v>
          </cell>
          <cell r="C933">
            <v>0</v>
          </cell>
          <cell r="D933">
            <v>0</v>
          </cell>
          <cell r="E933">
            <v>807036.8</v>
          </cell>
          <cell r="F933">
            <v>-807036.8</v>
          </cell>
        </row>
        <row r="934">
          <cell r="A934" t="str">
            <v>65100000-00103000-00000000</v>
          </cell>
          <cell r="B934" t="str">
            <v>COMPRAS MP PIGMENTOS</v>
          </cell>
          <cell r="C934">
            <v>0</v>
          </cell>
          <cell r="D934">
            <v>431119.55</v>
          </cell>
          <cell r="E934">
            <v>431119.55</v>
          </cell>
          <cell r="F934">
            <v>0</v>
          </cell>
        </row>
        <row r="935">
          <cell r="A935" t="str">
            <v>65100000-00103000-00010000</v>
          </cell>
          <cell r="B935" t="str">
            <v>COMPRAS MP PIGMENTOS</v>
          </cell>
          <cell r="C935">
            <v>0</v>
          </cell>
          <cell r="D935">
            <v>431119.55</v>
          </cell>
          <cell r="E935">
            <v>0</v>
          </cell>
          <cell r="F935">
            <v>431119.55</v>
          </cell>
        </row>
        <row r="936">
          <cell r="A936" t="str">
            <v>65100000-00103000-00020000</v>
          </cell>
          <cell r="B936" t="str">
            <v>COMPRAS MP PIGMENTOS APLICADAS</v>
          </cell>
          <cell r="C936">
            <v>0</v>
          </cell>
          <cell r="D936">
            <v>0</v>
          </cell>
          <cell r="E936">
            <v>431119.55</v>
          </cell>
          <cell r="F936">
            <v>-431119.55</v>
          </cell>
        </row>
        <row r="937">
          <cell r="A937" t="str">
            <v>65100000-00104000-00000000</v>
          </cell>
          <cell r="B937" t="str">
            <v>COMPRAS MP QUIMICOS</v>
          </cell>
          <cell r="C937">
            <v>0</v>
          </cell>
          <cell r="D937">
            <v>877956.82</v>
          </cell>
          <cell r="E937">
            <v>877956.82</v>
          </cell>
          <cell r="F937">
            <v>0</v>
          </cell>
        </row>
        <row r="938">
          <cell r="A938" t="str">
            <v>65100000-00104000-00010000</v>
          </cell>
          <cell r="B938" t="str">
            <v>COMPRAS MP QUIMICOS</v>
          </cell>
          <cell r="C938">
            <v>0</v>
          </cell>
          <cell r="D938">
            <v>877956.82</v>
          </cell>
          <cell r="E938">
            <v>0</v>
          </cell>
          <cell r="F938">
            <v>877956.82</v>
          </cell>
        </row>
        <row r="939">
          <cell r="A939" t="str">
            <v>65100000-00104000-00020000</v>
          </cell>
          <cell r="B939" t="str">
            <v>COMPRAS MP QUIMICOS APLICADAS</v>
          </cell>
          <cell r="C939">
            <v>0</v>
          </cell>
          <cell r="D939">
            <v>0</v>
          </cell>
          <cell r="E939">
            <v>877956.82</v>
          </cell>
          <cell r="F939">
            <v>-877956.82</v>
          </cell>
        </row>
        <row r="940">
          <cell r="A940" t="str">
            <v>65100000-00105000-00000000</v>
          </cell>
          <cell r="B940" t="str">
            <v>COMPRAS MP EMPAQUES</v>
          </cell>
          <cell r="C940">
            <v>0</v>
          </cell>
          <cell r="D940">
            <v>722900</v>
          </cell>
          <cell r="E940">
            <v>722900</v>
          </cell>
          <cell r="F940">
            <v>0</v>
          </cell>
        </row>
        <row r="941">
          <cell r="A941" t="str">
            <v>65100000-00105000-00010000</v>
          </cell>
          <cell r="B941" t="str">
            <v>COMPRAS MP EMPAQUES</v>
          </cell>
          <cell r="C941">
            <v>0</v>
          </cell>
          <cell r="D941">
            <v>722900</v>
          </cell>
          <cell r="E941">
            <v>0</v>
          </cell>
          <cell r="F941">
            <v>722900</v>
          </cell>
        </row>
        <row r="942">
          <cell r="A942" t="str">
            <v>65100000-00105000-00020000</v>
          </cell>
          <cell r="B942" t="str">
            <v>COMPRAS MP EMPAQUES APLICADAS</v>
          </cell>
          <cell r="C942">
            <v>0</v>
          </cell>
          <cell r="D942">
            <v>0</v>
          </cell>
          <cell r="E942">
            <v>722900</v>
          </cell>
          <cell r="F942">
            <v>-722900</v>
          </cell>
        </row>
        <row r="943">
          <cell r="A943" t="str">
            <v>65100000-00106000-00000000</v>
          </cell>
          <cell r="B943" t="str">
            <v>COMPRAS HERRAMIENTAS</v>
          </cell>
          <cell r="C943">
            <v>0</v>
          </cell>
          <cell r="D943">
            <v>161601.90999999997</v>
          </cell>
          <cell r="E943">
            <v>161601.90999999997</v>
          </cell>
          <cell r="F943">
            <v>0</v>
          </cell>
        </row>
        <row r="944">
          <cell r="A944" t="str">
            <v>65100000-00106000-00010000</v>
          </cell>
          <cell r="B944" t="str">
            <v>COMPRAS HERRAMIENTAS PROM.</v>
          </cell>
          <cell r="C944">
            <v>0</v>
          </cell>
          <cell r="D944">
            <v>160513.35999999999</v>
          </cell>
          <cell r="E944">
            <v>1088.55</v>
          </cell>
          <cell r="F944">
            <v>159424.81</v>
          </cell>
        </row>
        <row r="945">
          <cell r="A945" t="str">
            <v>65100000-00106000-00020000</v>
          </cell>
          <cell r="B945" t="str">
            <v>COMPRAS HERRAMIENTAS PROM APL</v>
          </cell>
          <cell r="C945">
            <v>0</v>
          </cell>
          <cell r="D945">
            <v>1088.55</v>
          </cell>
          <cell r="E945">
            <v>160513.35999999999</v>
          </cell>
          <cell r="F945">
            <v>-159424.81</v>
          </cell>
        </row>
        <row r="946">
          <cell r="A946" t="str">
            <v>65100000-00107000-00000000</v>
          </cell>
          <cell r="B946" t="str">
            <v>COMPRAS SISTEMA PRECOR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</row>
        <row r="947">
          <cell r="A947" t="str">
            <v>65100000-00108000-00000000</v>
          </cell>
          <cell r="B947" t="str">
            <v>COMPRAS MP MAQUILAS</v>
          </cell>
          <cell r="C947">
            <v>0</v>
          </cell>
          <cell r="D947">
            <v>3427.44</v>
          </cell>
          <cell r="E947">
            <v>3427.44</v>
          </cell>
          <cell r="F947">
            <v>0</v>
          </cell>
        </row>
        <row r="948">
          <cell r="A948" t="str">
            <v>65100000-00108000-00010000</v>
          </cell>
          <cell r="B948" t="str">
            <v>COMPRAS MP MAQUILAS</v>
          </cell>
          <cell r="C948">
            <v>0</v>
          </cell>
          <cell r="D948">
            <v>3427.44</v>
          </cell>
          <cell r="E948">
            <v>0</v>
          </cell>
          <cell r="F948">
            <v>3427.44</v>
          </cell>
        </row>
        <row r="949">
          <cell r="A949" t="str">
            <v>65100000-00108000-00020000</v>
          </cell>
          <cell r="B949" t="str">
            <v>COMPRAS MP MAQUILAS APLICADAS</v>
          </cell>
          <cell r="C949">
            <v>0</v>
          </cell>
          <cell r="D949">
            <v>0</v>
          </cell>
          <cell r="E949">
            <v>3427.44</v>
          </cell>
          <cell r="F949">
            <v>-3427.44</v>
          </cell>
        </row>
        <row r="950">
          <cell r="A950" t="str">
            <v>65100000-00109000-00000000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</row>
        <row r="951">
          <cell r="A951" t="str">
            <v>65100000-00110000-00000000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</row>
        <row r="952">
          <cell r="A952" t="str">
            <v>65100000-00111000-00000000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</row>
        <row r="953">
          <cell r="A953" t="str">
            <v>65200000-00000000-00000000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</row>
        <row r="954">
          <cell r="F954">
            <v>0</v>
          </cell>
        </row>
        <row r="955">
          <cell r="A955" t="str">
            <v>65200000-00200000-00000000</v>
          </cell>
          <cell r="C955">
            <v>0</v>
          </cell>
          <cell r="D955">
            <v>0</v>
          </cell>
          <cell r="E955">
            <v>0</v>
          </cell>
        </row>
        <row r="956">
          <cell r="A956" t="str">
            <v>65200000-00201000-00000000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</row>
        <row r="957">
          <cell r="A957" t="str">
            <v>65200000-00202000-00000000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</row>
        <row r="958">
          <cell r="A958" t="str">
            <v>65200000-00203000-00000000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</row>
        <row r="959">
          <cell r="A959" t="str">
            <v>65200000-00204000-00000000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</row>
        <row r="960">
          <cell r="A960" t="str">
            <v>65300000-00000000-00000000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</row>
        <row r="961">
          <cell r="F961">
            <v>0</v>
          </cell>
        </row>
        <row r="962">
          <cell r="A962" t="str">
            <v>65300000-00300000-00000000</v>
          </cell>
          <cell r="C962">
            <v>0</v>
          </cell>
          <cell r="D962">
            <v>0</v>
          </cell>
          <cell r="E962">
            <v>0</v>
          </cell>
        </row>
        <row r="963">
          <cell r="A963" t="str">
            <v>65300000-00301000-00000000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</row>
        <row r="964">
          <cell r="A964" t="str">
            <v>65300000-00304000-00000000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</row>
        <row r="965">
          <cell r="A965" t="str">
            <v>65300000-00305000-00000000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</row>
        <row r="966">
          <cell r="A966" t="str">
            <v>65300000-00306000-00000000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</row>
        <row r="967">
          <cell r="A967" t="str">
            <v>65300000-00307000-00000000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</row>
        <row r="968">
          <cell r="A968" t="str">
            <v>65300000-00308000-00000000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</row>
        <row r="969">
          <cell r="A969" t="str">
            <v>65300000-00309000-00000000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</row>
        <row r="970">
          <cell r="A970" t="str">
            <v>65300000-00310000-00000000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</row>
        <row r="971">
          <cell r="A971" t="str">
            <v>65300000-00311000-00000000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</row>
        <row r="972">
          <cell r="A972" t="str">
            <v>65300000-00312000-00000000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</row>
        <row r="973">
          <cell r="A973" t="str">
            <v>65300000-00313000-00000000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</row>
        <row r="974">
          <cell r="A974" t="str">
            <v>65300000-00314000-00000000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</row>
        <row r="975">
          <cell r="A975" t="str">
            <v>65300000-00315000-00000000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</row>
        <row r="976">
          <cell r="A976" t="str">
            <v>65300000-00316000-00000000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</row>
        <row r="977">
          <cell r="A977" t="str">
            <v>65400000-00000000-00000000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</row>
        <row r="978">
          <cell r="F978">
            <v>0</v>
          </cell>
        </row>
        <row r="979">
          <cell r="A979" t="str">
            <v>65400000-00400000-00000000</v>
          </cell>
          <cell r="C979">
            <v>0</v>
          </cell>
          <cell r="D979">
            <v>0</v>
          </cell>
          <cell r="E979">
            <v>0</v>
          </cell>
        </row>
        <row r="980">
          <cell r="A980" t="str">
            <v>65400000-00401000-00000000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</row>
        <row r="981">
          <cell r="A981" t="str">
            <v>65400000-00402000-00000000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</row>
        <row r="982">
          <cell r="A982" t="str">
            <v>65500000-00000000-00000000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</row>
        <row r="983">
          <cell r="F983">
            <v>0</v>
          </cell>
        </row>
        <row r="984">
          <cell r="A984" t="str">
            <v>65500000-00500000-00000000</v>
          </cell>
          <cell r="C984">
            <v>0</v>
          </cell>
          <cell r="D984">
            <v>0</v>
          </cell>
          <cell r="E984">
            <v>0</v>
          </cell>
        </row>
        <row r="985">
          <cell r="A985" t="str">
            <v>65500000-00501000-00000000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</row>
        <row r="986">
          <cell r="A986" t="str">
            <v>65600000-00000000-00000000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</row>
        <row r="987">
          <cell r="F987">
            <v>0</v>
          </cell>
        </row>
        <row r="988">
          <cell r="A988" t="str">
            <v>65600000-00600000-00000000</v>
          </cell>
          <cell r="C988">
            <v>0</v>
          </cell>
          <cell r="D988">
            <v>0</v>
          </cell>
          <cell r="E988">
            <v>0</v>
          </cell>
        </row>
        <row r="989">
          <cell r="A989" t="str">
            <v>65600000-00601000-00000000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</row>
        <row r="990">
          <cell r="A990" t="str">
            <v>65700000-00000000-00000000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</row>
        <row r="991">
          <cell r="F991">
            <v>0</v>
          </cell>
        </row>
        <row r="992">
          <cell r="A992" t="str">
            <v>65700000-00700000-00000000</v>
          </cell>
          <cell r="C992">
            <v>0</v>
          </cell>
          <cell r="D992">
            <v>0</v>
          </cell>
          <cell r="E992">
            <v>0</v>
          </cell>
        </row>
        <row r="993">
          <cell r="A993" t="str">
            <v>65700000-00701000-00000000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</row>
        <row r="994">
          <cell r="A994" t="str">
            <v>70000000-00000000-00000000</v>
          </cell>
          <cell r="C994">
            <v>0</v>
          </cell>
          <cell r="D994">
            <v>3960345.66</v>
          </cell>
          <cell r="E994">
            <v>154941.20000000001</v>
          </cell>
          <cell r="F994">
            <v>3805404.46</v>
          </cell>
        </row>
        <row r="995">
          <cell r="B995" t="str">
            <v>COSTOS/GASTOS GENERALES</v>
          </cell>
        </row>
        <row r="1002">
          <cell r="A1002" t="str">
            <v>71000000-00000000-00000000</v>
          </cell>
          <cell r="B1002" t="str">
            <v>COSTOS/GASTOS FIJOS</v>
          </cell>
          <cell r="C1002">
            <v>0</v>
          </cell>
          <cell r="D1002">
            <v>3447529.93</v>
          </cell>
          <cell r="E1002">
            <v>137266.93</v>
          </cell>
          <cell r="F1002">
            <v>3310263</v>
          </cell>
        </row>
        <row r="1005">
          <cell r="A1005" t="str">
            <v>71100000-00000000-00000000</v>
          </cell>
          <cell r="B1005" t="str">
            <v>COSTOS/GASTOS FIJOS OPERACIONE</v>
          </cell>
          <cell r="C1005">
            <v>0</v>
          </cell>
          <cell r="D1005">
            <v>1537368.86</v>
          </cell>
          <cell r="E1005">
            <v>91747.17</v>
          </cell>
          <cell r="F1005">
            <v>1445621.69</v>
          </cell>
        </row>
        <row r="1006">
          <cell r="F1006">
            <v>1445621.69</v>
          </cell>
        </row>
        <row r="1007">
          <cell r="A1007" t="str">
            <v>71100000-10000000-00000000</v>
          </cell>
          <cell r="B1007" t="str">
            <v>COSTOS/GASTOS FIJOS OPERACIONE</v>
          </cell>
          <cell r="C1007">
            <v>0</v>
          </cell>
          <cell r="D1007">
            <v>1537368.86</v>
          </cell>
          <cell r="E1007">
            <v>91747.17</v>
          </cell>
        </row>
        <row r="1008">
          <cell r="A1008" t="str">
            <v>71100000-10001000-00000000</v>
          </cell>
          <cell r="B1008" t="str">
            <v>COSTOS/GASTOS FIJOS OPERACIONE</v>
          </cell>
          <cell r="C1008">
            <v>0</v>
          </cell>
          <cell r="D1008">
            <v>588491.02</v>
          </cell>
          <cell r="E1008">
            <v>83256.049999999988</v>
          </cell>
          <cell r="F1008">
            <v>505234.97</v>
          </cell>
        </row>
        <row r="1009">
          <cell r="A1009" t="str">
            <v>71100000-10001000-01010000</v>
          </cell>
          <cell r="B1009" t="str">
            <v>SUELDOS Y SALARIOS</v>
          </cell>
          <cell r="C1009">
            <v>0</v>
          </cell>
          <cell r="D1009">
            <v>61700</v>
          </cell>
          <cell r="E1009">
            <v>0</v>
          </cell>
          <cell r="F1009">
            <v>61700</v>
          </cell>
        </row>
        <row r="1010">
          <cell r="A1010" t="str">
            <v>71100000-10001000-01030000</v>
          </cell>
          <cell r="B1010" t="str">
            <v>GRATIFICACIONES</v>
          </cell>
          <cell r="C1010">
            <v>0</v>
          </cell>
          <cell r="D1010">
            <v>2950</v>
          </cell>
          <cell r="E1010">
            <v>0</v>
          </cell>
          <cell r="F1010">
            <v>2950</v>
          </cell>
        </row>
        <row r="1011">
          <cell r="A1011" t="str">
            <v>71100000-10001000-01040000</v>
          </cell>
          <cell r="B1011" t="str">
            <v>VACACIONES</v>
          </cell>
          <cell r="C1011">
            <v>0</v>
          </cell>
          <cell r="D1011">
            <v>8205</v>
          </cell>
          <cell r="E1011">
            <v>0</v>
          </cell>
          <cell r="F1011">
            <v>8205</v>
          </cell>
        </row>
        <row r="1012">
          <cell r="A1012" t="str">
            <v>71100000-10001000-01050000</v>
          </cell>
          <cell r="B1012" t="str">
            <v>PRIMA VACACIONAL</v>
          </cell>
          <cell r="C1012">
            <v>0</v>
          </cell>
          <cell r="D1012">
            <v>5333.25</v>
          </cell>
          <cell r="E1012">
            <v>0</v>
          </cell>
          <cell r="F1012">
            <v>5333.25</v>
          </cell>
        </row>
        <row r="1013">
          <cell r="A1013" t="str">
            <v>71100000-10001000-03010000</v>
          </cell>
          <cell r="B1013" t="str">
            <v>FONDO DE AHORRO</v>
          </cell>
          <cell r="C1013">
            <v>0</v>
          </cell>
          <cell r="D1013">
            <v>4174.17</v>
          </cell>
          <cell r="E1013">
            <v>0</v>
          </cell>
          <cell r="F1013">
            <v>4174.17</v>
          </cell>
        </row>
        <row r="1014">
          <cell r="A1014" t="str">
            <v>71100000-10001000-03020000</v>
          </cell>
          <cell r="B1014" t="str">
            <v>CUOTAS AL I.M.S.S.</v>
          </cell>
          <cell r="C1014">
            <v>0</v>
          </cell>
          <cell r="D1014">
            <v>6687.82</v>
          </cell>
          <cell r="E1014">
            <v>0</v>
          </cell>
          <cell r="F1014">
            <v>6687.82</v>
          </cell>
        </row>
        <row r="1015">
          <cell r="A1015" t="str">
            <v>71100000-10001000-03040000</v>
          </cell>
          <cell r="B1015" t="str">
            <v>DESPENSA EN VALES</v>
          </cell>
          <cell r="C1015">
            <v>0</v>
          </cell>
          <cell r="D1015">
            <v>2706</v>
          </cell>
          <cell r="E1015">
            <v>0</v>
          </cell>
          <cell r="F1015">
            <v>2706</v>
          </cell>
        </row>
        <row r="1016">
          <cell r="A1016" t="str">
            <v>71100000-10001000-03080000</v>
          </cell>
          <cell r="B1016" t="str">
            <v>DESPENSA EN EFECTIVO</v>
          </cell>
          <cell r="C1016">
            <v>0</v>
          </cell>
          <cell r="D1016">
            <v>238</v>
          </cell>
          <cell r="E1016">
            <v>0</v>
          </cell>
          <cell r="F1016">
            <v>238</v>
          </cell>
        </row>
        <row r="1017">
          <cell r="A1017" t="str">
            <v>71100000-10001000-04010000</v>
          </cell>
          <cell r="B1017" t="str">
            <v>2.5% SOBRE NOMINAS</v>
          </cell>
          <cell r="C1017">
            <v>0</v>
          </cell>
          <cell r="D1017">
            <v>2240</v>
          </cell>
          <cell r="E1017">
            <v>0</v>
          </cell>
          <cell r="F1017">
            <v>2240</v>
          </cell>
        </row>
        <row r="1018">
          <cell r="A1018" t="str">
            <v>71100000-10001000-04020000</v>
          </cell>
          <cell r="B1018" t="str">
            <v>5% INFONAVIT</v>
          </cell>
          <cell r="C1018">
            <v>0</v>
          </cell>
          <cell r="D1018">
            <v>4483.16</v>
          </cell>
          <cell r="E1018">
            <v>0</v>
          </cell>
          <cell r="F1018">
            <v>4483.16</v>
          </cell>
        </row>
        <row r="1019">
          <cell r="A1019" t="str">
            <v>71100000-10001000-04030000</v>
          </cell>
          <cell r="B1019" t="str">
            <v>2% S.A.R. / RETIRO</v>
          </cell>
          <cell r="C1019">
            <v>0</v>
          </cell>
          <cell r="D1019">
            <v>1793.27</v>
          </cell>
          <cell r="E1019">
            <v>0</v>
          </cell>
          <cell r="F1019">
            <v>1793.27</v>
          </cell>
        </row>
        <row r="1020">
          <cell r="A1020" t="str">
            <v>71100000-10001000-04040000</v>
          </cell>
          <cell r="B1020" t="str">
            <v>CESANTIA Y VEJEZ</v>
          </cell>
          <cell r="C1020">
            <v>0</v>
          </cell>
          <cell r="D1020">
            <v>2824.38</v>
          </cell>
          <cell r="E1020">
            <v>0</v>
          </cell>
          <cell r="F1020">
            <v>2824.38</v>
          </cell>
        </row>
        <row r="1021">
          <cell r="A1021" t="str">
            <v>71100000-10001000-05010000</v>
          </cell>
          <cell r="B1021" t="str">
            <v>SERV. PROFESIONALES EXTERNOS</v>
          </cell>
          <cell r="C1021">
            <v>0</v>
          </cell>
          <cell r="D1021">
            <v>16152.68</v>
          </cell>
          <cell r="E1021">
            <v>0</v>
          </cell>
          <cell r="F1021">
            <v>16152.68</v>
          </cell>
        </row>
        <row r="1022">
          <cell r="A1022" t="str">
            <v>71100000-10001000-12010000</v>
          </cell>
          <cell r="B1022" t="str">
            <v>ARREND. AUTOMOVILES</v>
          </cell>
          <cell r="C1022">
            <v>0</v>
          </cell>
          <cell r="D1022">
            <v>3422.17</v>
          </cell>
          <cell r="E1022">
            <v>0</v>
          </cell>
          <cell r="F1022">
            <v>3422.17</v>
          </cell>
        </row>
        <row r="1023">
          <cell r="A1023" t="str">
            <v>71100000-10001000-13030000</v>
          </cell>
          <cell r="B1023" t="str">
            <v>ARRENDAMIENTO DE INMUEBLES SOC</v>
          </cell>
          <cell r="C1023">
            <v>0</v>
          </cell>
          <cell r="D1023">
            <v>22350</v>
          </cell>
          <cell r="E1023">
            <v>0</v>
          </cell>
          <cell r="F1023">
            <v>22350</v>
          </cell>
        </row>
        <row r="1024">
          <cell r="A1024" t="str">
            <v>71100000-10001000-14010000</v>
          </cell>
          <cell r="B1024" t="str">
            <v>SEG. AUTOMOVILES</v>
          </cell>
          <cell r="C1024">
            <v>0</v>
          </cell>
          <cell r="D1024">
            <v>1284.31</v>
          </cell>
          <cell r="E1024">
            <v>0</v>
          </cell>
          <cell r="F1024">
            <v>1284.31</v>
          </cell>
        </row>
        <row r="1025">
          <cell r="A1025" t="str">
            <v>71100000-10001000-14040000</v>
          </cell>
          <cell r="B1025" t="str">
            <v>VIDA</v>
          </cell>
          <cell r="C1025">
            <v>0</v>
          </cell>
          <cell r="D1025">
            <v>7219</v>
          </cell>
          <cell r="E1025">
            <v>0</v>
          </cell>
          <cell r="F1025">
            <v>7219</v>
          </cell>
        </row>
        <row r="1026">
          <cell r="A1026" t="str">
            <v>71100000-10001000-15010000</v>
          </cell>
          <cell r="B1026" t="str">
            <v>MANT. AUTOMOVILES</v>
          </cell>
          <cell r="C1026">
            <v>0</v>
          </cell>
          <cell r="D1026">
            <v>634.47</v>
          </cell>
          <cell r="E1026">
            <v>0</v>
          </cell>
          <cell r="F1026">
            <v>634.47</v>
          </cell>
        </row>
        <row r="1027">
          <cell r="A1027" t="str">
            <v>71100000-10001000-15080000</v>
          </cell>
          <cell r="B1027" t="str">
            <v>MANTTO A VARIOS</v>
          </cell>
          <cell r="C1027">
            <v>0</v>
          </cell>
          <cell r="D1027">
            <v>38702.92</v>
          </cell>
          <cell r="E1027">
            <v>10344.26</v>
          </cell>
          <cell r="F1027">
            <v>28358.66</v>
          </cell>
        </row>
        <row r="1028">
          <cell r="A1028" t="str">
            <v>71100000-10001000-16010000</v>
          </cell>
          <cell r="B1028" t="str">
            <v>PAPELERIA</v>
          </cell>
          <cell r="C1028">
            <v>0</v>
          </cell>
          <cell r="D1028">
            <v>270</v>
          </cell>
          <cell r="E1028">
            <v>0</v>
          </cell>
          <cell r="F1028">
            <v>270</v>
          </cell>
        </row>
        <row r="1029">
          <cell r="A1029" t="str">
            <v>71100000-10001000-16050000</v>
          </cell>
          <cell r="B1029" t="str">
            <v>HERRAMIENTAS</v>
          </cell>
          <cell r="C1029">
            <v>0</v>
          </cell>
          <cell r="D1029">
            <v>221.12</v>
          </cell>
          <cell r="E1029">
            <v>0</v>
          </cell>
          <cell r="F1029">
            <v>221.12</v>
          </cell>
        </row>
        <row r="1030">
          <cell r="A1030" t="str">
            <v>71100000-10001000-17010000</v>
          </cell>
          <cell r="B1030" t="str">
            <v>ENERGIA ELECTRICA</v>
          </cell>
          <cell r="C1030">
            <v>0</v>
          </cell>
          <cell r="D1030">
            <v>177911.72</v>
          </cell>
          <cell r="E1030">
            <v>72911.789999999994</v>
          </cell>
          <cell r="F1030">
            <v>104999.93</v>
          </cell>
        </row>
        <row r="1031">
          <cell r="A1031" t="str">
            <v>71100000-10001000-17030000</v>
          </cell>
          <cell r="B1031" t="str">
            <v>SEGURIDAD PRIVADA</v>
          </cell>
          <cell r="C1031">
            <v>0</v>
          </cell>
          <cell r="D1031">
            <v>75207</v>
          </cell>
          <cell r="E1031">
            <v>0</v>
          </cell>
          <cell r="F1031">
            <v>75207</v>
          </cell>
        </row>
        <row r="1032">
          <cell r="A1032" t="str">
            <v>71100000-10001000-18010000</v>
          </cell>
          <cell r="B1032" t="str">
            <v>CAPACITACION Y ADIESTRAMIENTO</v>
          </cell>
          <cell r="C1032">
            <v>0</v>
          </cell>
          <cell r="D1032">
            <v>3279.57</v>
          </cell>
          <cell r="E1032">
            <v>0</v>
          </cell>
          <cell r="F1032">
            <v>3279.57</v>
          </cell>
        </row>
        <row r="1033">
          <cell r="A1033" t="str">
            <v>71100000-10001000-18050000</v>
          </cell>
          <cell r="B1033" t="str">
            <v>AGUA ELECTROPURA</v>
          </cell>
          <cell r="C1033">
            <v>0</v>
          </cell>
          <cell r="D1033">
            <v>3652</v>
          </cell>
          <cell r="E1033">
            <v>0</v>
          </cell>
          <cell r="F1033">
            <v>3652</v>
          </cell>
        </row>
        <row r="1034">
          <cell r="A1034" t="str">
            <v>71100000-10001000-18060000</v>
          </cell>
          <cell r="B1034" t="str">
            <v>GASTOS SINDICALES</v>
          </cell>
          <cell r="C1034">
            <v>0</v>
          </cell>
          <cell r="D1034">
            <v>5247</v>
          </cell>
          <cell r="E1034">
            <v>0</v>
          </cell>
          <cell r="F1034">
            <v>5247</v>
          </cell>
        </row>
        <row r="1035">
          <cell r="A1035" t="str">
            <v>71100000-10001000-18080000</v>
          </cell>
          <cell r="B1035" t="str">
            <v>COMEDOR</v>
          </cell>
          <cell r="C1035">
            <v>0</v>
          </cell>
          <cell r="D1035">
            <v>26494.82</v>
          </cell>
          <cell r="E1035">
            <v>0</v>
          </cell>
          <cell r="F1035">
            <v>26494.82</v>
          </cell>
        </row>
        <row r="1036">
          <cell r="A1036" t="str">
            <v>71100000-10001000-18110000</v>
          </cell>
          <cell r="B1036" t="str">
            <v>CONSUMOS RESTAURANT</v>
          </cell>
          <cell r="C1036">
            <v>0</v>
          </cell>
          <cell r="D1036">
            <v>343.91</v>
          </cell>
          <cell r="E1036">
            <v>0</v>
          </cell>
          <cell r="F1036">
            <v>343.91</v>
          </cell>
        </row>
        <row r="1037">
          <cell r="A1037" t="str">
            <v>71100000-10001000-19010000</v>
          </cell>
          <cell r="B1037" t="str">
            <v>TELEFONOS</v>
          </cell>
          <cell r="C1037">
            <v>0</v>
          </cell>
          <cell r="D1037">
            <v>3908.82</v>
          </cell>
          <cell r="E1037">
            <v>0</v>
          </cell>
          <cell r="F1037">
            <v>3908.82</v>
          </cell>
        </row>
        <row r="1038">
          <cell r="A1038" t="str">
            <v>71100000-10001000-19050000</v>
          </cell>
          <cell r="B1038" t="str">
            <v>INTERNET</v>
          </cell>
          <cell r="C1038">
            <v>0</v>
          </cell>
          <cell r="D1038">
            <v>5874.26</v>
          </cell>
          <cell r="E1038">
            <v>0</v>
          </cell>
          <cell r="F1038">
            <v>5874.26</v>
          </cell>
        </row>
        <row r="1039">
          <cell r="A1039" t="str">
            <v>71100000-10001000-20010000</v>
          </cell>
          <cell r="B1039" t="str">
            <v>COMBUSTIBLE AUTOMOVILES</v>
          </cell>
          <cell r="C1039">
            <v>0</v>
          </cell>
          <cell r="D1039">
            <v>4415.29</v>
          </cell>
          <cell r="E1039">
            <v>0</v>
          </cell>
          <cell r="F1039">
            <v>4415.29</v>
          </cell>
        </row>
        <row r="1040">
          <cell r="A1040" t="str">
            <v>71100000-10001000-20030000</v>
          </cell>
          <cell r="B1040" t="str">
            <v>EQUIPO DE PRODUCCION</v>
          </cell>
          <cell r="C1040">
            <v>0</v>
          </cell>
          <cell r="D1040">
            <v>3213.13</v>
          </cell>
          <cell r="E1040">
            <v>0</v>
          </cell>
          <cell r="F1040">
            <v>3213.13</v>
          </cell>
        </row>
        <row r="1041">
          <cell r="A1041" t="str">
            <v>71100000-10001000-21010000</v>
          </cell>
          <cell r="B1041" t="str">
            <v>HONORARIOS PERSONAS FISICAS</v>
          </cell>
          <cell r="C1041">
            <v>0</v>
          </cell>
          <cell r="D1041">
            <v>24000</v>
          </cell>
          <cell r="E1041">
            <v>0</v>
          </cell>
          <cell r="F1041">
            <v>24000</v>
          </cell>
        </row>
        <row r="1042">
          <cell r="A1042" t="str">
            <v>71100000-10001000-22020000</v>
          </cell>
          <cell r="B1042" t="str">
            <v>CUOTAS A CAMARAS</v>
          </cell>
          <cell r="C1042">
            <v>0</v>
          </cell>
          <cell r="D1042">
            <v>8560</v>
          </cell>
          <cell r="E1042">
            <v>0</v>
          </cell>
          <cell r="F1042">
            <v>8560</v>
          </cell>
        </row>
        <row r="1043">
          <cell r="A1043" t="str">
            <v>71100000-10001000-22040000</v>
          </cell>
          <cell r="B1043" t="str">
            <v>SUSCRIPCIONES A PUBLICACIONES</v>
          </cell>
          <cell r="C1043">
            <v>0</v>
          </cell>
          <cell r="D1043">
            <v>330</v>
          </cell>
          <cell r="E1043">
            <v>0</v>
          </cell>
          <cell r="F1043">
            <v>330</v>
          </cell>
        </row>
        <row r="1044">
          <cell r="A1044" t="str">
            <v>71100000-10001000-22050000</v>
          </cell>
          <cell r="B1044" t="str">
            <v>COMISIONES Y ASESORIAS EXTERNA</v>
          </cell>
          <cell r="C1044">
            <v>0</v>
          </cell>
          <cell r="D1044">
            <v>686.21</v>
          </cell>
          <cell r="E1044">
            <v>0</v>
          </cell>
          <cell r="F1044">
            <v>686.21</v>
          </cell>
        </row>
        <row r="1045">
          <cell r="A1045" t="str">
            <v>71100000-10001000-23010000</v>
          </cell>
          <cell r="B1045" t="str">
            <v>RECOLECCION DE BASURA</v>
          </cell>
          <cell r="C1045">
            <v>0</v>
          </cell>
          <cell r="D1045">
            <v>3300</v>
          </cell>
          <cell r="E1045">
            <v>0</v>
          </cell>
          <cell r="F1045">
            <v>3300</v>
          </cell>
        </row>
        <row r="1046">
          <cell r="A1046" t="str">
            <v>71100000-10001000-23030000</v>
          </cell>
          <cell r="B1046" t="str">
            <v>DERECHOS DE AGUA</v>
          </cell>
          <cell r="C1046">
            <v>0</v>
          </cell>
          <cell r="D1046">
            <v>2022</v>
          </cell>
          <cell r="E1046">
            <v>0</v>
          </cell>
          <cell r="F1046">
            <v>2022</v>
          </cell>
        </row>
        <row r="1047">
          <cell r="A1047" t="str">
            <v>71100000-10001000-23120000</v>
          </cell>
          <cell r="B1047" t="str">
            <v>DIVERSOS</v>
          </cell>
          <cell r="C1047">
            <v>0</v>
          </cell>
          <cell r="D1047">
            <v>1050</v>
          </cell>
          <cell r="E1047">
            <v>0</v>
          </cell>
          <cell r="F1047">
            <v>1050</v>
          </cell>
        </row>
        <row r="1048">
          <cell r="A1048" t="str">
            <v>71100000-10001000-23130000</v>
          </cell>
          <cell r="B1048" t="str">
            <v>OTROS IMPUESTOS Y DERECHOS</v>
          </cell>
          <cell r="C1048">
            <v>0</v>
          </cell>
          <cell r="D1048">
            <v>297.11</v>
          </cell>
          <cell r="E1048">
            <v>0</v>
          </cell>
          <cell r="F1048">
            <v>297.11</v>
          </cell>
        </row>
        <row r="1049">
          <cell r="A1049" t="str">
            <v>71100000-10001000-23150000</v>
          </cell>
          <cell r="B1049" t="str">
            <v>ASEO LIMPIEZA E IMPLEMENTOS</v>
          </cell>
          <cell r="C1049">
            <v>0</v>
          </cell>
          <cell r="D1049">
            <v>445.5</v>
          </cell>
          <cell r="E1049">
            <v>0</v>
          </cell>
          <cell r="F1049">
            <v>445.5</v>
          </cell>
        </row>
        <row r="1050">
          <cell r="A1050" t="str">
            <v>71100000-10001000-23200000</v>
          </cell>
          <cell r="B1050" t="str">
            <v>EVENTOS INTERNOS COREV</v>
          </cell>
          <cell r="C1050">
            <v>0</v>
          </cell>
          <cell r="D1050">
            <v>11731.3</v>
          </cell>
          <cell r="E1050">
            <v>0</v>
          </cell>
          <cell r="F1050">
            <v>11731.3</v>
          </cell>
        </row>
        <row r="1051">
          <cell r="A1051" t="str">
            <v>71100000-10001000-35020000</v>
          </cell>
          <cell r="B1051" t="str">
            <v>DIVERSOS NO DEDUCIBLES</v>
          </cell>
          <cell r="C1051">
            <v>0</v>
          </cell>
          <cell r="D1051">
            <v>5526.29</v>
          </cell>
          <cell r="E1051">
            <v>0</v>
          </cell>
          <cell r="F1051">
            <v>5526.29</v>
          </cell>
        </row>
        <row r="1052">
          <cell r="A1052" t="str">
            <v>71100000-10001000-90010000</v>
          </cell>
          <cell r="B1052" t="str">
            <v>PRIMA DE ANTIGUEDAD</v>
          </cell>
          <cell r="C1052">
            <v>0</v>
          </cell>
          <cell r="D1052">
            <v>7245.47</v>
          </cell>
          <cell r="E1052">
            <v>0</v>
          </cell>
          <cell r="F1052">
            <v>7245.47</v>
          </cell>
        </row>
        <row r="1053">
          <cell r="A1053" t="str">
            <v>71100000-10001000-90020000</v>
          </cell>
          <cell r="B1053" t="str">
            <v>PLAN DE PENSIONES</v>
          </cell>
          <cell r="C1053">
            <v>0</v>
          </cell>
          <cell r="D1053">
            <v>14562.06</v>
          </cell>
          <cell r="E1053">
            <v>0</v>
          </cell>
          <cell r="F1053">
            <v>14562.06</v>
          </cell>
        </row>
        <row r="1054">
          <cell r="A1054" t="str">
            <v>71100000-10001000-90030000</v>
          </cell>
          <cell r="B1054" t="str">
            <v>PROVISION AGUINALDO</v>
          </cell>
          <cell r="C1054">
            <v>0</v>
          </cell>
          <cell r="D1054">
            <v>5449.59</v>
          </cell>
          <cell r="E1054">
            <v>0</v>
          </cell>
          <cell r="F1054">
            <v>5449.59</v>
          </cell>
        </row>
        <row r="1055">
          <cell r="A1055" t="str">
            <v>71100000-10001000-90040000</v>
          </cell>
          <cell r="B1055" t="str">
            <v>BOLETIN D-3</v>
          </cell>
          <cell r="C1055">
            <v>0</v>
          </cell>
          <cell r="D1055">
            <v>146.25</v>
          </cell>
          <cell r="E1055">
            <v>0</v>
          </cell>
          <cell r="F1055">
            <v>146.25</v>
          </cell>
        </row>
        <row r="1056">
          <cell r="A1056" t="str">
            <v>71100000-10002000-00000000</v>
          </cell>
          <cell r="B1056" t="str">
            <v>COSTOS/GASTOS FIJOS EMBARQUES</v>
          </cell>
          <cell r="C1056">
            <v>0</v>
          </cell>
          <cell r="D1056">
            <v>283921.46000000002</v>
          </cell>
          <cell r="E1056">
            <v>1779.12</v>
          </cell>
          <cell r="F1056">
            <v>282142.34000000003</v>
          </cell>
        </row>
        <row r="1057">
          <cell r="A1057" t="str">
            <v>71100000-10002000-01010000</v>
          </cell>
          <cell r="B1057" t="str">
            <v>SUELDOS Y SALARIOS</v>
          </cell>
          <cell r="C1057">
            <v>0</v>
          </cell>
          <cell r="D1057">
            <v>54926.27</v>
          </cell>
          <cell r="E1057">
            <v>0</v>
          </cell>
          <cell r="F1057">
            <v>54926.27</v>
          </cell>
        </row>
        <row r="1058">
          <cell r="A1058" t="str">
            <v>71100000-10002000-01030000</v>
          </cell>
          <cell r="B1058" t="str">
            <v>GRATIFICACIONES</v>
          </cell>
          <cell r="C1058">
            <v>0</v>
          </cell>
          <cell r="D1058">
            <v>5775.12</v>
          </cell>
          <cell r="E1058">
            <v>0</v>
          </cell>
          <cell r="F1058">
            <v>5775.12</v>
          </cell>
        </row>
        <row r="1059">
          <cell r="A1059" t="str">
            <v>71100000-10002000-01040000</v>
          </cell>
          <cell r="B1059" t="str">
            <v>VACACIONES</v>
          </cell>
          <cell r="C1059">
            <v>0</v>
          </cell>
          <cell r="D1059">
            <v>1340</v>
          </cell>
          <cell r="E1059">
            <v>0</v>
          </cell>
          <cell r="F1059">
            <v>1340</v>
          </cell>
        </row>
        <row r="1060">
          <cell r="A1060" t="str">
            <v>71100000-10002000-01050000</v>
          </cell>
          <cell r="B1060" t="str">
            <v>PRIMA VACACIONAL</v>
          </cell>
          <cell r="C1060">
            <v>0</v>
          </cell>
          <cell r="D1060">
            <v>871</v>
          </cell>
          <cell r="E1060">
            <v>0</v>
          </cell>
          <cell r="F1060">
            <v>871</v>
          </cell>
        </row>
        <row r="1061">
          <cell r="A1061" t="str">
            <v>71100000-10002000-02010000</v>
          </cell>
          <cell r="B1061" t="str">
            <v>A SINDICALIZADOS</v>
          </cell>
          <cell r="C1061">
            <v>0</v>
          </cell>
          <cell r="D1061">
            <v>8712.4</v>
          </cell>
          <cell r="E1061">
            <v>0</v>
          </cell>
          <cell r="F1061">
            <v>8712.4</v>
          </cell>
        </row>
        <row r="1062">
          <cell r="A1062" t="str">
            <v>71100000-10002000-03010000</v>
          </cell>
          <cell r="B1062" t="str">
            <v>FONDO DE AHORRO</v>
          </cell>
          <cell r="C1062">
            <v>0</v>
          </cell>
          <cell r="D1062">
            <v>4394.1000000000004</v>
          </cell>
          <cell r="E1062">
            <v>0</v>
          </cell>
          <cell r="F1062">
            <v>4394.1000000000004</v>
          </cell>
        </row>
        <row r="1063">
          <cell r="A1063" t="str">
            <v>71100000-10002000-03020000</v>
          </cell>
          <cell r="B1063" t="str">
            <v>CUOTAS AL I.M.S.S.</v>
          </cell>
          <cell r="C1063">
            <v>0</v>
          </cell>
          <cell r="D1063">
            <v>8202.41</v>
          </cell>
          <cell r="E1063">
            <v>0</v>
          </cell>
          <cell r="F1063">
            <v>8202.41</v>
          </cell>
        </row>
        <row r="1064">
          <cell r="A1064" t="str">
            <v>71100000-10002000-03030000</v>
          </cell>
          <cell r="B1064" t="str">
            <v>UNIFORMES Y EQUIPO</v>
          </cell>
          <cell r="C1064">
            <v>0</v>
          </cell>
          <cell r="D1064">
            <v>4420</v>
          </cell>
          <cell r="E1064">
            <v>0</v>
          </cell>
          <cell r="F1064">
            <v>4420</v>
          </cell>
        </row>
        <row r="1065">
          <cell r="A1065" t="str">
            <v>71100000-10002000-03040000</v>
          </cell>
          <cell r="B1065" t="str">
            <v>DESPENSA EN VALES</v>
          </cell>
          <cell r="C1065">
            <v>0</v>
          </cell>
          <cell r="D1065">
            <v>3700</v>
          </cell>
          <cell r="E1065">
            <v>0</v>
          </cell>
          <cell r="F1065">
            <v>3700</v>
          </cell>
        </row>
        <row r="1066">
          <cell r="A1066" t="str">
            <v>71100000-10002000-03050000</v>
          </cell>
          <cell r="B1066" t="str">
            <v>PREMIO DE ASISTENCIA</v>
          </cell>
          <cell r="C1066">
            <v>0</v>
          </cell>
          <cell r="D1066">
            <v>120</v>
          </cell>
          <cell r="E1066">
            <v>0</v>
          </cell>
          <cell r="F1066">
            <v>120</v>
          </cell>
        </row>
        <row r="1067">
          <cell r="A1067" t="str">
            <v>71100000-10002000-04010000</v>
          </cell>
          <cell r="B1067" t="str">
            <v>2.5% SOBRE NOMINAS</v>
          </cell>
          <cell r="C1067">
            <v>0</v>
          </cell>
          <cell r="D1067">
            <v>1903</v>
          </cell>
          <cell r="E1067">
            <v>0</v>
          </cell>
          <cell r="F1067">
            <v>1903</v>
          </cell>
        </row>
        <row r="1068">
          <cell r="A1068" t="str">
            <v>71100000-10002000-04020000</v>
          </cell>
          <cell r="B1068" t="str">
            <v>5% INFONAVIT</v>
          </cell>
          <cell r="C1068">
            <v>0</v>
          </cell>
          <cell r="D1068">
            <v>4280.6400000000003</v>
          </cell>
          <cell r="E1068">
            <v>0</v>
          </cell>
          <cell r="F1068">
            <v>4280.6400000000003</v>
          </cell>
        </row>
        <row r="1069">
          <cell r="A1069" t="str">
            <v>71100000-10002000-04030000</v>
          </cell>
          <cell r="B1069" t="str">
            <v>2% S.A.R. / RETIRO</v>
          </cell>
          <cell r="C1069">
            <v>0</v>
          </cell>
          <cell r="D1069">
            <v>1712.26</v>
          </cell>
          <cell r="E1069">
            <v>0</v>
          </cell>
          <cell r="F1069">
            <v>1712.26</v>
          </cell>
        </row>
        <row r="1070">
          <cell r="A1070" t="str">
            <v>71100000-10002000-04040000</v>
          </cell>
          <cell r="B1070" t="str">
            <v>CESANTIA Y VEJEZ</v>
          </cell>
          <cell r="C1070">
            <v>0</v>
          </cell>
          <cell r="D1070">
            <v>2638.51</v>
          </cell>
          <cell r="E1070">
            <v>0</v>
          </cell>
          <cell r="F1070">
            <v>2638.51</v>
          </cell>
        </row>
        <row r="1071">
          <cell r="A1071" t="str">
            <v>71100000-10002000-12020000</v>
          </cell>
          <cell r="B1071" t="str">
            <v>CAMIONES Y CAMIONETAS (ARREN)</v>
          </cell>
          <cell r="C1071">
            <v>0</v>
          </cell>
          <cell r="D1071">
            <v>116257.31</v>
          </cell>
          <cell r="E1071">
            <v>0</v>
          </cell>
          <cell r="F1071">
            <v>116257.31</v>
          </cell>
        </row>
        <row r="1072">
          <cell r="A1072" t="str">
            <v>71100000-10002000-14020000</v>
          </cell>
          <cell r="B1072" t="str">
            <v>CAMIONES Y CAMIONETAS (SEG)</v>
          </cell>
          <cell r="C1072">
            <v>0</v>
          </cell>
          <cell r="D1072">
            <v>5614.15</v>
          </cell>
          <cell r="E1072">
            <v>0</v>
          </cell>
          <cell r="F1072">
            <v>5614.15</v>
          </cell>
        </row>
        <row r="1073">
          <cell r="A1073" t="str">
            <v>71100000-10002000-15020000</v>
          </cell>
          <cell r="B1073" t="str">
            <v>CAMIONES Y CAMIONETAS (MANTTO)</v>
          </cell>
          <cell r="C1073">
            <v>0</v>
          </cell>
          <cell r="D1073">
            <v>8840</v>
          </cell>
          <cell r="E1073">
            <v>0</v>
          </cell>
          <cell r="F1073">
            <v>8840</v>
          </cell>
        </row>
        <row r="1074">
          <cell r="A1074" t="str">
            <v>71100000-10002000-15040000</v>
          </cell>
          <cell r="B1074" t="str">
            <v>MANTTO A EQUIPOS DE PRODUCCION</v>
          </cell>
          <cell r="C1074">
            <v>0</v>
          </cell>
          <cell r="D1074">
            <v>6185</v>
          </cell>
          <cell r="E1074">
            <v>0</v>
          </cell>
          <cell r="F1074">
            <v>6185</v>
          </cell>
        </row>
        <row r="1075">
          <cell r="A1075" t="str">
            <v>71100000-10002000-18020000</v>
          </cell>
          <cell r="B1075" t="str">
            <v>PASAJES Y TRANSPORTES LOCALES</v>
          </cell>
          <cell r="C1075">
            <v>0</v>
          </cell>
          <cell r="D1075">
            <v>80</v>
          </cell>
          <cell r="E1075">
            <v>0</v>
          </cell>
          <cell r="F1075">
            <v>80</v>
          </cell>
        </row>
        <row r="1076">
          <cell r="A1076" t="str">
            <v>71100000-10002000-20010000</v>
          </cell>
          <cell r="B1076" t="str">
            <v>COMBUSTIBLE AUTOMOVILES</v>
          </cell>
          <cell r="C1076">
            <v>0</v>
          </cell>
          <cell r="D1076">
            <v>521.21</v>
          </cell>
          <cell r="E1076">
            <v>0</v>
          </cell>
          <cell r="F1076">
            <v>521.21</v>
          </cell>
        </row>
        <row r="1077">
          <cell r="A1077" t="str">
            <v>71100000-10002000-20020000</v>
          </cell>
          <cell r="B1077" t="str">
            <v>CAMIONES Y CAMIONETAS (COMBUS)</v>
          </cell>
          <cell r="C1077">
            <v>0</v>
          </cell>
          <cell r="D1077">
            <v>23248.07</v>
          </cell>
          <cell r="E1077">
            <v>0</v>
          </cell>
          <cell r="F1077">
            <v>23248.07</v>
          </cell>
        </row>
        <row r="1078">
          <cell r="A1078" t="str">
            <v>71100000-10002000-21020000</v>
          </cell>
          <cell r="B1078" t="str">
            <v>HONORARIOS A SOCIEDADES MERCAN</v>
          </cell>
          <cell r="C1078">
            <v>0</v>
          </cell>
          <cell r="D1078">
            <v>1779.12</v>
          </cell>
          <cell r="E1078">
            <v>1779.12</v>
          </cell>
          <cell r="F1078">
            <v>0</v>
          </cell>
        </row>
        <row r="1079">
          <cell r="A1079" t="str">
            <v>71100000-10002000-23120000</v>
          </cell>
          <cell r="B1079" t="str">
            <v>DIVERSOS</v>
          </cell>
          <cell r="C1079">
            <v>0</v>
          </cell>
          <cell r="D1079">
            <v>1740.6</v>
          </cell>
          <cell r="E1079">
            <v>0</v>
          </cell>
          <cell r="F1079">
            <v>1740.6</v>
          </cell>
        </row>
        <row r="1080">
          <cell r="A1080" t="str">
            <v>71100000-10002000-23130000</v>
          </cell>
          <cell r="B1080" t="str">
            <v>OTROS IMPUESTOS Y DERECHOS</v>
          </cell>
          <cell r="C1080">
            <v>0</v>
          </cell>
          <cell r="D1080">
            <v>776.48</v>
          </cell>
          <cell r="E1080">
            <v>0</v>
          </cell>
          <cell r="F1080">
            <v>776.48</v>
          </cell>
        </row>
        <row r="1081">
          <cell r="A1081" t="str">
            <v>71100000-10002000-23140000</v>
          </cell>
          <cell r="B1081" t="str">
            <v>FLETES Y ACARREOS</v>
          </cell>
          <cell r="C1081">
            <v>0</v>
          </cell>
          <cell r="D1081">
            <v>6771.02</v>
          </cell>
          <cell r="E1081">
            <v>0</v>
          </cell>
          <cell r="F1081">
            <v>6771.02</v>
          </cell>
        </row>
        <row r="1082">
          <cell r="A1082" t="str">
            <v>71100000-10002000-35020000</v>
          </cell>
          <cell r="B1082" t="str">
            <v>DIVERSOS NO DEDUCIBLES</v>
          </cell>
          <cell r="C1082">
            <v>0</v>
          </cell>
          <cell r="D1082">
            <v>4592.18</v>
          </cell>
          <cell r="E1082">
            <v>0</v>
          </cell>
          <cell r="F1082">
            <v>4592.18</v>
          </cell>
        </row>
        <row r="1083">
          <cell r="A1083" t="str">
            <v>71100000-10002000-90030000</v>
          </cell>
          <cell r="B1083" t="str">
            <v>PROVISION AGUINALDO</v>
          </cell>
          <cell r="C1083">
            <v>0</v>
          </cell>
          <cell r="D1083">
            <v>4111.1099999999997</v>
          </cell>
          <cell r="E1083">
            <v>0</v>
          </cell>
          <cell r="F1083">
            <v>4111.1099999999997</v>
          </cell>
        </row>
        <row r="1084">
          <cell r="A1084" t="str">
            <v>71100000-10002000-90040000</v>
          </cell>
          <cell r="B1084" t="str">
            <v>BOLETIN D-3</v>
          </cell>
          <cell r="C1084">
            <v>0</v>
          </cell>
          <cell r="D1084">
            <v>409.5</v>
          </cell>
          <cell r="E1084">
            <v>0</v>
          </cell>
          <cell r="F1084">
            <v>409.5</v>
          </cell>
        </row>
        <row r="1085">
          <cell r="A1085" t="str">
            <v>71100000-10003000-00000000</v>
          </cell>
          <cell r="B1085" t="str">
            <v>COSTOS/GASTOS FIJOS MAT PRIMAS</v>
          </cell>
          <cell r="C1085">
            <v>0</v>
          </cell>
          <cell r="D1085">
            <v>57433.48</v>
          </cell>
          <cell r="E1085">
            <v>0</v>
          </cell>
          <cell r="F1085">
            <v>57433.48</v>
          </cell>
        </row>
        <row r="1086">
          <cell r="A1086" t="str">
            <v>71100000-10003000-01010000</v>
          </cell>
          <cell r="B1086" t="str">
            <v>SUELDOS Y SALARIOS</v>
          </cell>
          <cell r="C1086">
            <v>0</v>
          </cell>
          <cell r="D1086">
            <v>27277.3</v>
          </cell>
          <cell r="E1086">
            <v>0</v>
          </cell>
          <cell r="F1086">
            <v>27277.3</v>
          </cell>
        </row>
        <row r="1087">
          <cell r="A1087" t="str">
            <v>71100000-10003000-01030000</v>
          </cell>
          <cell r="B1087" t="str">
            <v>GRATIFICACIONES</v>
          </cell>
          <cell r="C1087">
            <v>0</v>
          </cell>
          <cell r="D1087">
            <v>1179.75</v>
          </cell>
          <cell r="E1087">
            <v>0</v>
          </cell>
          <cell r="F1087">
            <v>1179.75</v>
          </cell>
        </row>
        <row r="1088">
          <cell r="A1088" t="str">
            <v>71100000-10003000-01040000</v>
          </cell>
          <cell r="B1088" t="str">
            <v>VACACIONES</v>
          </cell>
          <cell r="C1088">
            <v>0</v>
          </cell>
          <cell r="D1088">
            <v>807.5</v>
          </cell>
          <cell r="E1088">
            <v>0</v>
          </cell>
          <cell r="F1088">
            <v>807.5</v>
          </cell>
        </row>
        <row r="1089">
          <cell r="A1089" t="str">
            <v>71100000-10003000-01050000</v>
          </cell>
          <cell r="B1089" t="str">
            <v>PRIMA VACACIONAL</v>
          </cell>
          <cell r="C1089">
            <v>0</v>
          </cell>
          <cell r="D1089">
            <v>524.88</v>
          </cell>
          <cell r="E1089">
            <v>0</v>
          </cell>
          <cell r="F1089">
            <v>524.88</v>
          </cell>
        </row>
        <row r="1090">
          <cell r="A1090" t="str">
            <v>71100000-10003000-02010000</v>
          </cell>
          <cell r="B1090" t="str">
            <v>A SINDICALIZADOS</v>
          </cell>
          <cell r="C1090">
            <v>0</v>
          </cell>
          <cell r="D1090">
            <v>897.81</v>
          </cell>
          <cell r="E1090">
            <v>0</v>
          </cell>
          <cell r="F1090">
            <v>897.81</v>
          </cell>
        </row>
        <row r="1091">
          <cell r="A1091" t="str">
            <v>71100000-10003000-03010000</v>
          </cell>
          <cell r="B1091" t="str">
            <v>FONDO DE AHORRO</v>
          </cell>
          <cell r="C1091">
            <v>0</v>
          </cell>
          <cell r="D1091">
            <v>2182.1799999999998</v>
          </cell>
          <cell r="E1091">
            <v>0</v>
          </cell>
          <cell r="F1091">
            <v>2182.1799999999998</v>
          </cell>
        </row>
        <row r="1092">
          <cell r="A1092" t="str">
            <v>71100000-10003000-03020000</v>
          </cell>
          <cell r="B1092" t="str">
            <v>CUOTAS AL I.M.S.S.</v>
          </cell>
          <cell r="C1092">
            <v>0</v>
          </cell>
          <cell r="D1092">
            <v>4413.8</v>
          </cell>
          <cell r="E1092">
            <v>0</v>
          </cell>
          <cell r="F1092">
            <v>4413.8</v>
          </cell>
        </row>
        <row r="1093">
          <cell r="A1093" t="str">
            <v>71100000-10003000-03030000</v>
          </cell>
          <cell r="B1093" t="str">
            <v>UNIFORMES Y EQUIPO</v>
          </cell>
          <cell r="C1093">
            <v>0</v>
          </cell>
          <cell r="D1093">
            <v>540</v>
          </cell>
          <cell r="E1093">
            <v>0</v>
          </cell>
          <cell r="F1093">
            <v>540</v>
          </cell>
        </row>
        <row r="1094">
          <cell r="A1094" t="str">
            <v>71100000-10003000-03040000</v>
          </cell>
          <cell r="B1094" t="str">
            <v>DESPENSA EN VALES</v>
          </cell>
          <cell r="C1094">
            <v>0</v>
          </cell>
          <cell r="D1094">
            <v>3325</v>
          </cell>
          <cell r="E1094">
            <v>0</v>
          </cell>
          <cell r="F1094">
            <v>3325</v>
          </cell>
        </row>
        <row r="1095">
          <cell r="A1095" t="str">
            <v>71100000-10003000-04010000</v>
          </cell>
          <cell r="B1095" t="str">
            <v>2.5% SOBRE NOMINAS</v>
          </cell>
          <cell r="C1095">
            <v>0</v>
          </cell>
          <cell r="D1095">
            <v>657</v>
          </cell>
          <cell r="E1095">
            <v>0</v>
          </cell>
          <cell r="F1095">
            <v>657</v>
          </cell>
        </row>
        <row r="1096">
          <cell r="A1096" t="str">
            <v>71100000-10003000-04020000</v>
          </cell>
          <cell r="B1096" t="str">
            <v>5% INFONAVIT</v>
          </cell>
          <cell r="C1096">
            <v>0</v>
          </cell>
          <cell r="D1096">
            <v>1868.13</v>
          </cell>
          <cell r="E1096">
            <v>0</v>
          </cell>
          <cell r="F1096">
            <v>1868.13</v>
          </cell>
        </row>
        <row r="1097">
          <cell r="A1097" t="str">
            <v>71100000-10003000-04030000</v>
          </cell>
          <cell r="B1097" t="str">
            <v>2% S.A.R. / RETIRO</v>
          </cell>
          <cell r="C1097">
            <v>0</v>
          </cell>
          <cell r="D1097">
            <v>747.25</v>
          </cell>
          <cell r="E1097">
            <v>0</v>
          </cell>
          <cell r="F1097">
            <v>747.25</v>
          </cell>
        </row>
        <row r="1098">
          <cell r="A1098" t="str">
            <v>71100000-10003000-04040000</v>
          </cell>
          <cell r="B1098" t="str">
            <v>CESANTIA Y VEJEZ</v>
          </cell>
          <cell r="C1098">
            <v>0</v>
          </cell>
          <cell r="D1098">
            <v>1168.6500000000001</v>
          </cell>
          <cell r="E1098">
            <v>0</v>
          </cell>
          <cell r="F1098">
            <v>1168.6500000000001</v>
          </cell>
        </row>
        <row r="1099">
          <cell r="A1099" t="str">
            <v>71100000-10003000-05010000</v>
          </cell>
          <cell r="B1099" t="str">
            <v>SERV. PROFESIONALES EXTERNOS</v>
          </cell>
          <cell r="C1099">
            <v>0</v>
          </cell>
          <cell r="D1099">
            <v>1070.0999999999999</v>
          </cell>
          <cell r="E1099">
            <v>0</v>
          </cell>
          <cell r="F1099">
            <v>1070.0999999999999</v>
          </cell>
        </row>
        <row r="1100">
          <cell r="A1100" t="str">
            <v>71100000-10003000-11020000</v>
          </cell>
          <cell r="B1100" t="str">
            <v>ARREND. DIVERSOS</v>
          </cell>
          <cell r="C1100">
            <v>0</v>
          </cell>
          <cell r="D1100">
            <v>2600</v>
          </cell>
          <cell r="E1100">
            <v>0</v>
          </cell>
          <cell r="F1100">
            <v>2600</v>
          </cell>
        </row>
        <row r="1101">
          <cell r="A1101" t="str">
            <v>71100000-10003000-15040000</v>
          </cell>
          <cell r="B1101" t="str">
            <v>MANTTO A EQUIPOS DE PRODUCCION</v>
          </cell>
          <cell r="C1101">
            <v>0</v>
          </cell>
          <cell r="D1101">
            <v>1450</v>
          </cell>
          <cell r="E1101">
            <v>0</v>
          </cell>
          <cell r="F1101">
            <v>1450</v>
          </cell>
        </row>
        <row r="1102">
          <cell r="A1102" t="str">
            <v>71100000-10003000-16010000</v>
          </cell>
          <cell r="B1102" t="str">
            <v>PAPELERIA</v>
          </cell>
          <cell r="C1102">
            <v>0</v>
          </cell>
          <cell r="D1102">
            <v>2700</v>
          </cell>
          <cell r="E1102">
            <v>0</v>
          </cell>
          <cell r="F1102">
            <v>2700</v>
          </cell>
        </row>
        <row r="1103">
          <cell r="A1103" t="str">
            <v>71100000-10003000-23120000</v>
          </cell>
          <cell r="B1103" t="str">
            <v>DIVERSOS</v>
          </cell>
          <cell r="C1103">
            <v>0</v>
          </cell>
          <cell r="D1103">
            <v>1478</v>
          </cell>
          <cell r="E1103">
            <v>0</v>
          </cell>
          <cell r="F1103">
            <v>1478</v>
          </cell>
        </row>
        <row r="1104">
          <cell r="A1104" t="str">
            <v>71100000-10003000-90030000</v>
          </cell>
          <cell r="B1104" t="str">
            <v>PROVISION AGUINALDO</v>
          </cell>
          <cell r="C1104">
            <v>0</v>
          </cell>
          <cell r="D1104">
            <v>2312.13</v>
          </cell>
          <cell r="E1104">
            <v>0</v>
          </cell>
          <cell r="F1104">
            <v>2312.13</v>
          </cell>
        </row>
        <row r="1105">
          <cell r="A1105" t="str">
            <v>71100000-10003000-90040000</v>
          </cell>
          <cell r="B1105" t="str">
            <v>BOLETIN D-3</v>
          </cell>
          <cell r="C1105">
            <v>0</v>
          </cell>
          <cell r="D1105">
            <v>234</v>
          </cell>
          <cell r="E1105">
            <v>0</v>
          </cell>
          <cell r="F1105">
            <v>234</v>
          </cell>
        </row>
        <row r="1106">
          <cell r="A1106" t="str">
            <v>71100000-10004000-00000000</v>
          </cell>
          <cell r="B1106" t="str">
            <v>COSTOS/GASTOS FIJOS PRODUCCION</v>
          </cell>
          <cell r="C1106">
            <v>0</v>
          </cell>
          <cell r="D1106">
            <v>362451.58</v>
          </cell>
          <cell r="E1106">
            <v>0</v>
          </cell>
          <cell r="F1106">
            <v>362451.58</v>
          </cell>
        </row>
        <row r="1107">
          <cell r="A1107" t="str">
            <v>71100000-10004000-01010000</v>
          </cell>
          <cell r="B1107" t="str">
            <v>SUELDOS Y SALARIOS</v>
          </cell>
          <cell r="C1107">
            <v>0</v>
          </cell>
          <cell r="D1107">
            <v>133604.9</v>
          </cell>
          <cell r="E1107">
            <v>0</v>
          </cell>
          <cell r="F1107">
            <v>133604.9</v>
          </cell>
        </row>
        <row r="1108">
          <cell r="A1108" t="str">
            <v>71100000-10004000-01030000</v>
          </cell>
          <cell r="B1108" t="str">
            <v>GRATIFICACIONES</v>
          </cell>
          <cell r="C1108">
            <v>0</v>
          </cell>
          <cell r="D1108">
            <v>20642.45</v>
          </cell>
          <cell r="E1108">
            <v>0</v>
          </cell>
          <cell r="F1108">
            <v>20642.45</v>
          </cell>
        </row>
        <row r="1109">
          <cell r="A1109" t="str">
            <v>71100000-10004000-01040000</v>
          </cell>
          <cell r="B1109" t="str">
            <v>VACACIONES</v>
          </cell>
          <cell r="C1109">
            <v>0</v>
          </cell>
          <cell r="D1109">
            <v>10343.5</v>
          </cell>
          <cell r="E1109">
            <v>0</v>
          </cell>
          <cell r="F1109">
            <v>10343.5</v>
          </cell>
        </row>
        <row r="1110">
          <cell r="A1110" t="str">
            <v>71100000-10004000-01050000</v>
          </cell>
          <cell r="B1110" t="str">
            <v>PRIMA VACACIONAL</v>
          </cell>
          <cell r="C1110">
            <v>0</v>
          </cell>
          <cell r="D1110">
            <v>6662.28</v>
          </cell>
          <cell r="E1110">
            <v>0</v>
          </cell>
          <cell r="F1110">
            <v>6662.28</v>
          </cell>
        </row>
        <row r="1111">
          <cell r="A1111" t="str">
            <v>71100000-10004000-02010000</v>
          </cell>
          <cell r="B1111" t="str">
            <v>A SINDICALIZADOS</v>
          </cell>
          <cell r="C1111">
            <v>0</v>
          </cell>
          <cell r="D1111">
            <v>3180.14</v>
          </cell>
          <cell r="E1111">
            <v>0</v>
          </cell>
          <cell r="F1111">
            <v>3180.14</v>
          </cell>
        </row>
        <row r="1112">
          <cell r="A1112" t="str">
            <v>71100000-10004000-03010000</v>
          </cell>
          <cell r="B1112" t="str">
            <v>FONDO DE AHORRO</v>
          </cell>
          <cell r="C1112">
            <v>0</v>
          </cell>
          <cell r="D1112">
            <v>10405.620000000001</v>
          </cell>
          <cell r="E1112">
            <v>0</v>
          </cell>
          <cell r="F1112">
            <v>10405.620000000001</v>
          </cell>
        </row>
        <row r="1113">
          <cell r="A1113" t="str">
            <v>71100000-10004000-03020000</v>
          </cell>
          <cell r="B1113" t="str">
            <v>CUOTAS AL I.M.S.S.</v>
          </cell>
          <cell r="C1113">
            <v>0</v>
          </cell>
          <cell r="D1113">
            <v>20680.27</v>
          </cell>
          <cell r="E1113">
            <v>0</v>
          </cell>
          <cell r="F1113">
            <v>20680.27</v>
          </cell>
        </row>
        <row r="1114">
          <cell r="A1114" t="str">
            <v>71100000-10004000-03040000</v>
          </cell>
          <cell r="B1114" t="str">
            <v>DESPENSA EN VALES</v>
          </cell>
          <cell r="C1114">
            <v>0</v>
          </cell>
          <cell r="D1114">
            <v>11046</v>
          </cell>
          <cell r="E1114">
            <v>0</v>
          </cell>
          <cell r="F1114">
            <v>11046</v>
          </cell>
        </row>
        <row r="1115">
          <cell r="A1115" t="str">
            <v>71100000-10004000-03050000</v>
          </cell>
          <cell r="B1115" t="str">
            <v>PREMIO DE ASISTENCIA</v>
          </cell>
          <cell r="C1115">
            <v>0</v>
          </cell>
          <cell r="D1115">
            <v>280</v>
          </cell>
          <cell r="E1115">
            <v>0</v>
          </cell>
          <cell r="F1115">
            <v>280</v>
          </cell>
        </row>
        <row r="1116">
          <cell r="A1116" t="str">
            <v>71100000-10004000-03060000</v>
          </cell>
          <cell r="B1116" t="str">
            <v>AYUDA P/GTS DE DEFUNCION Y ALU</v>
          </cell>
          <cell r="C1116">
            <v>0</v>
          </cell>
          <cell r="D1116">
            <v>660</v>
          </cell>
          <cell r="E1116">
            <v>0</v>
          </cell>
          <cell r="F1116">
            <v>660</v>
          </cell>
        </row>
        <row r="1117">
          <cell r="A1117" t="str">
            <v>71100000-10004000-04010000</v>
          </cell>
          <cell r="B1117" t="str">
            <v>2.5% SOBRE NOMINAS</v>
          </cell>
          <cell r="C1117">
            <v>0</v>
          </cell>
          <cell r="D1117">
            <v>4644</v>
          </cell>
          <cell r="E1117">
            <v>0</v>
          </cell>
          <cell r="F1117">
            <v>4644</v>
          </cell>
        </row>
        <row r="1118">
          <cell r="A1118" t="str">
            <v>71100000-10004000-04020000</v>
          </cell>
          <cell r="B1118" t="str">
            <v>5% INFONAVIT</v>
          </cell>
          <cell r="C1118">
            <v>0</v>
          </cell>
          <cell r="D1118">
            <v>10632.56</v>
          </cell>
          <cell r="E1118">
            <v>0</v>
          </cell>
          <cell r="F1118">
            <v>10632.56</v>
          </cell>
        </row>
        <row r="1119">
          <cell r="A1119" t="str">
            <v>71100000-10004000-04030000</v>
          </cell>
          <cell r="B1119" t="str">
            <v>2% S.A.R. / RETIRO</v>
          </cell>
          <cell r="C1119">
            <v>0</v>
          </cell>
          <cell r="D1119">
            <v>4253.0200000000004</v>
          </cell>
          <cell r="E1119">
            <v>0</v>
          </cell>
          <cell r="F1119">
            <v>4253.0200000000004</v>
          </cell>
        </row>
        <row r="1120">
          <cell r="A1120" t="str">
            <v>71100000-10004000-04040000</v>
          </cell>
          <cell r="B1120" t="str">
            <v>CESANTIA Y VEJEZ</v>
          </cell>
          <cell r="C1120">
            <v>0</v>
          </cell>
          <cell r="D1120">
            <v>6765.23</v>
          </cell>
          <cell r="E1120">
            <v>0</v>
          </cell>
          <cell r="F1120">
            <v>6765.23</v>
          </cell>
        </row>
        <row r="1121">
          <cell r="A1121" t="str">
            <v>71100000-10004000-15040000</v>
          </cell>
          <cell r="B1121" t="str">
            <v>MANTTO A EQUIPOS DE PRODUCCION</v>
          </cell>
          <cell r="C1121">
            <v>0</v>
          </cell>
          <cell r="D1121">
            <v>39291.22</v>
          </cell>
          <cell r="E1121">
            <v>0</v>
          </cell>
          <cell r="F1121">
            <v>39291.22</v>
          </cell>
        </row>
        <row r="1122">
          <cell r="A1122" t="str">
            <v>71100000-10004000-18020000</v>
          </cell>
          <cell r="B1122" t="str">
            <v>PASAJES Y TRANSPORTES LOCALES</v>
          </cell>
          <cell r="C1122">
            <v>0</v>
          </cell>
          <cell r="D1122">
            <v>1210</v>
          </cell>
          <cell r="E1122">
            <v>0</v>
          </cell>
          <cell r="F1122">
            <v>1210</v>
          </cell>
        </row>
        <row r="1123">
          <cell r="A1123" t="str">
            <v>71100000-10004000-20010000</v>
          </cell>
          <cell r="B1123" t="str">
            <v>COMBUSTIBLE AUTOMOVILES</v>
          </cell>
          <cell r="C1123">
            <v>0</v>
          </cell>
          <cell r="D1123">
            <v>1413.93</v>
          </cell>
          <cell r="E1123">
            <v>0</v>
          </cell>
          <cell r="F1123">
            <v>1413.93</v>
          </cell>
        </row>
        <row r="1124">
          <cell r="A1124" t="str">
            <v>71100000-10004000-23070000</v>
          </cell>
          <cell r="B1124" t="str">
            <v>TARIMAS</v>
          </cell>
          <cell r="C1124">
            <v>0</v>
          </cell>
          <cell r="D1124">
            <v>3750</v>
          </cell>
          <cell r="E1124">
            <v>0</v>
          </cell>
          <cell r="F1124">
            <v>3750</v>
          </cell>
        </row>
        <row r="1125">
          <cell r="A1125" t="str">
            <v>71100000-10004000-23090000</v>
          </cell>
          <cell r="B1125" t="str">
            <v>ELEMENTOS EXTRAS DE EMBALAJE</v>
          </cell>
          <cell r="C1125">
            <v>0</v>
          </cell>
          <cell r="D1125">
            <v>40315.5</v>
          </cell>
          <cell r="E1125">
            <v>0</v>
          </cell>
          <cell r="F1125">
            <v>40315.5</v>
          </cell>
        </row>
        <row r="1126">
          <cell r="A1126" t="str">
            <v>71100000-10004000-23100000</v>
          </cell>
          <cell r="B1126" t="str">
            <v>ETIQUETAS Y CODIGOS</v>
          </cell>
          <cell r="C1126">
            <v>0</v>
          </cell>
          <cell r="D1126">
            <v>6235</v>
          </cell>
          <cell r="E1126">
            <v>0</v>
          </cell>
          <cell r="F1126">
            <v>6235</v>
          </cell>
        </row>
        <row r="1127">
          <cell r="A1127" t="str">
            <v>71100000-10004000-23120000</v>
          </cell>
          <cell r="B1127" t="str">
            <v>DIVERSOS</v>
          </cell>
          <cell r="C1127">
            <v>0</v>
          </cell>
          <cell r="D1127">
            <v>14255.3</v>
          </cell>
          <cell r="E1127">
            <v>0</v>
          </cell>
          <cell r="F1127">
            <v>14255.3</v>
          </cell>
        </row>
        <row r="1128">
          <cell r="A1128" t="str">
            <v>71100000-10004000-90030000</v>
          </cell>
          <cell r="B1128" t="str">
            <v>PROVISION AGUINALDO</v>
          </cell>
          <cell r="C1128">
            <v>0</v>
          </cell>
          <cell r="D1128">
            <v>11361.66</v>
          </cell>
          <cell r="E1128">
            <v>0</v>
          </cell>
          <cell r="F1128">
            <v>11361.66</v>
          </cell>
        </row>
        <row r="1129">
          <cell r="A1129" t="str">
            <v>71100000-10004000-90040000</v>
          </cell>
          <cell r="B1129" t="str">
            <v>BOLETIN D-3</v>
          </cell>
          <cell r="C1129">
            <v>0</v>
          </cell>
          <cell r="D1129">
            <v>819</v>
          </cell>
          <cell r="E1129">
            <v>0</v>
          </cell>
          <cell r="F1129">
            <v>819</v>
          </cell>
        </row>
        <row r="1130">
          <cell r="A1130" t="str">
            <v>71100000-10005000-00000000</v>
          </cell>
          <cell r="B1130" t="str">
            <v>COSTOS/GASTOS FIJOS LABORATORI</v>
          </cell>
          <cell r="C1130">
            <v>0</v>
          </cell>
          <cell r="D1130">
            <v>213460.56</v>
          </cell>
          <cell r="E1130">
            <v>6712</v>
          </cell>
          <cell r="F1130">
            <v>206748.56</v>
          </cell>
        </row>
        <row r="1131">
          <cell r="A1131" t="str">
            <v>71100000-10005000-01010000</v>
          </cell>
          <cell r="B1131" t="str">
            <v>SUELDOS Y SALARIOS</v>
          </cell>
          <cell r="C1131">
            <v>0</v>
          </cell>
          <cell r="D1131">
            <v>69038</v>
          </cell>
          <cell r="E1131">
            <v>0</v>
          </cell>
          <cell r="F1131">
            <v>69038</v>
          </cell>
        </row>
        <row r="1132">
          <cell r="A1132" t="str">
            <v>71100000-10005000-01030000</v>
          </cell>
          <cell r="B1132" t="str">
            <v>GRATIFICACIONES</v>
          </cell>
          <cell r="C1132">
            <v>0</v>
          </cell>
          <cell r="D1132">
            <v>11079.17</v>
          </cell>
          <cell r="E1132">
            <v>0</v>
          </cell>
          <cell r="F1132">
            <v>11079.17</v>
          </cell>
        </row>
        <row r="1133">
          <cell r="A1133" t="str">
            <v>71100000-10005000-01040000</v>
          </cell>
          <cell r="B1133" t="str">
            <v>VACACIONES</v>
          </cell>
          <cell r="C1133">
            <v>0</v>
          </cell>
          <cell r="D1133">
            <v>8152</v>
          </cell>
          <cell r="E1133">
            <v>0</v>
          </cell>
          <cell r="F1133">
            <v>8152</v>
          </cell>
        </row>
        <row r="1134">
          <cell r="A1134" t="str">
            <v>71100000-10005000-01050000</v>
          </cell>
          <cell r="B1134" t="str">
            <v>PRIMA VACACIONAL</v>
          </cell>
          <cell r="C1134">
            <v>0</v>
          </cell>
          <cell r="D1134">
            <v>5298.8</v>
          </cell>
          <cell r="E1134">
            <v>0</v>
          </cell>
          <cell r="F1134">
            <v>5298.8</v>
          </cell>
        </row>
        <row r="1135">
          <cell r="A1135" t="str">
            <v>71100000-10005000-03010000</v>
          </cell>
          <cell r="B1135" t="str">
            <v>FONDO DE AHORRO</v>
          </cell>
          <cell r="C1135">
            <v>0</v>
          </cell>
          <cell r="D1135">
            <v>5523.04</v>
          </cell>
          <cell r="E1135">
            <v>0</v>
          </cell>
          <cell r="F1135">
            <v>5523.04</v>
          </cell>
        </row>
        <row r="1136">
          <cell r="A1136" t="str">
            <v>71100000-10005000-03020000</v>
          </cell>
          <cell r="B1136" t="str">
            <v>CUOTAS AL I.M.S.S.</v>
          </cell>
          <cell r="C1136">
            <v>0</v>
          </cell>
          <cell r="D1136">
            <v>10174.6</v>
          </cell>
          <cell r="E1136">
            <v>0</v>
          </cell>
          <cell r="F1136">
            <v>10174.6</v>
          </cell>
        </row>
        <row r="1137">
          <cell r="A1137" t="str">
            <v>71100000-10005000-03030000</v>
          </cell>
          <cell r="B1137" t="str">
            <v>UNIFORMES Y EQUIPO</v>
          </cell>
          <cell r="C1137">
            <v>0</v>
          </cell>
          <cell r="D1137">
            <v>10080</v>
          </cell>
          <cell r="E1137">
            <v>5040</v>
          </cell>
          <cell r="F1137">
            <v>5040</v>
          </cell>
        </row>
        <row r="1138">
          <cell r="A1138" t="str">
            <v>71100000-10005000-03040000</v>
          </cell>
          <cell r="B1138" t="str">
            <v>DESPENSA EN VALES</v>
          </cell>
          <cell r="C1138">
            <v>0</v>
          </cell>
          <cell r="D1138">
            <v>2988</v>
          </cell>
          <cell r="E1138">
            <v>0</v>
          </cell>
          <cell r="F1138">
            <v>2988</v>
          </cell>
        </row>
        <row r="1139">
          <cell r="A1139" t="str">
            <v>71100000-10005000-04010000</v>
          </cell>
          <cell r="B1139" t="str">
            <v>2.5% SOBRE NOMINAS</v>
          </cell>
          <cell r="C1139">
            <v>0</v>
          </cell>
          <cell r="D1139">
            <v>2477</v>
          </cell>
          <cell r="E1139">
            <v>0</v>
          </cell>
          <cell r="F1139">
            <v>2477</v>
          </cell>
        </row>
        <row r="1140">
          <cell r="A1140" t="str">
            <v>71100000-10005000-04020000</v>
          </cell>
          <cell r="B1140" t="str">
            <v>5% INFONAVIT</v>
          </cell>
          <cell r="C1140">
            <v>0</v>
          </cell>
          <cell r="D1140">
            <v>6342.46</v>
          </cell>
          <cell r="E1140">
            <v>0</v>
          </cell>
          <cell r="F1140">
            <v>6342.46</v>
          </cell>
        </row>
        <row r="1141">
          <cell r="A1141" t="str">
            <v>71100000-10005000-04030000</v>
          </cell>
          <cell r="B1141" t="str">
            <v>2% S.A.R. / RETIRO</v>
          </cell>
          <cell r="C1141">
            <v>0</v>
          </cell>
          <cell r="D1141">
            <v>2536.98</v>
          </cell>
          <cell r="E1141">
            <v>0</v>
          </cell>
          <cell r="F1141">
            <v>2536.98</v>
          </cell>
        </row>
        <row r="1142">
          <cell r="A1142" t="str">
            <v>71100000-10005000-04040000</v>
          </cell>
          <cell r="B1142" t="str">
            <v>CESANTIA Y VEJEZ</v>
          </cell>
          <cell r="C1142">
            <v>0</v>
          </cell>
          <cell r="D1142">
            <v>3995.75</v>
          </cell>
          <cell r="E1142">
            <v>0</v>
          </cell>
          <cell r="F1142">
            <v>3995.75</v>
          </cell>
        </row>
        <row r="1143">
          <cell r="A1143" t="str">
            <v>71100000-10005000-05010000</v>
          </cell>
          <cell r="B1143" t="str">
            <v>SERV. PROFESIONALES EXTERNOS</v>
          </cell>
          <cell r="C1143">
            <v>0</v>
          </cell>
          <cell r="D1143">
            <v>25878</v>
          </cell>
          <cell r="E1143">
            <v>0</v>
          </cell>
          <cell r="F1143">
            <v>25878</v>
          </cell>
        </row>
        <row r="1144">
          <cell r="A1144" t="str">
            <v>71100000-10005000-12010000</v>
          </cell>
          <cell r="B1144" t="str">
            <v>ARREND. AUTOMOVILES</v>
          </cell>
          <cell r="C1144">
            <v>0</v>
          </cell>
          <cell r="D1144">
            <v>2669.21</v>
          </cell>
          <cell r="E1144">
            <v>0</v>
          </cell>
          <cell r="F1144">
            <v>2669.21</v>
          </cell>
        </row>
        <row r="1145">
          <cell r="A1145" t="str">
            <v>71100000-10005000-15010000</v>
          </cell>
          <cell r="B1145" t="str">
            <v>MANT. AUTOMOVILES</v>
          </cell>
          <cell r="C1145">
            <v>0</v>
          </cell>
          <cell r="D1145">
            <v>2074.14</v>
          </cell>
          <cell r="E1145">
            <v>0</v>
          </cell>
          <cell r="F1145">
            <v>2074.14</v>
          </cell>
        </row>
        <row r="1146">
          <cell r="A1146" t="str">
            <v>71100000-10005000-15060000</v>
          </cell>
          <cell r="B1146" t="str">
            <v>MANTTO A EQUIPOS DE COMPUTO</v>
          </cell>
          <cell r="C1146">
            <v>0</v>
          </cell>
          <cell r="D1146">
            <v>1762.6</v>
          </cell>
          <cell r="E1146">
            <v>0</v>
          </cell>
          <cell r="F1146">
            <v>1762.6</v>
          </cell>
        </row>
        <row r="1147">
          <cell r="A1147" t="str">
            <v>71100000-10005000-16050000</v>
          </cell>
          <cell r="B1147" t="str">
            <v>HERRAMIENTAS</v>
          </cell>
          <cell r="C1147">
            <v>0</v>
          </cell>
          <cell r="D1147">
            <v>15421.71</v>
          </cell>
          <cell r="E1147">
            <v>0</v>
          </cell>
          <cell r="F1147">
            <v>15421.71</v>
          </cell>
        </row>
        <row r="1148">
          <cell r="A1148" t="str">
            <v>71100000-10005000-18050000</v>
          </cell>
          <cell r="B1148" t="str">
            <v>AGUA ELECTROPURA</v>
          </cell>
          <cell r="C1148">
            <v>0</v>
          </cell>
          <cell r="D1148">
            <v>1672</v>
          </cell>
          <cell r="E1148">
            <v>1672</v>
          </cell>
          <cell r="F1148">
            <v>0</v>
          </cell>
        </row>
        <row r="1149">
          <cell r="A1149" t="str">
            <v>71100000-10005000-20010000</v>
          </cell>
          <cell r="B1149" t="str">
            <v>COMBUSTIBLE AUTOMOVILES</v>
          </cell>
          <cell r="C1149">
            <v>0</v>
          </cell>
          <cell r="D1149">
            <v>4014.01</v>
          </cell>
          <cell r="E1149">
            <v>0</v>
          </cell>
          <cell r="F1149">
            <v>4014.01</v>
          </cell>
        </row>
        <row r="1150">
          <cell r="A1150" t="str">
            <v>71100000-10005000-23060000</v>
          </cell>
          <cell r="B1150" t="str">
            <v>GASTOS DE INVESTIGACION Y DESA</v>
          </cell>
          <cell r="C1150">
            <v>0</v>
          </cell>
          <cell r="D1150">
            <v>15531.59</v>
          </cell>
          <cell r="E1150">
            <v>0</v>
          </cell>
          <cell r="F1150">
            <v>15531.59</v>
          </cell>
        </row>
        <row r="1151">
          <cell r="A1151" t="str">
            <v>71100000-10005000-35020000</v>
          </cell>
          <cell r="B1151" t="str">
            <v>DIVERSOS NO DEDUCIBLES</v>
          </cell>
          <cell r="C1151">
            <v>0</v>
          </cell>
          <cell r="D1151">
            <v>500</v>
          </cell>
          <cell r="E1151">
            <v>0</v>
          </cell>
          <cell r="F1151">
            <v>500</v>
          </cell>
        </row>
        <row r="1152">
          <cell r="A1152" t="str">
            <v>71100000-10005000-90030000</v>
          </cell>
          <cell r="B1152" t="str">
            <v>PROVISION AGUINALDO</v>
          </cell>
          <cell r="C1152">
            <v>0</v>
          </cell>
          <cell r="D1152">
            <v>6017.5</v>
          </cell>
          <cell r="E1152">
            <v>0</v>
          </cell>
          <cell r="F1152">
            <v>6017.5</v>
          </cell>
        </row>
        <row r="1153">
          <cell r="A1153" t="str">
            <v>71100000-10005000-90040000</v>
          </cell>
          <cell r="B1153" t="str">
            <v>BOLETIN D-3</v>
          </cell>
          <cell r="C1153">
            <v>0</v>
          </cell>
          <cell r="D1153">
            <v>234</v>
          </cell>
          <cell r="E1153">
            <v>0</v>
          </cell>
          <cell r="F1153">
            <v>234</v>
          </cell>
        </row>
        <row r="1154">
          <cell r="A1154" t="str">
            <v>71100000-10006000-00000000</v>
          </cell>
          <cell r="B1154" t="str">
            <v>COSTOS/GASTOS FIJOS MUESTRAS</v>
          </cell>
          <cell r="C1154">
            <v>0</v>
          </cell>
          <cell r="D1154">
            <v>31610.76</v>
          </cell>
          <cell r="E1154">
            <v>0</v>
          </cell>
          <cell r="F1154">
            <v>31610.76</v>
          </cell>
        </row>
        <row r="1155">
          <cell r="A1155" t="str">
            <v>71100000-10006000-01010000</v>
          </cell>
          <cell r="B1155" t="str">
            <v>SUELDOS Y SALARIOS</v>
          </cell>
          <cell r="C1155">
            <v>0</v>
          </cell>
          <cell r="D1155">
            <v>17514.400000000001</v>
          </cell>
          <cell r="E1155">
            <v>0</v>
          </cell>
          <cell r="F1155">
            <v>17514.400000000001</v>
          </cell>
        </row>
        <row r="1156">
          <cell r="A1156" t="str">
            <v>71100000-10006000-01020000</v>
          </cell>
          <cell r="B1156" t="str">
            <v>AGUINALDO</v>
          </cell>
          <cell r="C1156">
            <v>0</v>
          </cell>
          <cell r="D1156">
            <v>116.82</v>
          </cell>
          <cell r="E1156">
            <v>0</v>
          </cell>
          <cell r="F1156">
            <v>116.82</v>
          </cell>
        </row>
        <row r="1157">
          <cell r="A1157" t="str">
            <v>71100000-10006000-01040000</v>
          </cell>
          <cell r="B1157" t="str">
            <v>VACACIONES</v>
          </cell>
          <cell r="C1157">
            <v>0</v>
          </cell>
          <cell r="D1157">
            <v>1187.58</v>
          </cell>
          <cell r="E1157">
            <v>0</v>
          </cell>
          <cell r="F1157">
            <v>1187.58</v>
          </cell>
        </row>
        <row r="1158">
          <cell r="A1158" t="str">
            <v>71100000-10006000-01050000</v>
          </cell>
          <cell r="B1158" t="str">
            <v>PRIMA VACACIONAL</v>
          </cell>
          <cell r="C1158">
            <v>0</v>
          </cell>
          <cell r="D1158">
            <v>733.7</v>
          </cell>
          <cell r="E1158">
            <v>0</v>
          </cell>
          <cell r="F1158">
            <v>733.7</v>
          </cell>
        </row>
        <row r="1159">
          <cell r="A1159" t="str">
            <v>71100000-10006000-02010000</v>
          </cell>
          <cell r="B1159" t="str">
            <v>A SINDICALIZADOS</v>
          </cell>
          <cell r="C1159">
            <v>0</v>
          </cell>
          <cell r="D1159">
            <v>546</v>
          </cell>
          <cell r="E1159">
            <v>0</v>
          </cell>
          <cell r="F1159">
            <v>546</v>
          </cell>
        </row>
        <row r="1160">
          <cell r="A1160" t="str">
            <v>71100000-10006000-03010000</v>
          </cell>
          <cell r="B1160" t="str">
            <v>FONDO DE AHORRO</v>
          </cell>
          <cell r="C1160">
            <v>0</v>
          </cell>
          <cell r="D1160">
            <v>1401.15</v>
          </cell>
          <cell r="E1160">
            <v>0</v>
          </cell>
          <cell r="F1160">
            <v>1401.15</v>
          </cell>
        </row>
        <row r="1161">
          <cell r="A1161" t="str">
            <v>71100000-10006000-03020000</v>
          </cell>
          <cell r="B1161" t="str">
            <v>CUOTAS AL I.M.S.S.</v>
          </cell>
          <cell r="C1161">
            <v>0</v>
          </cell>
          <cell r="D1161">
            <v>2765.06</v>
          </cell>
          <cell r="E1161">
            <v>0</v>
          </cell>
          <cell r="F1161">
            <v>2765.06</v>
          </cell>
        </row>
        <row r="1162">
          <cell r="A1162" t="str">
            <v>71100000-10006000-03040000</v>
          </cell>
          <cell r="B1162" t="str">
            <v>DESPENSA EN VALES</v>
          </cell>
          <cell r="C1162">
            <v>0</v>
          </cell>
          <cell r="D1162">
            <v>1900</v>
          </cell>
          <cell r="E1162">
            <v>0</v>
          </cell>
          <cell r="F1162">
            <v>1900</v>
          </cell>
        </row>
        <row r="1163">
          <cell r="A1163" t="str">
            <v>71100000-10006000-03050000</v>
          </cell>
          <cell r="B1163" t="str">
            <v>PREMIO DE ASISTENCIA</v>
          </cell>
          <cell r="C1163">
            <v>0</v>
          </cell>
          <cell r="D1163">
            <v>120</v>
          </cell>
          <cell r="E1163">
            <v>0</v>
          </cell>
          <cell r="F1163">
            <v>120</v>
          </cell>
        </row>
        <row r="1164">
          <cell r="A1164" t="str">
            <v>71100000-10006000-04010000</v>
          </cell>
          <cell r="B1164" t="str">
            <v>2.5% SOBRE NOMINAS</v>
          </cell>
          <cell r="C1164">
            <v>0</v>
          </cell>
          <cell r="D1164">
            <v>540</v>
          </cell>
          <cell r="E1164">
            <v>0</v>
          </cell>
          <cell r="F1164">
            <v>540</v>
          </cell>
        </row>
        <row r="1165">
          <cell r="A1165" t="str">
            <v>71100000-10006000-04020000</v>
          </cell>
          <cell r="B1165" t="str">
            <v>5% INFONAVIT</v>
          </cell>
          <cell r="C1165">
            <v>0</v>
          </cell>
          <cell r="D1165">
            <v>1535.04</v>
          </cell>
          <cell r="E1165">
            <v>0</v>
          </cell>
          <cell r="F1165">
            <v>1535.04</v>
          </cell>
        </row>
        <row r="1166">
          <cell r="A1166" t="str">
            <v>71100000-10006000-04030000</v>
          </cell>
          <cell r="B1166" t="str">
            <v>2% S.A.R. / RETIRO</v>
          </cell>
          <cell r="C1166">
            <v>0</v>
          </cell>
          <cell r="D1166">
            <v>614.01</v>
          </cell>
          <cell r="E1166">
            <v>0</v>
          </cell>
          <cell r="F1166">
            <v>614.01</v>
          </cell>
        </row>
        <row r="1167">
          <cell r="A1167" t="str">
            <v>71100000-10006000-04040000</v>
          </cell>
          <cell r="B1167" t="str">
            <v>CESANTIA Y VEJEZ</v>
          </cell>
          <cell r="C1167">
            <v>0</v>
          </cell>
          <cell r="D1167">
            <v>796.58</v>
          </cell>
          <cell r="E1167">
            <v>0</v>
          </cell>
          <cell r="F1167">
            <v>796.58</v>
          </cell>
        </row>
        <row r="1168">
          <cell r="A1168" t="str">
            <v>71100000-10006000-90030000</v>
          </cell>
          <cell r="B1168" t="str">
            <v>PROVISION AGUINALDO</v>
          </cell>
          <cell r="C1168">
            <v>0</v>
          </cell>
          <cell r="D1168">
            <v>1694.17</v>
          </cell>
          <cell r="E1168">
            <v>0</v>
          </cell>
          <cell r="F1168">
            <v>1694.17</v>
          </cell>
        </row>
        <row r="1169">
          <cell r="A1169" t="str">
            <v>71100000-10006000-90040000</v>
          </cell>
          <cell r="B1169" t="str">
            <v>BOLETIN D-3</v>
          </cell>
          <cell r="C1169">
            <v>0</v>
          </cell>
          <cell r="D1169">
            <v>146.25</v>
          </cell>
          <cell r="E1169">
            <v>0</v>
          </cell>
          <cell r="F1169">
            <v>146.25</v>
          </cell>
        </row>
        <row r="1170">
          <cell r="A1170" t="str">
            <v>71100000-10013000-00000000</v>
          </cell>
          <cell r="B1170" t="str">
            <v>COSTOS/GASTOS FIJOS CANCUN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</row>
        <row r="1171">
          <cell r="A1171" t="str">
            <v>71100000-10090000-00000000</v>
          </cell>
          <cell r="B1171" t="str">
            <v>APLICAC A INVENT Y COSTO FABRI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</row>
        <row r="1172">
          <cell r="A1172" t="str">
            <v>71200000-00000000-00000000</v>
          </cell>
          <cell r="B1172" t="str">
            <v>COSTOS/GASTOS FIJOS ADMON</v>
          </cell>
          <cell r="C1172">
            <v>0</v>
          </cell>
          <cell r="D1172">
            <v>870034.8</v>
          </cell>
          <cell r="E1172">
            <v>6503.04</v>
          </cell>
          <cell r="F1172">
            <v>863531.76</v>
          </cell>
        </row>
        <row r="1173">
          <cell r="F1173">
            <v>863531.76</v>
          </cell>
        </row>
        <row r="1174">
          <cell r="A1174" t="str">
            <v>71200000-20000000-00000000</v>
          </cell>
          <cell r="B1174" t="str">
            <v>COSTOS/GASTOS FIJOS ADMON</v>
          </cell>
          <cell r="C1174">
            <v>0</v>
          </cell>
          <cell r="D1174">
            <v>870034.8</v>
          </cell>
          <cell r="E1174">
            <v>6503.04</v>
          </cell>
        </row>
        <row r="1175">
          <cell r="A1175" t="str">
            <v>71200000-20001000-00000000</v>
          </cell>
          <cell r="B1175" t="str">
            <v>COSTOS/GASTOS FIJOS ADMON</v>
          </cell>
          <cell r="C1175">
            <v>0</v>
          </cell>
          <cell r="D1175">
            <v>777500.88</v>
          </cell>
          <cell r="E1175">
            <v>0</v>
          </cell>
          <cell r="F1175">
            <v>777500.88</v>
          </cell>
        </row>
        <row r="1176">
          <cell r="A1176" t="str">
            <v>71200000-20001000-01010000</v>
          </cell>
          <cell r="B1176" t="str">
            <v>SUELDOS Y SALARIOS</v>
          </cell>
          <cell r="C1176">
            <v>0</v>
          </cell>
          <cell r="D1176">
            <v>295298.23</v>
          </cell>
          <cell r="E1176">
            <v>0</v>
          </cell>
          <cell r="F1176">
            <v>295298.23</v>
          </cell>
        </row>
        <row r="1177">
          <cell r="A1177" t="str">
            <v>71200000-20001000-01030000</v>
          </cell>
          <cell r="B1177" t="str">
            <v>GRATIFICACIONES</v>
          </cell>
          <cell r="C1177">
            <v>0</v>
          </cell>
          <cell r="D1177">
            <v>16461.5</v>
          </cell>
          <cell r="E1177">
            <v>0</v>
          </cell>
          <cell r="F1177">
            <v>16461.5</v>
          </cell>
        </row>
        <row r="1178">
          <cell r="A1178" t="str">
            <v>71200000-20001000-01040000</v>
          </cell>
          <cell r="B1178" t="str">
            <v>VACACIONES</v>
          </cell>
          <cell r="C1178">
            <v>0</v>
          </cell>
          <cell r="D1178">
            <v>17777</v>
          </cell>
          <cell r="E1178">
            <v>0</v>
          </cell>
          <cell r="F1178">
            <v>17777</v>
          </cell>
        </row>
        <row r="1179">
          <cell r="A1179" t="str">
            <v>71200000-20001000-01050000</v>
          </cell>
          <cell r="B1179" t="str">
            <v>PRIMA VACACIONAL</v>
          </cell>
          <cell r="C1179">
            <v>0</v>
          </cell>
          <cell r="D1179">
            <v>11555.05</v>
          </cell>
          <cell r="E1179">
            <v>0</v>
          </cell>
          <cell r="F1179">
            <v>11555.05</v>
          </cell>
        </row>
        <row r="1180">
          <cell r="A1180" t="str">
            <v>71200000-20001000-03010000</v>
          </cell>
          <cell r="B1180" t="str">
            <v>FONDO DE AHORRO</v>
          </cell>
          <cell r="C1180">
            <v>0</v>
          </cell>
          <cell r="D1180">
            <v>20136.07</v>
          </cell>
          <cell r="E1180">
            <v>0</v>
          </cell>
          <cell r="F1180">
            <v>20136.07</v>
          </cell>
        </row>
        <row r="1181">
          <cell r="A1181" t="str">
            <v>71200000-20001000-03020000</v>
          </cell>
          <cell r="B1181" t="str">
            <v>CUOTAS AL I.M.S.S.</v>
          </cell>
          <cell r="C1181">
            <v>0</v>
          </cell>
          <cell r="D1181">
            <v>31242.94</v>
          </cell>
          <cell r="E1181">
            <v>0</v>
          </cell>
          <cell r="F1181">
            <v>31242.94</v>
          </cell>
        </row>
        <row r="1182">
          <cell r="A1182" t="str">
            <v>71200000-20001000-03040000</v>
          </cell>
          <cell r="B1182" t="str">
            <v>DESPENSA EN VALES</v>
          </cell>
          <cell r="C1182">
            <v>0</v>
          </cell>
          <cell r="D1182">
            <v>11273</v>
          </cell>
          <cell r="E1182">
            <v>0</v>
          </cell>
          <cell r="F1182">
            <v>11273</v>
          </cell>
        </row>
        <row r="1183">
          <cell r="A1183" t="str">
            <v>71200000-20001000-04010000</v>
          </cell>
          <cell r="B1183" t="str">
            <v>2.5% SOBRE NOMINAS</v>
          </cell>
          <cell r="C1183">
            <v>0</v>
          </cell>
          <cell r="D1183">
            <v>9123</v>
          </cell>
          <cell r="E1183">
            <v>0</v>
          </cell>
          <cell r="F1183">
            <v>9123</v>
          </cell>
        </row>
        <row r="1184">
          <cell r="A1184" t="str">
            <v>71200000-20001000-04020000</v>
          </cell>
          <cell r="B1184" t="str">
            <v>5% INFONAVIT</v>
          </cell>
          <cell r="C1184">
            <v>0</v>
          </cell>
          <cell r="D1184">
            <v>19809.16</v>
          </cell>
          <cell r="E1184">
            <v>0</v>
          </cell>
          <cell r="F1184">
            <v>19809.16</v>
          </cell>
        </row>
        <row r="1185">
          <cell r="A1185" t="str">
            <v>71200000-20001000-04030000</v>
          </cell>
          <cell r="B1185" t="str">
            <v>2% S.A.R. / RETIRO</v>
          </cell>
          <cell r="C1185">
            <v>0</v>
          </cell>
          <cell r="D1185">
            <v>7923.67</v>
          </cell>
          <cell r="E1185">
            <v>0</v>
          </cell>
          <cell r="F1185">
            <v>7923.67</v>
          </cell>
        </row>
        <row r="1186">
          <cell r="A1186" t="str">
            <v>71200000-20001000-04040000</v>
          </cell>
          <cell r="B1186" t="str">
            <v>CESANTIA Y VEJEZ</v>
          </cell>
          <cell r="C1186">
            <v>0</v>
          </cell>
          <cell r="D1186">
            <v>12539.6</v>
          </cell>
          <cell r="E1186">
            <v>0</v>
          </cell>
          <cell r="F1186">
            <v>12539.6</v>
          </cell>
        </row>
        <row r="1187">
          <cell r="A1187" t="str">
            <v>71200000-20001000-05010000</v>
          </cell>
          <cell r="B1187" t="str">
            <v>SERV. PROFESIONALES EXTERNOS</v>
          </cell>
          <cell r="C1187">
            <v>0</v>
          </cell>
          <cell r="D1187">
            <v>34847.71</v>
          </cell>
          <cell r="E1187">
            <v>0</v>
          </cell>
          <cell r="F1187">
            <v>34847.71</v>
          </cell>
        </row>
        <row r="1188">
          <cell r="A1188" t="str">
            <v>71200000-20001000-12010000</v>
          </cell>
          <cell r="B1188" t="str">
            <v>ARREND. AUTOMOVILES</v>
          </cell>
          <cell r="C1188">
            <v>0</v>
          </cell>
          <cell r="D1188">
            <v>9653.7199999999993</v>
          </cell>
          <cell r="E1188">
            <v>0</v>
          </cell>
          <cell r="F1188">
            <v>9653.7199999999993</v>
          </cell>
        </row>
        <row r="1189">
          <cell r="A1189" t="str">
            <v>71200000-20001000-14010000</v>
          </cell>
          <cell r="B1189" t="str">
            <v>SEG. AUTOMOVILES</v>
          </cell>
          <cell r="C1189">
            <v>0</v>
          </cell>
          <cell r="D1189">
            <v>2094.83</v>
          </cell>
          <cell r="E1189">
            <v>0</v>
          </cell>
          <cell r="F1189">
            <v>2094.83</v>
          </cell>
        </row>
        <row r="1190">
          <cell r="A1190" t="str">
            <v>71200000-20001000-14040000</v>
          </cell>
          <cell r="B1190" t="str">
            <v>VIDA</v>
          </cell>
          <cell r="C1190">
            <v>0</v>
          </cell>
          <cell r="D1190">
            <v>3675.13</v>
          </cell>
          <cell r="E1190">
            <v>0</v>
          </cell>
          <cell r="F1190">
            <v>3675.13</v>
          </cell>
        </row>
        <row r="1191">
          <cell r="A1191" t="str">
            <v>71200000-20001000-15010000</v>
          </cell>
          <cell r="B1191" t="str">
            <v>MANT. AUTOMOVILES</v>
          </cell>
          <cell r="C1191">
            <v>0</v>
          </cell>
          <cell r="D1191">
            <v>7935.58</v>
          </cell>
          <cell r="E1191">
            <v>0</v>
          </cell>
          <cell r="F1191">
            <v>7935.58</v>
          </cell>
        </row>
        <row r="1192">
          <cell r="A1192" t="str">
            <v>71200000-20001000-15060000</v>
          </cell>
          <cell r="B1192" t="str">
            <v>MANTTO A EQUIPOS DE COMPUTO</v>
          </cell>
          <cell r="C1192">
            <v>0</v>
          </cell>
          <cell r="D1192">
            <v>19400</v>
          </cell>
          <cell r="E1192">
            <v>0</v>
          </cell>
          <cell r="F1192">
            <v>19400</v>
          </cell>
        </row>
        <row r="1193">
          <cell r="A1193" t="str">
            <v>71200000-20001000-15080000</v>
          </cell>
          <cell r="B1193" t="str">
            <v>MANTTO A VARIOS</v>
          </cell>
          <cell r="C1193">
            <v>0</v>
          </cell>
          <cell r="D1193">
            <v>3200</v>
          </cell>
          <cell r="E1193">
            <v>0</v>
          </cell>
          <cell r="F1193">
            <v>3200</v>
          </cell>
        </row>
        <row r="1194">
          <cell r="A1194" t="str">
            <v>71200000-20001000-16010000</v>
          </cell>
          <cell r="B1194" t="str">
            <v>PAPELERIA</v>
          </cell>
          <cell r="C1194">
            <v>0</v>
          </cell>
          <cell r="D1194">
            <v>3861.83</v>
          </cell>
          <cell r="E1194">
            <v>0</v>
          </cell>
          <cell r="F1194">
            <v>3861.83</v>
          </cell>
        </row>
        <row r="1195">
          <cell r="A1195" t="str">
            <v>71200000-20001000-18010000</v>
          </cell>
          <cell r="B1195" t="str">
            <v>CAPACITACION Y ADIESTRAMIENTO</v>
          </cell>
          <cell r="C1195">
            <v>0</v>
          </cell>
          <cell r="D1195">
            <v>6559.13</v>
          </cell>
          <cell r="E1195">
            <v>0</v>
          </cell>
          <cell r="F1195">
            <v>6559.13</v>
          </cell>
        </row>
        <row r="1196">
          <cell r="A1196" t="str">
            <v>71200000-20001000-18020000</v>
          </cell>
          <cell r="B1196" t="str">
            <v>PASAJES Y TRANSPORTES LOCALES</v>
          </cell>
          <cell r="C1196">
            <v>0</v>
          </cell>
          <cell r="D1196">
            <v>2195</v>
          </cell>
          <cell r="E1196">
            <v>0</v>
          </cell>
          <cell r="F1196">
            <v>2195</v>
          </cell>
        </row>
        <row r="1197">
          <cell r="A1197" t="str">
            <v>71200000-20001000-18080000</v>
          </cell>
          <cell r="B1197" t="str">
            <v>COMEDOR</v>
          </cell>
          <cell r="C1197">
            <v>0</v>
          </cell>
          <cell r="D1197">
            <v>11053.48</v>
          </cell>
          <cell r="E1197">
            <v>0</v>
          </cell>
          <cell r="F1197">
            <v>11053.48</v>
          </cell>
        </row>
        <row r="1198">
          <cell r="A1198" t="str">
            <v>71200000-20001000-18110000</v>
          </cell>
          <cell r="B1198" t="str">
            <v>CONSUMOS RESTAURANT</v>
          </cell>
          <cell r="C1198">
            <v>0</v>
          </cell>
          <cell r="D1198">
            <v>54.31</v>
          </cell>
          <cell r="E1198">
            <v>0</v>
          </cell>
          <cell r="F1198">
            <v>54.31</v>
          </cell>
        </row>
        <row r="1199">
          <cell r="A1199" t="str">
            <v>71200000-20001000-19010000</v>
          </cell>
          <cell r="B1199" t="str">
            <v>TELEFONOS</v>
          </cell>
          <cell r="C1199">
            <v>0</v>
          </cell>
          <cell r="D1199">
            <v>5211.76</v>
          </cell>
          <cell r="E1199">
            <v>0</v>
          </cell>
          <cell r="F1199">
            <v>5211.76</v>
          </cell>
        </row>
        <row r="1200">
          <cell r="A1200" t="str">
            <v>71200000-20001000-19050000</v>
          </cell>
          <cell r="B1200" t="str">
            <v>INTERNET</v>
          </cell>
          <cell r="C1200">
            <v>0</v>
          </cell>
          <cell r="D1200">
            <v>9218.51</v>
          </cell>
          <cell r="E1200">
            <v>0</v>
          </cell>
          <cell r="F1200">
            <v>9218.51</v>
          </cell>
        </row>
        <row r="1201">
          <cell r="A1201" t="str">
            <v>71200000-20001000-19070000</v>
          </cell>
          <cell r="B1201" t="str">
            <v>MENSAJERIA ESPECIALIZADA</v>
          </cell>
          <cell r="C1201">
            <v>0</v>
          </cell>
          <cell r="D1201">
            <v>1013.91</v>
          </cell>
          <cell r="E1201">
            <v>0</v>
          </cell>
          <cell r="F1201">
            <v>1013.91</v>
          </cell>
        </row>
        <row r="1202">
          <cell r="A1202" t="str">
            <v>71200000-20001000-20010000</v>
          </cell>
          <cell r="B1202" t="str">
            <v>COMBUSTIBLE AUTOMOVILES</v>
          </cell>
          <cell r="C1202">
            <v>0</v>
          </cell>
          <cell r="D1202">
            <v>12446.97</v>
          </cell>
          <cell r="E1202">
            <v>0</v>
          </cell>
          <cell r="F1202">
            <v>12446.97</v>
          </cell>
        </row>
        <row r="1203">
          <cell r="A1203" t="str">
            <v>71200000-20001000-21020000</v>
          </cell>
          <cell r="B1203" t="str">
            <v>HONORARIOS A SOCIEDADES MERCAN</v>
          </cell>
          <cell r="C1203">
            <v>0</v>
          </cell>
          <cell r="D1203">
            <v>107621</v>
          </cell>
          <cell r="E1203">
            <v>0</v>
          </cell>
          <cell r="F1203">
            <v>107621</v>
          </cell>
        </row>
        <row r="1204">
          <cell r="A1204" t="str">
            <v>71200000-20001000-22050000</v>
          </cell>
          <cell r="B1204" t="str">
            <v>COMISIONES Y ASESORIAS EXTERNA</v>
          </cell>
          <cell r="C1204">
            <v>0</v>
          </cell>
          <cell r="D1204">
            <v>1186.06</v>
          </cell>
          <cell r="E1204">
            <v>0</v>
          </cell>
          <cell r="F1204">
            <v>1186.06</v>
          </cell>
        </row>
        <row r="1205">
          <cell r="A1205" t="str">
            <v>71200000-20001000-23120000</v>
          </cell>
          <cell r="B1205" t="str">
            <v>DIVERSOS</v>
          </cell>
          <cell r="C1205">
            <v>0</v>
          </cell>
          <cell r="D1205">
            <v>954.27</v>
          </cell>
          <cell r="E1205">
            <v>0</v>
          </cell>
          <cell r="F1205">
            <v>954.27</v>
          </cell>
        </row>
        <row r="1206">
          <cell r="A1206" t="str">
            <v>71200000-20001000-23130000</v>
          </cell>
          <cell r="B1206" t="str">
            <v>OTROS IMPUESTOS Y DERECHOS</v>
          </cell>
          <cell r="C1206">
            <v>0</v>
          </cell>
          <cell r="D1206">
            <v>1028.8800000000001</v>
          </cell>
          <cell r="E1206">
            <v>0</v>
          </cell>
          <cell r="F1206">
            <v>1028.8800000000001</v>
          </cell>
        </row>
        <row r="1207">
          <cell r="A1207" t="str">
            <v>71200000-20001000-23150000</v>
          </cell>
          <cell r="B1207" t="str">
            <v>ASEO LIMPIEZA E IMPLEMENTOS</v>
          </cell>
          <cell r="C1207">
            <v>0</v>
          </cell>
          <cell r="D1207">
            <v>3131.4</v>
          </cell>
          <cell r="E1207">
            <v>0</v>
          </cell>
          <cell r="F1207">
            <v>3131.4</v>
          </cell>
        </row>
        <row r="1208">
          <cell r="A1208" t="str">
            <v>71200000-20001000-23160000</v>
          </cell>
          <cell r="B1208" t="str">
            <v>ENFERMERIA</v>
          </cell>
          <cell r="C1208">
            <v>0</v>
          </cell>
          <cell r="D1208">
            <v>7356.56</v>
          </cell>
          <cell r="E1208">
            <v>0</v>
          </cell>
          <cell r="F1208">
            <v>7356.56</v>
          </cell>
        </row>
        <row r="1209">
          <cell r="A1209" t="str">
            <v>71200000-20001000-23200000</v>
          </cell>
          <cell r="B1209" t="str">
            <v>EVENTOS INTERNOS COREV</v>
          </cell>
          <cell r="C1209">
            <v>0</v>
          </cell>
          <cell r="D1209">
            <v>8501.23</v>
          </cell>
          <cell r="E1209">
            <v>0</v>
          </cell>
          <cell r="F1209">
            <v>8501.23</v>
          </cell>
        </row>
        <row r="1210">
          <cell r="A1210" t="str">
            <v>71200000-20001000-23220000</v>
          </cell>
          <cell r="B1210" t="str">
            <v>ALMACENAJE DE DOCUMENTOS</v>
          </cell>
          <cell r="C1210">
            <v>0</v>
          </cell>
          <cell r="D1210">
            <v>4258.03</v>
          </cell>
          <cell r="E1210">
            <v>0</v>
          </cell>
          <cell r="F1210">
            <v>4258.03</v>
          </cell>
        </row>
        <row r="1211">
          <cell r="A1211" t="str">
            <v>71200000-20001000-35020000</v>
          </cell>
          <cell r="B1211" t="str">
            <v>DIVERSOS NO DEDUCIBLES</v>
          </cell>
          <cell r="C1211">
            <v>0</v>
          </cell>
          <cell r="D1211">
            <v>7982.39</v>
          </cell>
          <cell r="E1211">
            <v>0</v>
          </cell>
          <cell r="F1211">
            <v>7982.39</v>
          </cell>
        </row>
        <row r="1212">
          <cell r="A1212" t="str">
            <v>71200000-20001000-90010000</v>
          </cell>
          <cell r="B1212" t="str">
            <v>PRIMA DE ANTIGUEDAD</v>
          </cell>
          <cell r="C1212">
            <v>0</v>
          </cell>
          <cell r="D1212">
            <v>3029.93</v>
          </cell>
          <cell r="E1212">
            <v>0</v>
          </cell>
          <cell r="F1212">
            <v>3029.93</v>
          </cell>
        </row>
        <row r="1213">
          <cell r="A1213" t="str">
            <v>71200000-20001000-90020000</v>
          </cell>
          <cell r="B1213" t="str">
            <v>PLAN DE PENSIONES</v>
          </cell>
          <cell r="C1213">
            <v>0</v>
          </cell>
          <cell r="D1213">
            <v>22328.49</v>
          </cell>
          <cell r="E1213">
            <v>0</v>
          </cell>
          <cell r="F1213">
            <v>22328.49</v>
          </cell>
        </row>
        <row r="1214">
          <cell r="A1214" t="str">
            <v>71200000-20001000-90030000</v>
          </cell>
          <cell r="B1214" t="str">
            <v>PROVISION AGUINALDO</v>
          </cell>
          <cell r="C1214">
            <v>0</v>
          </cell>
          <cell r="D1214">
            <v>23801.05</v>
          </cell>
          <cell r="E1214">
            <v>0</v>
          </cell>
          <cell r="F1214">
            <v>23801.05</v>
          </cell>
        </row>
        <row r="1215">
          <cell r="A1215" t="str">
            <v>71200000-20001000-90040000</v>
          </cell>
          <cell r="B1215" t="str">
            <v>BOLETIN D-3</v>
          </cell>
          <cell r="C1215">
            <v>0</v>
          </cell>
          <cell r="D1215">
            <v>760.5</v>
          </cell>
          <cell r="E1215">
            <v>0</v>
          </cell>
          <cell r="F1215">
            <v>760.5</v>
          </cell>
        </row>
        <row r="1216">
          <cell r="A1216" t="str">
            <v>71200000-20002000-00000000</v>
          </cell>
          <cell r="B1216" t="str">
            <v>COSTOS/GASTOS FIJOS LEGAL</v>
          </cell>
          <cell r="C1216">
            <v>0</v>
          </cell>
          <cell r="D1216">
            <v>55459.02</v>
          </cell>
          <cell r="E1216">
            <v>6503.04</v>
          </cell>
          <cell r="F1216">
            <v>48955.98</v>
          </cell>
        </row>
        <row r="1217">
          <cell r="A1217" t="str">
            <v>71200000-20002000-01010000</v>
          </cell>
          <cell r="B1217" t="str">
            <v>SUELDOS Y SALARIOS</v>
          </cell>
          <cell r="C1217">
            <v>0</v>
          </cell>
          <cell r="D1217">
            <v>17980</v>
          </cell>
          <cell r="E1217">
            <v>0</v>
          </cell>
          <cell r="F1217">
            <v>17980</v>
          </cell>
        </row>
        <row r="1218">
          <cell r="A1218" t="str">
            <v>71200000-20002000-01030000</v>
          </cell>
          <cell r="B1218" t="str">
            <v>GRATIFICACIONES</v>
          </cell>
          <cell r="C1218">
            <v>0</v>
          </cell>
          <cell r="D1218">
            <v>1000</v>
          </cell>
          <cell r="E1218">
            <v>0</v>
          </cell>
          <cell r="F1218">
            <v>1000</v>
          </cell>
        </row>
        <row r="1219">
          <cell r="A1219" t="str">
            <v>71200000-20002000-01040000</v>
          </cell>
          <cell r="B1219" t="str">
            <v>VACACIONES</v>
          </cell>
          <cell r="C1219">
            <v>0</v>
          </cell>
          <cell r="D1219">
            <v>1240</v>
          </cell>
          <cell r="E1219">
            <v>0</v>
          </cell>
          <cell r="F1219">
            <v>1240</v>
          </cell>
        </row>
        <row r="1220">
          <cell r="A1220" t="str">
            <v>71200000-20002000-01050000</v>
          </cell>
          <cell r="B1220" t="str">
            <v>PRIMA VACACIONAL</v>
          </cell>
          <cell r="C1220">
            <v>0</v>
          </cell>
          <cell r="D1220">
            <v>806</v>
          </cell>
          <cell r="E1220">
            <v>0</v>
          </cell>
          <cell r="F1220">
            <v>806</v>
          </cell>
        </row>
        <row r="1221">
          <cell r="A1221" t="str">
            <v>71200000-20002000-03010000</v>
          </cell>
          <cell r="B1221" t="str">
            <v>FONDO DE AHORRO</v>
          </cell>
          <cell r="C1221">
            <v>0</v>
          </cell>
          <cell r="D1221">
            <v>1438.4</v>
          </cell>
          <cell r="E1221">
            <v>0</v>
          </cell>
          <cell r="F1221">
            <v>1438.4</v>
          </cell>
        </row>
        <row r="1222">
          <cell r="A1222" t="str">
            <v>71200000-20002000-03020000</v>
          </cell>
          <cell r="B1222" t="str">
            <v>CUOTAS AL I.M.S.S.</v>
          </cell>
          <cell r="C1222">
            <v>0</v>
          </cell>
          <cell r="D1222">
            <v>1841.29</v>
          </cell>
          <cell r="E1222">
            <v>0</v>
          </cell>
          <cell r="F1222">
            <v>1841.29</v>
          </cell>
        </row>
        <row r="1223">
          <cell r="A1223" t="str">
            <v>71200000-20002000-03040000</v>
          </cell>
          <cell r="B1223" t="str">
            <v>DESPENSA EN VALES</v>
          </cell>
          <cell r="C1223">
            <v>0</v>
          </cell>
          <cell r="D1223">
            <v>744</v>
          </cell>
          <cell r="E1223">
            <v>0</v>
          </cell>
          <cell r="F1223">
            <v>744</v>
          </cell>
        </row>
        <row r="1224">
          <cell r="A1224" t="str">
            <v>71200000-20002000-04010000</v>
          </cell>
          <cell r="B1224" t="str">
            <v>2.5% SOBRE NOMINAS</v>
          </cell>
          <cell r="C1224">
            <v>0</v>
          </cell>
          <cell r="D1224">
            <v>565</v>
          </cell>
          <cell r="E1224">
            <v>0</v>
          </cell>
          <cell r="F1224">
            <v>565</v>
          </cell>
        </row>
        <row r="1225">
          <cell r="A1225" t="str">
            <v>71200000-20002000-04020000</v>
          </cell>
          <cell r="B1225" t="str">
            <v>5% INFONAVIT</v>
          </cell>
          <cell r="C1225">
            <v>0</v>
          </cell>
          <cell r="D1225">
            <v>1259.5899999999999</v>
          </cell>
          <cell r="E1225">
            <v>0</v>
          </cell>
          <cell r="F1225">
            <v>1259.5899999999999</v>
          </cell>
        </row>
        <row r="1226">
          <cell r="A1226" t="str">
            <v>71200000-20002000-04030000</v>
          </cell>
          <cell r="B1226" t="str">
            <v>2% S.A.R. / RETIRO</v>
          </cell>
          <cell r="C1226">
            <v>0</v>
          </cell>
          <cell r="D1226">
            <v>503.84</v>
          </cell>
          <cell r="E1226">
            <v>0</v>
          </cell>
          <cell r="F1226">
            <v>503.84</v>
          </cell>
        </row>
        <row r="1227">
          <cell r="A1227" t="str">
            <v>71200000-20002000-04040000</v>
          </cell>
          <cell r="B1227" t="str">
            <v>CESANTIA Y VEJEZ</v>
          </cell>
          <cell r="C1227">
            <v>0</v>
          </cell>
          <cell r="D1227">
            <v>793.54</v>
          </cell>
          <cell r="E1227">
            <v>0</v>
          </cell>
          <cell r="F1227">
            <v>793.54</v>
          </cell>
        </row>
        <row r="1228">
          <cell r="A1228" t="str">
            <v>71200000-20002000-14040000</v>
          </cell>
          <cell r="B1228" t="str">
            <v>VIDA</v>
          </cell>
          <cell r="C1228">
            <v>0</v>
          </cell>
          <cell r="D1228">
            <v>131.25</v>
          </cell>
          <cell r="E1228">
            <v>0</v>
          </cell>
          <cell r="F1228">
            <v>131.25</v>
          </cell>
        </row>
        <row r="1229">
          <cell r="A1229" t="str">
            <v>71200000-20002000-20010000</v>
          </cell>
          <cell r="B1229" t="str">
            <v>COMBUSTIBLE AUTOMOVILES</v>
          </cell>
          <cell r="C1229">
            <v>0</v>
          </cell>
          <cell r="D1229">
            <v>1472.01</v>
          </cell>
          <cell r="E1229">
            <v>0</v>
          </cell>
          <cell r="F1229">
            <v>1472.01</v>
          </cell>
        </row>
        <row r="1230">
          <cell r="A1230" t="str">
            <v>71200000-20002000-21010000</v>
          </cell>
          <cell r="B1230" t="str">
            <v>HONORARIOS PERSONAS FISICAS</v>
          </cell>
          <cell r="C1230">
            <v>0</v>
          </cell>
          <cell r="D1230">
            <v>6503.04</v>
          </cell>
          <cell r="E1230">
            <v>0</v>
          </cell>
          <cell r="F1230">
            <v>6503.04</v>
          </cell>
        </row>
        <row r="1231">
          <cell r="A1231" t="str">
            <v>71200000-20002000-21020000</v>
          </cell>
          <cell r="B1231" t="str">
            <v>HONORARIOS A SOCIEDADES MERCAN</v>
          </cell>
          <cell r="C1231">
            <v>0</v>
          </cell>
          <cell r="D1231">
            <v>17036.34</v>
          </cell>
          <cell r="E1231">
            <v>6503.04</v>
          </cell>
          <cell r="F1231">
            <v>10533.3</v>
          </cell>
        </row>
        <row r="1232">
          <cell r="A1232" t="str">
            <v>71200000-20002000-90010000</v>
          </cell>
          <cell r="B1232" t="str">
            <v>PRIMA DE ANTIGUEDAD</v>
          </cell>
          <cell r="C1232">
            <v>0</v>
          </cell>
          <cell r="D1232">
            <v>131.74</v>
          </cell>
          <cell r="E1232">
            <v>0</v>
          </cell>
          <cell r="F1232">
            <v>131.74</v>
          </cell>
        </row>
        <row r="1233">
          <cell r="A1233" t="str">
            <v>71200000-20002000-90020000</v>
          </cell>
          <cell r="B1233" t="str">
            <v>PLAN DE PENSIONES</v>
          </cell>
          <cell r="C1233">
            <v>0</v>
          </cell>
          <cell r="D1233">
            <v>485.4</v>
          </cell>
          <cell r="E1233">
            <v>0</v>
          </cell>
          <cell r="F1233">
            <v>485.4</v>
          </cell>
        </row>
        <row r="1234">
          <cell r="A1234" t="str">
            <v>71200000-20002000-90030000</v>
          </cell>
          <cell r="B1234" t="str">
            <v>PROVISION AGUINALDO</v>
          </cell>
          <cell r="C1234">
            <v>0</v>
          </cell>
          <cell r="D1234">
            <v>1498.33</v>
          </cell>
          <cell r="E1234">
            <v>0</v>
          </cell>
          <cell r="F1234">
            <v>1498.33</v>
          </cell>
        </row>
        <row r="1235">
          <cell r="A1235" t="str">
            <v>71200000-20002000-90040000</v>
          </cell>
          <cell r="B1235" t="str">
            <v>BOLETIN D-3</v>
          </cell>
          <cell r="C1235">
            <v>0</v>
          </cell>
          <cell r="D1235">
            <v>29.25</v>
          </cell>
          <cell r="E1235">
            <v>0</v>
          </cell>
          <cell r="F1235">
            <v>29.25</v>
          </cell>
        </row>
        <row r="1236">
          <cell r="A1236" t="str">
            <v>71200000-20003000-00000000</v>
          </cell>
          <cell r="B1236" t="str">
            <v>COSTOS/GASTOS DIR GRAL</v>
          </cell>
          <cell r="C1236">
            <v>0</v>
          </cell>
          <cell r="D1236">
            <v>33094.9</v>
          </cell>
          <cell r="E1236">
            <v>0</v>
          </cell>
          <cell r="F1236">
            <v>33094.9</v>
          </cell>
        </row>
        <row r="1237">
          <cell r="A1237" t="str">
            <v>71200000-20003000-18040000</v>
          </cell>
          <cell r="B1237" t="str">
            <v>GASTOS DE REPRESENTACION ALIME</v>
          </cell>
          <cell r="C1237">
            <v>0</v>
          </cell>
          <cell r="D1237">
            <v>2104.4699999999998</v>
          </cell>
          <cell r="E1237">
            <v>0</v>
          </cell>
          <cell r="F1237">
            <v>2104.4699999999998</v>
          </cell>
        </row>
        <row r="1238">
          <cell r="A1238" t="str">
            <v>71200000-20003000-18110000</v>
          </cell>
          <cell r="B1238" t="str">
            <v>CONSUMOS RESTAURANT</v>
          </cell>
          <cell r="C1238">
            <v>0</v>
          </cell>
          <cell r="D1238">
            <v>1161.8800000000001</v>
          </cell>
          <cell r="E1238">
            <v>0</v>
          </cell>
          <cell r="F1238">
            <v>1161.8800000000001</v>
          </cell>
        </row>
        <row r="1239">
          <cell r="A1239" t="str">
            <v>71200000-20003000-19030000</v>
          </cell>
          <cell r="B1239" t="str">
            <v>TELEFONOS CELULARES</v>
          </cell>
          <cell r="C1239">
            <v>0</v>
          </cell>
          <cell r="D1239">
            <v>1452</v>
          </cell>
          <cell r="E1239">
            <v>0</v>
          </cell>
          <cell r="F1239">
            <v>1452</v>
          </cell>
        </row>
        <row r="1240">
          <cell r="A1240" t="str">
            <v>71200000-20003000-20010000</v>
          </cell>
          <cell r="B1240" t="str">
            <v>COMBUSTIBLE AUTOMOVILES</v>
          </cell>
          <cell r="C1240">
            <v>0</v>
          </cell>
          <cell r="D1240">
            <v>6032.71</v>
          </cell>
          <cell r="E1240">
            <v>0</v>
          </cell>
          <cell r="F1240">
            <v>6032.71</v>
          </cell>
        </row>
        <row r="1241">
          <cell r="A1241" t="str">
            <v>71200000-20003000-23130000</v>
          </cell>
          <cell r="B1241" t="str">
            <v>OTROS IMPUESTOS Y DERECHOS</v>
          </cell>
          <cell r="C1241">
            <v>0</v>
          </cell>
          <cell r="D1241">
            <v>8091.99</v>
          </cell>
          <cell r="E1241">
            <v>0</v>
          </cell>
          <cell r="F1241">
            <v>8091.99</v>
          </cell>
        </row>
        <row r="1242">
          <cell r="A1242" t="str">
            <v>71200000-20003000-35020000</v>
          </cell>
          <cell r="B1242" t="str">
            <v>DIVERSOS NO DEDUCIBLES</v>
          </cell>
          <cell r="C1242">
            <v>0</v>
          </cell>
          <cell r="D1242">
            <v>14251.85</v>
          </cell>
          <cell r="E1242">
            <v>0</v>
          </cell>
          <cell r="F1242">
            <v>14251.85</v>
          </cell>
        </row>
        <row r="1243">
          <cell r="A1243" t="str">
            <v>71200000-20004000-00000000</v>
          </cell>
          <cell r="B1243" t="str">
            <v>COSTOS/GASTOS FIJOS REC HUM</v>
          </cell>
          <cell r="C1243">
            <v>0</v>
          </cell>
          <cell r="D1243">
            <v>3980</v>
          </cell>
          <cell r="E1243">
            <v>0</v>
          </cell>
          <cell r="F1243">
            <v>3980</v>
          </cell>
        </row>
        <row r="1244">
          <cell r="A1244" t="str">
            <v>71200000-20004000-16010000</v>
          </cell>
          <cell r="B1244" t="str">
            <v>PAPELERIA</v>
          </cell>
          <cell r="C1244">
            <v>0</v>
          </cell>
          <cell r="D1244">
            <v>110</v>
          </cell>
          <cell r="E1244">
            <v>0</v>
          </cell>
          <cell r="F1244">
            <v>110</v>
          </cell>
        </row>
        <row r="1245">
          <cell r="A1245" t="str">
            <v>71200000-20004000-22030000</v>
          </cell>
          <cell r="B1245" t="str">
            <v>CUOTAS A ASOCIACIONES</v>
          </cell>
          <cell r="C1245">
            <v>0</v>
          </cell>
          <cell r="D1245">
            <v>3500</v>
          </cell>
          <cell r="E1245">
            <v>0</v>
          </cell>
          <cell r="F1245">
            <v>3500</v>
          </cell>
        </row>
        <row r="1246">
          <cell r="A1246" t="str">
            <v>71200000-20004000-35020000</v>
          </cell>
          <cell r="B1246" t="str">
            <v>DIVERSOS NO DEDUCIBLES</v>
          </cell>
          <cell r="C1246">
            <v>0</v>
          </cell>
          <cell r="D1246">
            <v>370</v>
          </cell>
          <cell r="E1246">
            <v>0</v>
          </cell>
          <cell r="F1246">
            <v>370</v>
          </cell>
        </row>
        <row r="1247">
          <cell r="A1247" t="str">
            <v>71200000-20013000-00000000</v>
          </cell>
          <cell r="B1247" t="str">
            <v>COSTOS/GASTOS FIJOS CANCUN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</row>
        <row r="1248">
          <cell r="A1248" t="str">
            <v>71300000-00000000-00000000</v>
          </cell>
          <cell r="B1248" t="str">
            <v>COSTOS/GASTOS FIJOS VENTAS</v>
          </cell>
          <cell r="C1248">
            <v>0</v>
          </cell>
          <cell r="D1248">
            <v>677061.19</v>
          </cell>
          <cell r="E1248">
            <v>39016.720000000001</v>
          </cell>
          <cell r="F1248">
            <v>638044.47</v>
          </cell>
        </row>
        <row r="1249">
          <cell r="F1249">
            <v>638044.47</v>
          </cell>
        </row>
        <row r="1250">
          <cell r="A1250" t="str">
            <v>71300000-30000000-00000000</v>
          </cell>
          <cell r="B1250" t="str">
            <v>COSTOS/GASTOS FIJOS VENTAS</v>
          </cell>
          <cell r="C1250">
            <v>0</v>
          </cell>
          <cell r="D1250">
            <v>677061.19</v>
          </cell>
          <cell r="E1250">
            <v>39016.720000000001</v>
          </cell>
        </row>
        <row r="1251">
          <cell r="A1251" t="str">
            <v>71300000-30001000-00000000</v>
          </cell>
          <cell r="B1251" t="str">
            <v>COSTOS/GASTOS FIJOS VTAS NAL</v>
          </cell>
          <cell r="C1251">
            <v>0</v>
          </cell>
          <cell r="D1251">
            <v>274192.95</v>
          </cell>
          <cell r="E1251">
            <v>13563.78</v>
          </cell>
          <cell r="F1251">
            <v>260629.17</v>
          </cell>
        </row>
        <row r="1252">
          <cell r="A1252" t="str">
            <v>71300000-30001000-01010000</v>
          </cell>
          <cell r="B1252" t="str">
            <v>SUELDOS Y SALARIOS</v>
          </cell>
          <cell r="C1252">
            <v>0</v>
          </cell>
          <cell r="D1252">
            <v>20480</v>
          </cell>
          <cell r="E1252">
            <v>0</v>
          </cell>
          <cell r="F1252">
            <v>20480</v>
          </cell>
        </row>
        <row r="1253">
          <cell r="A1253" t="str">
            <v>71300000-30001000-01030000</v>
          </cell>
          <cell r="B1253" t="str">
            <v>GRATIFICACIONES</v>
          </cell>
          <cell r="C1253">
            <v>0</v>
          </cell>
          <cell r="D1253">
            <v>915</v>
          </cell>
          <cell r="E1253">
            <v>0</v>
          </cell>
          <cell r="F1253">
            <v>915</v>
          </cell>
        </row>
        <row r="1254">
          <cell r="A1254" t="str">
            <v>71300000-30001000-03010000</v>
          </cell>
          <cell r="B1254" t="str">
            <v>FONDO DE AHORRO</v>
          </cell>
          <cell r="C1254">
            <v>0</v>
          </cell>
          <cell r="D1254">
            <v>1638.4</v>
          </cell>
          <cell r="E1254">
            <v>0</v>
          </cell>
          <cell r="F1254">
            <v>1638.4</v>
          </cell>
        </row>
        <row r="1255">
          <cell r="A1255" t="str">
            <v>71300000-30001000-03020000</v>
          </cell>
          <cell r="B1255" t="str">
            <v>CUOTAS AL I.M.S.S.</v>
          </cell>
          <cell r="C1255">
            <v>0</v>
          </cell>
          <cell r="D1255">
            <v>2293.7199999999998</v>
          </cell>
          <cell r="E1255">
            <v>0</v>
          </cell>
          <cell r="F1255">
            <v>2293.7199999999998</v>
          </cell>
        </row>
        <row r="1256">
          <cell r="A1256" t="str">
            <v>71300000-30001000-03040000</v>
          </cell>
          <cell r="B1256" t="str">
            <v>DESPENSA EN VALES</v>
          </cell>
          <cell r="C1256">
            <v>0</v>
          </cell>
          <cell r="D1256">
            <v>768</v>
          </cell>
          <cell r="E1256">
            <v>0</v>
          </cell>
          <cell r="F1256">
            <v>768</v>
          </cell>
        </row>
        <row r="1257">
          <cell r="A1257" t="str">
            <v>71300000-30001000-04010000</v>
          </cell>
          <cell r="B1257" t="str">
            <v>2.5% SOBRE NOMINAS</v>
          </cell>
          <cell r="C1257">
            <v>0</v>
          </cell>
          <cell r="D1257">
            <v>651</v>
          </cell>
          <cell r="E1257">
            <v>0</v>
          </cell>
          <cell r="F1257">
            <v>651</v>
          </cell>
        </row>
        <row r="1258">
          <cell r="A1258" t="str">
            <v>71300000-30001000-04020000</v>
          </cell>
          <cell r="B1258" t="str">
            <v>5% INFONAVIT</v>
          </cell>
          <cell r="C1258">
            <v>0</v>
          </cell>
          <cell r="D1258">
            <v>1630.43</v>
          </cell>
          <cell r="E1258">
            <v>0</v>
          </cell>
          <cell r="F1258">
            <v>1630.43</v>
          </cell>
        </row>
        <row r="1259">
          <cell r="A1259" t="str">
            <v>71300000-30001000-04030000</v>
          </cell>
          <cell r="B1259" t="str">
            <v>2% S.A.R. / RETIRO</v>
          </cell>
          <cell r="C1259">
            <v>0</v>
          </cell>
          <cell r="D1259">
            <v>652.16999999999996</v>
          </cell>
          <cell r="E1259">
            <v>0</v>
          </cell>
          <cell r="F1259">
            <v>652.16999999999996</v>
          </cell>
        </row>
        <row r="1260">
          <cell r="A1260" t="str">
            <v>71300000-30001000-04040000</v>
          </cell>
          <cell r="B1260" t="str">
            <v>CESANTIA Y VEJEZ</v>
          </cell>
          <cell r="C1260">
            <v>0</v>
          </cell>
          <cell r="D1260">
            <v>1027.17</v>
          </cell>
          <cell r="E1260">
            <v>0</v>
          </cell>
          <cell r="F1260">
            <v>1027.17</v>
          </cell>
        </row>
        <row r="1261">
          <cell r="A1261" t="str">
            <v>71300000-30001000-05010000</v>
          </cell>
          <cell r="B1261" t="str">
            <v>SERV. PROFESIONALES EXTERNOS</v>
          </cell>
          <cell r="C1261">
            <v>0</v>
          </cell>
          <cell r="D1261">
            <v>100188.58</v>
          </cell>
          <cell r="E1261">
            <v>13563.78</v>
          </cell>
          <cell r="F1261">
            <v>86624.8</v>
          </cell>
        </row>
        <row r="1262">
          <cell r="A1262" t="str">
            <v>71300000-30001000-12010000</v>
          </cell>
          <cell r="B1262" t="str">
            <v>ARREND. AUTOMOVILES</v>
          </cell>
          <cell r="C1262">
            <v>0</v>
          </cell>
          <cell r="D1262">
            <v>3422.17</v>
          </cell>
          <cell r="E1262">
            <v>0</v>
          </cell>
          <cell r="F1262">
            <v>3422.17</v>
          </cell>
        </row>
        <row r="1263">
          <cell r="A1263" t="str">
            <v>71300000-30001000-14010000</v>
          </cell>
          <cell r="B1263" t="str">
            <v>SEG. AUTOMOVILES</v>
          </cell>
          <cell r="C1263">
            <v>0</v>
          </cell>
          <cell r="D1263">
            <v>9300.76</v>
          </cell>
          <cell r="E1263">
            <v>0</v>
          </cell>
          <cell r="F1263">
            <v>9300.76</v>
          </cell>
        </row>
        <row r="1264">
          <cell r="A1264" t="str">
            <v>71300000-30001000-14040000</v>
          </cell>
          <cell r="B1264" t="str">
            <v>VIDA</v>
          </cell>
          <cell r="C1264">
            <v>0</v>
          </cell>
          <cell r="D1264">
            <v>3018.86</v>
          </cell>
          <cell r="E1264">
            <v>0</v>
          </cell>
          <cell r="F1264">
            <v>3018.86</v>
          </cell>
        </row>
        <row r="1265">
          <cell r="A1265" t="str">
            <v>71300000-30001000-15030000</v>
          </cell>
          <cell r="B1265" t="str">
            <v>MANTTO A EDIFICIOS Y CONSTRUCC</v>
          </cell>
          <cell r="C1265">
            <v>0</v>
          </cell>
          <cell r="D1265">
            <v>10800</v>
          </cell>
          <cell r="E1265">
            <v>0</v>
          </cell>
          <cell r="F1265">
            <v>10800</v>
          </cell>
        </row>
        <row r="1266">
          <cell r="A1266" t="str">
            <v>71300000-30001000-15050000</v>
          </cell>
          <cell r="B1266" t="str">
            <v>MANTTO A EQUIPOS DE OFICINA</v>
          </cell>
          <cell r="C1266">
            <v>0</v>
          </cell>
          <cell r="D1266">
            <v>600</v>
          </cell>
          <cell r="E1266">
            <v>0</v>
          </cell>
          <cell r="F1266">
            <v>600</v>
          </cell>
        </row>
        <row r="1267">
          <cell r="A1267" t="str">
            <v>71300000-30001000-16010000</v>
          </cell>
          <cell r="B1267" t="str">
            <v>PAPELERIA</v>
          </cell>
          <cell r="C1267">
            <v>0</v>
          </cell>
          <cell r="D1267">
            <v>6144.05</v>
          </cell>
          <cell r="E1267">
            <v>0</v>
          </cell>
          <cell r="F1267">
            <v>6144.05</v>
          </cell>
        </row>
        <row r="1268">
          <cell r="A1268" t="str">
            <v>71300000-30001000-17030000</v>
          </cell>
          <cell r="B1268" t="str">
            <v>SEGURIDAD PRIVADA</v>
          </cell>
          <cell r="C1268">
            <v>0</v>
          </cell>
          <cell r="D1268">
            <v>519</v>
          </cell>
          <cell r="E1268">
            <v>0</v>
          </cell>
          <cell r="F1268">
            <v>519</v>
          </cell>
        </row>
        <row r="1269">
          <cell r="A1269" t="str">
            <v>71300000-30001000-18010000</v>
          </cell>
          <cell r="B1269" t="str">
            <v>CAPACITACION Y ADIESTRAMIENTO</v>
          </cell>
          <cell r="C1269">
            <v>0</v>
          </cell>
          <cell r="D1269">
            <v>19677.419999999998</v>
          </cell>
          <cell r="E1269">
            <v>0</v>
          </cell>
          <cell r="F1269">
            <v>19677.419999999998</v>
          </cell>
        </row>
        <row r="1270">
          <cell r="A1270" t="str">
            <v>71300000-30001000-18020000</v>
          </cell>
          <cell r="B1270" t="str">
            <v>PASAJES Y TRANSPORTES LOCALES</v>
          </cell>
          <cell r="C1270">
            <v>0</v>
          </cell>
          <cell r="D1270">
            <v>80</v>
          </cell>
          <cell r="E1270">
            <v>0</v>
          </cell>
          <cell r="F1270">
            <v>80</v>
          </cell>
        </row>
        <row r="1271">
          <cell r="A1271" t="str">
            <v>71300000-30001000-19010000</v>
          </cell>
          <cell r="B1271" t="str">
            <v>TELEFONOS</v>
          </cell>
          <cell r="C1271">
            <v>0</v>
          </cell>
          <cell r="D1271">
            <v>13029.41</v>
          </cell>
          <cell r="E1271">
            <v>0</v>
          </cell>
          <cell r="F1271">
            <v>13029.41</v>
          </cell>
        </row>
        <row r="1272">
          <cell r="A1272" t="str">
            <v>71300000-30001000-19030000</v>
          </cell>
          <cell r="B1272" t="str">
            <v>TELEFONOS CELULARES</v>
          </cell>
          <cell r="C1272">
            <v>0</v>
          </cell>
          <cell r="D1272">
            <v>1.73</v>
          </cell>
          <cell r="E1272">
            <v>0</v>
          </cell>
          <cell r="F1272">
            <v>1.73</v>
          </cell>
        </row>
        <row r="1273">
          <cell r="A1273" t="str">
            <v>71300000-30001000-19050000</v>
          </cell>
          <cell r="B1273" t="str">
            <v>INTERNET</v>
          </cell>
          <cell r="C1273">
            <v>0</v>
          </cell>
          <cell r="D1273">
            <v>7003.93</v>
          </cell>
          <cell r="E1273">
            <v>0</v>
          </cell>
          <cell r="F1273">
            <v>7003.93</v>
          </cell>
        </row>
        <row r="1274">
          <cell r="A1274" t="str">
            <v>71300000-30001000-19070000</v>
          </cell>
          <cell r="B1274" t="str">
            <v>MENSAJERIA ESPECIALIZADA</v>
          </cell>
          <cell r="C1274">
            <v>0</v>
          </cell>
          <cell r="D1274">
            <v>669.14</v>
          </cell>
          <cell r="E1274">
            <v>0</v>
          </cell>
          <cell r="F1274">
            <v>669.14</v>
          </cell>
        </row>
        <row r="1275">
          <cell r="A1275" t="str">
            <v>71300000-30001000-20010000</v>
          </cell>
          <cell r="B1275" t="str">
            <v>COMBUSTIBLE AUTOMOVILES</v>
          </cell>
          <cell r="C1275">
            <v>0</v>
          </cell>
          <cell r="D1275">
            <v>4344.7299999999996</v>
          </cell>
          <cell r="E1275">
            <v>0</v>
          </cell>
          <cell r="F1275">
            <v>4344.7299999999996</v>
          </cell>
        </row>
        <row r="1276">
          <cell r="A1276" t="str">
            <v>71300000-30001000-22050000</v>
          </cell>
          <cell r="B1276" t="str">
            <v>COMISIONES Y ASESORIAS EXTERNA</v>
          </cell>
          <cell r="C1276">
            <v>0</v>
          </cell>
          <cell r="D1276">
            <v>14941.9</v>
          </cell>
          <cell r="E1276">
            <v>0</v>
          </cell>
          <cell r="F1276">
            <v>14941.9</v>
          </cell>
        </row>
        <row r="1277">
          <cell r="A1277" t="str">
            <v>71300000-30001000-23030000</v>
          </cell>
          <cell r="B1277" t="str">
            <v>DERECHOS DE AGUA</v>
          </cell>
          <cell r="C1277">
            <v>0</v>
          </cell>
          <cell r="D1277">
            <v>13875.45</v>
          </cell>
          <cell r="E1277">
            <v>0</v>
          </cell>
          <cell r="F1277">
            <v>13875.45</v>
          </cell>
        </row>
        <row r="1278">
          <cell r="A1278" t="str">
            <v>71300000-30001000-23150000</v>
          </cell>
          <cell r="B1278" t="str">
            <v>ASEO LIMPIEZA E IMPLEMENTOS</v>
          </cell>
          <cell r="C1278">
            <v>0</v>
          </cell>
          <cell r="D1278">
            <v>1249.0999999999999</v>
          </cell>
          <cell r="E1278">
            <v>0</v>
          </cell>
          <cell r="F1278">
            <v>1249.0999999999999</v>
          </cell>
        </row>
        <row r="1279">
          <cell r="A1279" t="str">
            <v>71300000-30001000-23200000</v>
          </cell>
          <cell r="B1279" t="str">
            <v>EVENTOS INTERNOS COREV</v>
          </cell>
          <cell r="C1279">
            <v>0</v>
          </cell>
          <cell r="D1279">
            <v>1836</v>
          </cell>
          <cell r="E1279">
            <v>0</v>
          </cell>
          <cell r="F1279">
            <v>1836</v>
          </cell>
        </row>
        <row r="1280">
          <cell r="A1280" t="str">
            <v>71300000-30001000-27150000</v>
          </cell>
          <cell r="B1280" t="str">
            <v>SECCION AMARILLA</v>
          </cell>
          <cell r="C1280">
            <v>0</v>
          </cell>
          <cell r="D1280">
            <v>17299.009999999998</v>
          </cell>
          <cell r="E1280">
            <v>0</v>
          </cell>
          <cell r="F1280">
            <v>17299.009999999998</v>
          </cell>
        </row>
        <row r="1281">
          <cell r="A1281" t="str">
            <v>71300000-30001000-35020000</v>
          </cell>
          <cell r="B1281" t="str">
            <v>DIVERSOS NO DEDUCIBLES</v>
          </cell>
          <cell r="C1281">
            <v>0</v>
          </cell>
          <cell r="D1281">
            <v>2413.1999999999998</v>
          </cell>
          <cell r="E1281">
            <v>0</v>
          </cell>
          <cell r="F1281">
            <v>2413.1999999999998</v>
          </cell>
        </row>
        <row r="1282">
          <cell r="A1282" t="str">
            <v>71300000-30001000-90010000</v>
          </cell>
          <cell r="B1282" t="str">
            <v>PRIMA DE ANTIGUEDAD</v>
          </cell>
          <cell r="C1282">
            <v>0</v>
          </cell>
          <cell r="D1282">
            <v>2371.25</v>
          </cell>
          <cell r="E1282">
            <v>0</v>
          </cell>
          <cell r="F1282">
            <v>2371.25</v>
          </cell>
        </row>
        <row r="1283">
          <cell r="A1283" t="str">
            <v>71300000-30001000-90020000</v>
          </cell>
          <cell r="B1283" t="str">
            <v>PLAN DE PENSIONES</v>
          </cell>
          <cell r="C1283">
            <v>0</v>
          </cell>
          <cell r="D1283">
            <v>9708.0400000000009</v>
          </cell>
          <cell r="E1283">
            <v>0</v>
          </cell>
          <cell r="F1283">
            <v>9708.0400000000009</v>
          </cell>
        </row>
        <row r="1284">
          <cell r="A1284" t="str">
            <v>71300000-30001000-90030000</v>
          </cell>
          <cell r="B1284" t="str">
            <v>PROVISION AGUINALDO</v>
          </cell>
          <cell r="C1284">
            <v>0</v>
          </cell>
          <cell r="D1284">
            <v>1643.33</v>
          </cell>
          <cell r="E1284">
            <v>0</v>
          </cell>
          <cell r="F1284">
            <v>1643.33</v>
          </cell>
        </row>
        <row r="1285">
          <cell r="A1285" t="str">
            <v>71300000-30002000-00000000</v>
          </cell>
          <cell r="B1285" t="str">
            <v>COSTOS/GASTOS FIJOS DF 1</v>
          </cell>
          <cell r="C1285">
            <v>0</v>
          </cell>
          <cell r="D1285">
            <v>56046.31</v>
          </cell>
          <cell r="E1285">
            <v>25452.94</v>
          </cell>
          <cell r="F1285">
            <v>30593.37</v>
          </cell>
        </row>
        <row r="1286">
          <cell r="A1286" t="str">
            <v>71300000-30002000-01010000</v>
          </cell>
          <cell r="B1286" t="str">
            <v>SUELDOS Y SALARIOS</v>
          </cell>
          <cell r="C1286">
            <v>0</v>
          </cell>
          <cell r="D1286">
            <v>6400.05</v>
          </cell>
          <cell r="E1286">
            <v>0</v>
          </cell>
          <cell r="F1286">
            <v>6400.05</v>
          </cell>
        </row>
        <row r="1287">
          <cell r="A1287" t="str">
            <v>71300000-30002000-01030000</v>
          </cell>
          <cell r="B1287" t="str">
            <v>GRATIFICACIONES</v>
          </cell>
          <cell r="C1287">
            <v>0</v>
          </cell>
          <cell r="D1287">
            <v>525</v>
          </cell>
          <cell r="E1287">
            <v>0</v>
          </cell>
          <cell r="F1287">
            <v>525</v>
          </cell>
        </row>
        <row r="1288">
          <cell r="A1288" t="str">
            <v>71300000-30002000-03040000</v>
          </cell>
          <cell r="B1288" t="str">
            <v>DESPENSA EN VALES</v>
          </cell>
          <cell r="C1288">
            <v>0</v>
          </cell>
          <cell r="D1288">
            <v>248</v>
          </cell>
          <cell r="E1288">
            <v>248</v>
          </cell>
          <cell r="F1288">
            <v>0</v>
          </cell>
        </row>
        <row r="1289">
          <cell r="A1289" t="str">
            <v>71300000-30002000-05010000</v>
          </cell>
          <cell r="B1289" t="str">
            <v>SERV. PROFESIONALES EXTERNOS</v>
          </cell>
          <cell r="C1289">
            <v>0</v>
          </cell>
          <cell r="D1289">
            <v>29639.17</v>
          </cell>
          <cell r="E1289">
            <v>9901.65</v>
          </cell>
          <cell r="F1289">
            <v>19737.52</v>
          </cell>
        </row>
        <row r="1290">
          <cell r="A1290" t="str">
            <v>71300000-30002000-12010000</v>
          </cell>
          <cell r="B1290" t="str">
            <v>ARREND. AUTOMOVILES</v>
          </cell>
          <cell r="C1290">
            <v>0</v>
          </cell>
          <cell r="D1290">
            <v>13919.08</v>
          </cell>
          <cell r="E1290">
            <v>11865.36</v>
          </cell>
          <cell r="F1290">
            <v>2053.7199999999998</v>
          </cell>
        </row>
        <row r="1291">
          <cell r="A1291" t="str">
            <v>71300000-30002000-15010000</v>
          </cell>
          <cell r="B1291" t="str">
            <v>MANT. AUTOMOVILES</v>
          </cell>
          <cell r="C1291">
            <v>0</v>
          </cell>
          <cell r="D1291">
            <v>1637.93</v>
          </cell>
          <cell r="E1291">
            <v>1637.93</v>
          </cell>
          <cell r="F1291">
            <v>0</v>
          </cell>
        </row>
        <row r="1292">
          <cell r="A1292" t="str">
            <v>71300000-30002000-15090000</v>
          </cell>
          <cell r="B1292" t="str">
            <v>MANTTO A TIENDAS</v>
          </cell>
          <cell r="C1292">
            <v>0</v>
          </cell>
          <cell r="D1292">
            <v>1800</v>
          </cell>
          <cell r="E1292">
            <v>1800</v>
          </cell>
          <cell r="F1292">
            <v>0</v>
          </cell>
        </row>
        <row r="1293">
          <cell r="A1293" t="str">
            <v>71300000-30002000-20010000</v>
          </cell>
          <cell r="B1293" t="str">
            <v>COMBUSTIBLE AUTOMOVILES</v>
          </cell>
          <cell r="C1293">
            <v>0</v>
          </cell>
          <cell r="D1293">
            <v>1126.7</v>
          </cell>
          <cell r="E1293">
            <v>0</v>
          </cell>
          <cell r="F1293">
            <v>1126.7</v>
          </cell>
        </row>
        <row r="1294">
          <cell r="A1294" t="str">
            <v>71300000-30002000-23130000</v>
          </cell>
          <cell r="B1294" t="str">
            <v>OTROS IMPUESTOS Y DERECHOS</v>
          </cell>
          <cell r="C1294">
            <v>0</v>
          </cell>
          <cell r="D1294">
            <v>500.38</v>
          </cell>
          <cell r="E1294">
            <v>0</v>
          </cell>
          <cell r="F1294">
            <v>500.38</v>
          </cell>
        </row>
        <row r="1295">
          <cell r="A1295" t="str">
            <v>71300000-30002000-35020000</v>
          </cell>
          <cell r="B1295" t="str">
            <v>DIVERSOS NO DEDUCIBLES</v>
          </cell>
          <cell r="C1295">
            <v>0</v>
          </cell>
          <cell r="D1295">
            <v>250</v>
          </cell>
          <cell r="E1295">
            <v>0</v>
          </cell>
          <cell r="F1295">
            <v>250</v>
          </cell>
        </row>
        <row r="1296">
          <cell r="A1296" t="str">
            <v>71300000-30003000-00000000</v>
          </cell>
          <cell r="B1296" t="str">
            <v>COSTOS/GASTOS FIJOS SUR</v>
          </cell>
          <cell r="C1296">
            <v>0</v>
          </cell>
          <cell r="D1296">
            <v>17803.310000000001</v>
          </cell>
          <cell r="E1296">
            <v>0</v>
          </cell>
          <cell r="F1296">
            <v>17803.310000000001</v>
          </cell>
        </row>
        <row r="1297">
          <cell r="A1297" t="str">
            <v>71300000-30003000-01010000</v>
          </cell>
          <cell r="B1297" t="str">
            <v>SUELDOS Y SALARIOS</v>
          </cell>
          <cell r="C1297">
            <v>0</v>
          </cell>
          <cell r="D1297">
            <v>9000</v>
          </cell>
          <cell r="E1297">
            <v>0</v>
          </cell>
          <cell r="F1297">
            <v>9000</v>
          </cell>
        </row>
        <row r="1298">
          <cell r="A1298" t="str">
            <v>71300000-30003000-03010000</v>
          </cell>
          <cell r="B1298" t="str">
            <v>FONDO DE AHORRO</v>
          </cell>
          <cell r="C1298">
            <v>0</v>
          </cell>
          <cell r="D1298">
            <v>720</v>
          </cell>
          <cell r="E1298">
            <v>0</v>
          </cell>
          <cell r="F1298">
            <v>720</v>
          </cell>
        </row>
        <row r="1299">
          <cell r="A1299" t="str">
            <v>71300000-30003000-03020000</v>
          </cell>
          <cell r="B1299" t="str">
            <v>CUOTAS AL I.M.S.S.</v>
          </cell>
          <cell r="C1299">
            <v>0</v>
          </cell>
          <cell r="D1299">
            <v>1723.41</v>
          </cell>
          <cell r="E1299">
            <v>0</v>
          </cell>
          <cell r="F1299">
            <v>1723.41</v>
          </cell>
        </row>
        <row r="1300">
          <cell r="A1300" t="str">
            <v>71300000-30003000-03040000</v>
          </cell>
          <cell r="B1300" t="str">
            <v>DESPENSA EN VALES</v>
          </cell>
          <cell r="C1300">
            <v>0</v>
          </cell>
          <cell r="D1300">
            <v>360</v>
          </cell>
          <cell r="E1300">
            <v>0</v>
          </cell>
          <cell r="F1300">
            <v>360</v>
          </cell>
        </row>
        <row r="1301">
          <cell r="A1301" t="str">
            <v>71300000-30003000-04010000</v>
          </cell>
          <cell r="B1301" t="str">
            <v>2.5% SOBRE NOMINAS</v>
          </cell>
          <cell r="C1301">
            <v>0</v>
          </cell>
          <cell r="D1301">
            <v>822</v>
          </cell>
          <cell r="E1301">
            <v>0</v>
          </cell>
          <cell r="F1301">
            <v>822</v>
          </cell>
        </row>
        <row r="1302">
          <cell r="A1302" t="str">
            <v>71300000-30003000-04020000</v>
          </cell>
          <cell r="B1302" t="str">
            <v>5% INFONAVIT</v>
          </cell>
          <cell r="C1302">
            <v>0</v>
          </cell>
          <cell r="D1302">
            <v>1162.97</v>
          </cell>
          <cell r="E1302">
            <v>0</v>
          </cell>
          <cell r="F1302">
            <v>1162.97</v>
          </cell>
        </row>
        <row r="1303">
          <cell r="A1303" t="str">
            <v>71300000-30003000-04030000</v>
          </cell>
          <cell r="B1303" t="str">
            <v>2% S.A.R. / RETIRO</v>
          </cell>
          <cell r="C1303">
            <v>0</v>
          </cell>
          <cell r="D1303">
            <v>465.19</v>
          </cell>
          <cell r="E1303">
            <v>0</v>
          </cell>
          <cell r="F1303">
            <v>465.19</v>
          </cell>
        </row>
        <row r="1304">
          <cell r="A1304" t="str">
            <v>71300000-30003000-04040000</v>
          </cell>
          <cell r="B1304" t="str">
            <v>CESANTIA Y VEJEZ</v>
          </cell>
          <cell r="C1304">
            <v>0</v>
          </cell>
          <cell r="D1304">
            <v>732.68</v>
          </cell>
          <cell r="E1304">
            <v>0</v>
          </cell>
          <cell r="F1304">
            <v>732.68</v>
          </cell>
        </row>
        <row r="1305">
          <cell r="A1305" t="str">
            <v>71300000-30003000-20010000</v>
          </cell>
          <cell r="B1305" t="str">
            <v>COMBUSTIBLE AUTOMOVILES</v>
          </cell>
          <cell r="C1305">
            <v>0</v>
          </cell>
          <cell r="D1305">
            <v>2062.81</v>
          </cell>
          <cell r="E1305">
            <v>0</v>
          </cell>
          <cell r="F1305">
            <v>2062.81</v>
          </cell>
        </row>
        <row r="1306">
          <cell r="A1306" t="str">
            <v>71300000-30003000-90030000</v>
          </cell>
          <cell r="B1306" t="str">
            <v>PROVISION AGUINALDO</v>
          </cell>
          <cell r="C1306">
            <v>0</v>
          </cell>
          <cell r="D1306">
            <v>725</v>
          </cell>
          <cell r="E1306">
            <v>0</v>
          </cell>
          <cell r="F1306">
            <v>725</v>
          </cell>
        </row>
        <row r="1307">
          <cell r="A1307" t="str">
            <v>71300000-30003000-90040000</v>
          </cell>
          <cell r="B1307" t="str">
            <v>BOLETIN D-3</v>
          </cell>
          <cell r="C1307">
            <v>0</v>
          </cell>
          <cell r="D1307">
            <v>29.25</v>
          </cell>
          <cell r="E1307">
            <v>0</v>
          </cell>
          <cell r="F1307">
            <v>29.25</v>
          </cell>
        </row>
        <row r="1308">
          <cell r="A1308" t="str">
            <v>71300000-30004000-00000000</v>
          </cell>
          <cell r="B1308" t="str">
            <v>COSTOS/GASTOS FIJOS GOLFO</v>
          </cell>
          <cell r="C1308">
            <v>0</v>
          </cell>
          <cell r="D1308">
            <v>29525.77</v>
          </cell>
          <cell r="E1308">
            <v>0</v>
          </cell>
          <cell r="F1308">
            <v>29525.77</v>
          </cell>
        </row>
        <row r="1309">
          <cell r="A1309" t="str">
            <v>71300000-30004000-01010000</v>
          </cell>
          <cell r="B1309" t="str">
            <v>SUELDOS Y SALARIOS</v>
          </cell>
          <cell r="C1309">
            <v>0</v>
          </cell>
          <cell r="D1309">
            <v>5200</v>
          </cell>
          <cell r="E1309">
            <v>0</v>
          </cell>
          <cell r="F1309">
            <v>5200</v>
          </cell>
        </row>
        <row r="1310">
          <cell r="A1310" t="str">
            <v>71300000-30004000-01030000</v>
          </cell>
          <cell r="B1310" t="str">
            <v>GRATIFICACIONES</v>
          </cell>
          <cell r="C1310">
            <v>0</v>
          </cell>
          <cell r="D1310">
            <v>291.5</v>
          </cell>
          <cell r="E1310">
            <v>0</v>
          </cell>
          <cell r="F1310">
            <v>291.5</v>
          </cell>
        </row>
        <row r="1311">
          <cell r="A1311" t="str">
            <v>71300000-30004000-01040000</v>
          </cell>
          <cell r="B1311" t="str">
            <v>VACACIONES</v>
          </cell>
          <cell r="C1311">
            <v>0</v>
          </cell>
          <cell r="D1311">
            <v>2600</v>
          </cell>
          <cell r="E1311">
            <v>0</v>
          </cell>
          <cell r="F1311">
            <v>2600</v>
          </cell>
        </row>
        <row r="1312">
          <cell r="A1312" t="str">
            <v>71300000-30004000-01050000</v>
          </cell>
          <cell r="B1312" t="str">
            <v>PRIMA VACACIONAL</v>
          </cell>
          <cell r="C1312">
            <v>0</v>
          </cell>
          <cell r="D1312">
            <v>1690</v>
          </cell>
          <cell r="E1312">
            <v>0</v>
          </cell>
          <cell r="F1312">
            <v>1690</v>
          </cell>
        </row>
        <row r="1313">
          <cell r="A1313" t="str">
            <v>71300000-30004000-03010000</v>
          </cell>
          <cell r="B1313" t="str">
            <v>FONDO DE AHORRO</v>
          </cell>
          <cell r="C1313">
            <v>0</v>
          </cell>
          <cell r="D1313">
            <v>416</v>
          </cell>
          <cell r="E1313">
            <v>0</v>
          </cell>
          <cell r="F1313">
            <v>416</v>
          </cell>
        </row>
        <row r="1314">
          <cell r="A1314" t="str">
            <v>71300000-30004000-03020000</v>
          </cell>
          <cell r="B1314" t="str">
            <v>CUOTAS AL I.M.S.S.</v>
          </cell>
          <cell r="C1314">
            <v>0</v>
          </cell>
          <cell r="D1314">
            <v>1554.33</v>
          </cell>
          <cell r="E1314">
            <v>0</v>
          </cell>
          <cell r="F1314">
            <v>1554.33</v>
          </cell>
        </row>
        <row r="1315">
          <cell r="A1315" t="str">
            <v>71300000-30004000-03040000</v>
          </cell>
          <cell r="B1315" t="str">
            <v>DESPENSA EN VALES</v>
          </cell>
          <cell r="C1315">
            <v>0</v>
          </cell>
          <cell r="D1315">
            <v>312</v>
          </cell>
          <cell r="E1315">
            <v>0</v>
          </cell>
          <cell r="F1315">
            <v>312</v>
          </cell>
        </row>
        <row r="1316">
          <cell r="A1316" t="str">
            <v>71300000-30004000-04010000</v>
          </cell>
          <cell r="B1316" t="str">
            <v>2.5% SOBRE NOMINAS</v>
          </cell>
          <cell r="C1316">
            <v>0</v>
          </cell>
          <cell r="D1316">
            <v>848</v>
          </cell>
          <cell r="E1316">
            <v>0</v>
          </cell>
          <cell r="F1316">
            <v>848</v>
          </cell>
        </row>
        <row r="1317">
          <cell r="A1317" t="str">
            <v>71300000-30004000-04020000</v>
          </cell>
          <cell r="B1317" t="str">
            <v>5% INFONAVIT</v>
          </cell>
          <cell r="C1317">
            <v>0</v>
          </cell>
          <cell r="D1317">
            <v>1024.3599999999999</v>
          </cell>
          <cell r="E1317">
            <v>0</v>
          </cell>
          <cell r="F1317">
            <v>1024.3599999999999</v>
          </cell>
        </row>
        <row r="1318">
          <cell r="A1318" t="str">
            <v>71300000-30004000-04030000</v>
          </cell>
          <cell r="B1318" t="str">
            <v>2% S.A.R. / RETIRO</v>
          </cell>
          <cell r="C1318">
            <v>0</v>
          </cell>
          <cell r="D1318">
            <v>409.75</v>
          </cell>
          <cell r="E1318">
            <v>0</v>
          </cell>
          <cell r="F1318">
            <v>409.75</v>
          </cell>
        </row>
        <row r="1319">
          <cell r="A1319" t="str">
            <v>71300000-30004000-04040000</v>
          </cell>
          <cell r="B1319" t="str">
            <v>CESANTIA Y VEJEZ</v>
          </cell>
          <cell r="C1319">
            <v>0</v>
          </cell>
          <cell r="D1319">
            <v>645.35</v>
          </cell>
          <cell r="E1319">
            <v>0</v>
          </cell>
          <cell r="F1319">
            <v>645.35</v>
          </cell>
        </row>
        <row r="1320">
          <cell r="A1320" t="str">
            <v>71300000-30004000-12010000</v>
          </cell>
          <cell r="B1320" t="str">
            <v>ARREND. AUTOMOVILES</v>
          </cell>
          <cell r="C1320">
            <v>0</v>
          </cell>
          <cell r="D1320">
            <v>2669.21</v>
          </cell>
          <cell r="E1320">
            <v>0</v>
          </cell>
          <cell r="F1320">
            <v>2669.21</v>
          </cell>
        </row>
        <row r="1321">
          <cell r="A1321" t="str">
            <v>71300000-30004000-15090000</v>
          </cell>
          <cell r="B1321" t="str">
            <v>MANTTO A TIENDAS</v>
          </cell>
          <cell r="C1321">
            <v>0</v>
          </cell>
          <cell r="D1321">
            <v>8250</v>
          </cell>
          <cell r="E1321">
            <v>0</v>
          </cell>
          <cell r="F1321">
            <v>8250</v>
          </cell>
        </row>
        <row r="1322">
          <cell r="A1322" t="str">
            <v>71300000-30004000-20010000</v>
          </cell>
          <cell r="B1322" t="str">
            <v>COMBUSTIBLE AUTOMOVILES</v>
          </cell>
          <cell r="C1322">
            <v>0</v>
          </cell>
          <cell r="D1322">
            <v>2957.69</v>
          </cell>
          <cell r="E1322">
            <v>0</v>
          </cell>
          <cell r="F1322">
            <v>2957.69</v>
          </cell>
        </row>
        <row r="1323">
          <cell r="A1323" t="str">
            <v>71300000-30004000-90030000</v>
          </cell>
          <cell r="B1323" t="str">
            <v>PROVISION AGUINALDO</v>
          </cell>
          <cell r="C1323">
            <v>0</v>
          </cell>
          <cell r="D1323">
            <v>628.33000000000004</v>
          </cell>
          <cell r="E1323">
            <v>0</v>
          </cell>
          <cell r="F1323">
            <v>628.33000000000004</v>
          </cell>
        </row>
        <row r="1324">
          <cell r="A1324" t="str">
            <v>71300000-30004000-90040000</v>
          </cell>
          <cell r="B1324" t="str">
            <v>BOLETIN D-3</v>
          </cell>
          <cell r="C1324">
            <v>0</v>
          </cell>
          <cell r="D1324">
            <v>29.25</v>
          </cell>
          <cell r="E1324">
            <v>0</v>
          </cell>
          <cell r="F1324">
            <v>29.25</v>
          </cell>
        </row>
        <row r="1325">
          <cell r="A1325" t="str">
            <v>71300000-30005000-00000000</v>
          </cell>
          <cell r="B1325" t="str">
            <v>COSTOS/GASTOS FIJOS TIENDAS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</row>
        <row r="1326">
          <cell r="A1326" t="str">
            <v>71300000-30006000-00000000</v>
          </cell>
          <cell r="B1326" t="str">
            <v>COSTOS/GASTOS FIJOS NTE</v>
          </cell>
          <cell r="C1326">
            <v>0</v>
          </cell>
          <cell r="D1326">
            <v>44060.11</v>
          </cell>
          <cell r="E1326">
            <v>0</v>
          </cell>
          <cell r="F1326">
            <v>44060.11</v>
          </cell>
        </row>
        <row r="1327">
          <cell r="A1327" t="str">
            <v>71300000-30006000-05010000</v>
          </cell>
          <cell r="B1327" t="str">
            <v>SERV. PROFESIONALES EXTERNOS</v>
          </cell>
          <cell r="C1327">
            <v>0</v>
          </cell>
          <cell r="D1327">
            <v>19331.47</v>
          </cell>
          <cell r="E1327">
            <v>0</v>
          </cell>
          <cell r="F1327">
            <v>19331.47</v>
          </cell>
        </row>
        <row r="1328">
          <cell r="A1328" t="str">
            <v>71300000-30006000-18020000</v>
          </cell>
          <cell r="B1328" t="str">
            <v>PASAJES Y TRANSPORTES LOCALES</v>
          </cell>
          <cell r="C1328">
            <v>0</v>
          </cell>
          <cell r="D1328">
            <v>1350</v>
          </cell>
          <cell r="E1328">
            <v>0</v>
          </cell>
          <cell r="F1328">
            <v>1350</v>
          </cell>
        </row>
        <row r="1329">
          <cell r="A1329" t="str">
            <v>71300000-30006000-18030000</v>
          </cell>
          <cell r="B1329" t="str">
            <v>GASTOS DE REPRESENTACION TRANS</v>
          </cell>
          <cell r="C1329">
            <v>0</v>
          </cell>
          <cell r="D1329">
            <v>730</v>
          </cell>
          <cell r="E1329">
            <v>0</v>
          </cell>
          <cell r="F1329">
            <v>730</v>
          </cell>
        </row>
        <row r="1330">
          <cell r="A1330" t="str">
            <v>71300000-30006000-18040000</v>
          </cell>
          <cell r="B1330" t="str">
            <v>GASTOS DE REPRESENTACION ALIME</v>
          </cell>
          <cell r="C1330">
            <v>0</v>
          </cell>
          <cell r="D1330">
            <v>8083.03</v>
          </cell>
          <cell r="E1330">
            <v>0</v>
          </cell>
          <cell r="F1330">
            <v>8083.03</v>
          </cell>
        </row>
        <row r="1331">
          <cell r="A1331" t="str">
            <v>71300000-30006000-19050000</v>
          </cell>
          <cell r="B1331" t="str">
            <v>INTERNET</v>
          </cell>
          <cell r="C1331">
            <v>0</v>
          </cell>
          <cell r="D1331">
            <v>1084.8800000000001</v>
          </cell>
          <cell r="E1331">
            <v>0</v>
          </cell>
          <cell r="F1331">
            <v>1084.8800000000001</v>
          </cell>
        </row>
        <row r="1332">
          <cell r="A1332" t="str">
            <v>71300000-30006000-19070000</v>
          </cell>
          <cell r="B1332" t="str">
            <v>MENSAJERIA ESPECIALIZADA</v>
          </cell>
          <cell r="C1332">
            <v>0</v>
          </cell>
          <cell r="D1332">
            <v>928.3</v>
          </cell>
          <cell r="E1332">
            <v>0</v>
          </cell>
          <cell r="F1332">
            <v>928.3</v>
          </cell>
        </row>
        <row r="1333">
          <cell r="A1333" t="str">
            <v>71300000-30006000-20010000</v>
          </cell>
          <cell r="B1333" t="str">
            <v>COMBUSTIBLE AUTOMOVILES</v>
          </cell>
          <cell r="C1333">
            <v>0</v>
          </cell>
          <cell r="D1333">
            <v>6338.08</v>
          </cell>
          <cell r="E1333">
            <v>0</v>
          </cell>
          <cell r="F1333">
            <v>6338.08</v>
          </cell>
        </row>
        <row r="1334">
          <cell r="A1334" t="str">
            <v>71300000-30006000-23120000</v>
          </cell>
          <cell r="B1334" t="str">
            <v>DIVERSOS</v>
          </cell>
          <cell r="C1334">
            <v>0</v>
          </cell>
          <cell r="D1334">
            <v>360</v>
          </cell>
          <cell r="E1334">
            <v>0</v>
          </cell>
          <cell r="F1334">
            <v>360</v>
          </cell>
        </row>
        <row r="1335">
          <cell r="A1335" t="str">
            <v>71300000-30006000-23130000</v>
          </cell>
          <cell r="B1335" t="str">
            <v>OTROS IMPUESTOS Y DERECHOS</v>
          </cell>
          <cell r="C1335">
            <v>0</v>
          </cell>
          <cell r="D1335">
            <v>3180.53</v>
          </cell>
          <cell r="E1335">
            <v>0</v>
          </cell>
          <cell r="F1335">
            <v>3180.53</v>
          </cell>
        </row>
        <row r="1336">
          <cell r="A1336" t="str">
            <v>71300000-30006000-35020000</v>
          </cell>
          <cell r="B1336" t="str">
            <v>DIVERSOS NO DEDUCIBLES</v>
          </cell>
          <cell r="C1336">
            <v>0</v>
          </cell>
          <cell r="D1336">
            <v>2673.82</v>
          </cell>
          <cell r="E1336">
            <v>0</v>
          </cell>
          <cell r="F1336">
            <v>2673.82</v>
          </cell>
        </row>
        <row r="1337">
          <cell r="A1337" t="str">
            <v>71300000-30007000-00000000</v>
          </cell>
          <cell r="B1337" t="str">
            <v>COSTOS/GASTOS FIJOS PAC NTE</v>
          </cell>
          <cell r="C1337">
            <v>0</v>
          </cell>
          <cell r="D1337">
            <v>18176.41</v>
          </cell>
          <cell r="E1337">
            <v>0</v>
          </cell>
          <cell r="F1337">
            <v>18176.41</v>
          </cell>
        </row>
        <row r="1338">
          <cell r="A1338" t="str">
            <v>71300000-30007000-01010000</v>
          </cell>
          <cell r="B1338" t="str">
            <v>SUELDOS Y SALARIOS</v>
          </cell>
          <cell r="C1338">
            <v>0</v>
          </cell>
          <cell r="D1338">
            <v>6500.1</v>
          </cell>
          <cell r="E1338">
            <v>0</v>
          </cell>
          <cell r="F1338">
            <v>6500.1</v>
          </cell>
        </row>
        <row r="1339">
          <cell r="A1339" t="str">
            <v>71300000-30007000-03010000</v>
          </cell>
          <cell r="B1339" t="str">
            <v>FONDO DE AHORRO</v>
          </cell>
          <cell r="C1339">
            <v>0</v>
          </cell>
          <cell r="D1339">
            <v>520</v>
          </cell>
          <cell r="E1339">
            <v>0</v>
          </cell>
          <cell r="F1339">
            <v>520</v>
          </cell>
        </row>
        <row r="1340">
          <cell r="A1340" t="str">
            <v>71300000-30007000-03020000</v>
          </cell>
          <cell r="B1340" t="str">
            <v>CUOTAS AL I.M.S.S.</v>
          </cell>
          <cell r="C1340">
            <v>0</v>
          </cell>
          <cell r="D1340">
            <v>1516.07</v>
          </cell>
          <cell r="E1340">
            <v>0</v>
          </cell>
          <cell r="F1340">
            <v>1516.07</v>
          </cell>
        </row>
        <row r="1341">
          <cell r="A1341" t="str">
            <v>71300000-30007000-03040000</v>
          </cell>
          <cell r="B1341" t="str">
            <v>DESPENSA EN VALES</v>
          </cell>
          <cell r="C1341">
            <v>0</v>
          </cell>
          <cell r="D1341">
            <v>260</v>
          </cell>
          <cell r="E1341">
            <v>0</v>
          </cell>
          <cell r="F1341">
            <v>260</v>
          </cell>
        </row>
        <row r="1342">
          <cell r="A1342" t="str">
            <v>71300000-30007000-04010000</v>
          </cell>
          <cell r="B1342" t="str">
            <v>2.5% SOBRE NOMINAS</v>
          </cell>
          <cell r="C1342">
            <v>0</v>
          </cell>
          <cell r="D1342">
            <v>477</v>
          </cell>
          <cell r="E1342">
            <v>0</v>
          </cell>
          <cell r="F1342">
            <v>477</v>
          </cell>
        </row>
        <row r="1343">
          <cell r="A1343" t="str">
            <v>71300000-30007000-04020000</v>
          </cell>
          <cell r="B1343" t="str">
            <v>5% INFONAVIT</v>
          </cell>
          <cell r="C1343">
            <v>0</v>
          </cell>
          <cell r="D1343">
            <v>993.02</v>
          </cell>
          <cell r="E1343">
            <v>0</v>
          </cell>
          <cell r="F1343">
            <v>993.02</v>
          </cell>
        </row>
        <row r="1344">
          <cell r="A1344" t="str">
            <v>71300000-30007000-04030000</v>
          </cell>
          <cell r="B1344" t="str">
            <v>2% S.A.R. / RETIRO</v>
          </cell>
          <cell r="C1344">
            <v>0</v>
          </cell>
          <cell r="D1344">
            <v>397.21</v>
          </cell>
          <cell r="E1344">
            <v>0</v>
          </cell>
          <cell r="F1344">
            <v>397.21</v>
          </cell>
        </row>
        <row r="1345">
          <cell r="A1345" t="str">
            <v>71300000-30007000-04040000</v>
          </cell>
          <cell r="B1345" t="str">
            <v>CESANTIA Y VEJEZ</v>
          </cell>
          <cell r="C1345">
            <v>0</v>
          </cell>
          <cell r="D1345">
            <v>625.6</v>
          </cell>
          <cell r="E1345">
            <v>0</v>
          </cell>
          <cell r="F1345">
            <v>625.6</v>
          </cell>
        </row>
        <row r="1346">
          <cell r="A1346" t="str">
            <v>71300000-30007000-15010000</v>
          </cell>
          <cell r="B1346" t="str">
            <v>MANT. AUTOMOVILES</v>
          </cell>
          <cell r="C1346">
            <v>0</v>
          </cell>
          <cell r="D1346">
            <v>2733.17</v>
          </cell>
          <cell r="E1346">
            <v>0</v>
          </cell>
          <cell r="F1346">
            <v>2733.17</v>
          </cell>
        </row>
        <row r="1347">
          <cell r="A1347" t="str">
            <v>71300000-30007000-18030000</v>
          </cell>
          <cell r="B1347" t="str">
            <v>GASTOS DE REPRESENTACION TRANS</v>
          </cell>
          <cell r="C1347">
            <v>0</v>
          </cell>
          <cell r="D1347">
            <v>75.5</v>
          </cell>
          <cell r="E1347">
            <v>0</v>
          </cell>
          <cell r="F1347">
            <v>75.5</v>
          </cell>
        </row>
        <row r="1348">
          <cell r="A1348" t="str">
            <v>71300000-30007000-20010000</v>
          </cell>
          <cell r="B1348" t="str">
            <v>COMBUSTIBLE AUTOMOVILES</v>
          </cell>
          <cell r="C1348">
            <v>0</v>
          </cell>
          <cell r="D1348">
            <v>1651.7</v>
          </cell>
          <cell r="E1348">
            <v>0</v>
          </cell>
          <cell r="F1348">
            <v>1651.7</v>
          </cell>
        </row>
        <row r="1349">
          <cell r="A1349" t="str">
            <v>71300000-30007000-23120000</v>
          </cell>
          <cell r="B1349" t="str">
            <v>DIVERSOS</v>
          </cell>
          <cell r="C1349">
            <v>0</v>
          </cell>
          <cell r="D1349">
            <v>75</v>
          </cell>
          <cell r="E1349">
            <v>0</v>
          </cell>
          <cell r="F1349">
            <v>75</v>
          </cell>
        </row>
        <row r="1350">
          <cell r="A1350" t="str">
            <v>71300000-30007000-23130000</v>
          </cell>
          <cell r="B1350" t="str">
            <v>OTROS IMPUESTOS Y DERECHOS</v>
          </cell>
          <cell r="C1350">
            <v>0</v>
          </cell>
          <cell r="D1350">
            <v>1799.17</v>
          </cell>
          <cell r="E1350">
            <v>0</v>
          </cell>
          <cell r="F1350">
            <v>1799.17</v>
          </cell>
        </row>
        <row r="1351">
          <cell r="A1351" t="str">
            <v>71300000-30007000-90030000</v>
          </cell>
          <cell r="B1351" t="str">
            <v>PROVISION AGUINALDO</v>
          </cell>
          <cell r="C1351">
            <v>0</v>
          </cell>
          <cell r="D1351">
            <v>523.62</v>
          </cell>
          <cell r="E1351">
            <v>0</v>
          </cell>
          <cell r="F1351">
            <v>523.62</v>
          </cell>
        </row>
        <row r="1352">
          <cell r="A1352" t="str">
            <v>71300000-30007000-90040000</v>
          </cell>
          <cell r="B1352" t="str">
            <v>BOLETIN D-3</v>
          </cell>
          <cell r="C1352">
            <v>0</v>
          </cell>
          <cell r="D1352">
            <v>29.25</v>
          </cell>
          <cell r="E1352">
            <v>0</v>
          </cell>
          <cell r="F1352">
            <v>29.25</v>
          </cell>
        </row>
        <row r="1353">
          <cell r="A1353" t="str">
            <v>71300000-30008000-00000000</v>
          </cell>
          <cell r="B1353" t="str">
            <v>COSTOS/GASTOS FIJOS PAC CTRO</v>
          </cell>
          <cell r="C1353">
            <v>0</v>
          </cell>
          <cell r="D1353">
            <v>23213.56</v>
          </cell>
          <cell r="E1353">
            <v>0</v>
          </cell>
          <cell r="F1353">
            <v>23213.56</v>
          </cell>
        </row>
        <row r="1354">
          <cell r="A1354" t="str">
            <v>71300000-30008000-01010000</v>
          </cell>
          <cell r="B1354" t="str">
            <v>SUELDOS Y SALARIOS</v>
          </cell>
          <cell r="C1354">
            <v>0</v>
          </cell>
          <cell r="D1354">
            <v>8333.25</v>
          </cell>
          <cell r="E1354">
            <v>0</v>
          </cell>
          <cell r="F1354">
            <v>8333.25</v>
          </cell>
        </row>
        <row r="1355">
          <cell r="A1355" t="str">
            <v>71300000-30008000-01030000</v>
          </cell>
          <cell r="B1355" t="str">
            <v>GRATIFICACIONES</v>
          </cell>
          <cell r="C1355">
            <v>0</v>
          </cell>
          <cell r="D1355">
            <v>315</v>
          </cell>
          <cell r="E1355">
            <v>0</v>
          </cell>
          <cell r="F1355">
            <v>315</v>
          </cell>
        </row>
        <row r="1356">
          <cell r="A1356" t="str">
            <v>71300000-30008000-01040000</v>
          </cell>
          <cell r="B1356" t="str">
            <v>VACACIONES</v>
          </cell>
          <cell r="C1356">
            <v>0</v>
          </cell>
          <cell r="D1356">
            <v>1666.65</v>
          </cell>
          <cell r="E1356">
            <v>0</v>
          </cell>
          <cell r="F1356">
            <v>1666.65</v>
          </cell>
        </row>
        <row r="1357">
          <cell r="A1357" t="str">
            <v>71300000-30008000-01050000</v>
          </cell>
          <cell r="B1357" t="str">
            <v>PRIMA VACACIONAL</v>
          </cell>
          <cell r="C1357">
            <v>0</v>
          </cell>
          <cell r="D1357">
            <v>1083.32</v>
          </cell>
          <cell r="E1357">
            <v>0</v>
          </cell>
          <cell r="F1357">
            <v>1083.32</v>
          </cell>
        </row>
        <row r="1358">
          <cell r="A1358" t="str">
            <v>71300000-30008000-03010000</v>
          </cell>
          <cell r="B1358" t="str">
            <v>FONDO DE AHORRO</v>
          </cell>
          <cell r="C1358">
            <v>0</v>
          </cell>
          <cell r="D1358">
            <v>666.66</v>
          </cell>
          <cell r="E1358">
            <v>0</v>
          </cell>
          <cell r="F1358">
            <v>666.66</v>
          </cell>
        </row>
        <row r="1359">
          <cell r="A1359" t="str">
            <v>71300000-30008000-03020000</v>
          </cell>
          <cell r="B1359" t="str">
            <v>CUOTAS AL I.M.S.S.</v>
          </cell>
          <cell r="C1359">
            <v>0</v>
          </cell>
          <cell r="D1359">
            <v>1876.2</v>
          </cell>
          <cell r="E1359">
            <v>0</v>
          </cell>
          <cell r="F1359">
            <v>1876.2</v>
          </cell>
        </row>
        <row r="1360">
          <cell r="A1360" t="str">
            <v>71300000-30008000-03040000</v>
          </cell>
          <cell r="B1360" t="str">
            <v>DESPENSA EN VALES</v>
          </cell>
          <cell r="C1360">
            <v>0</v>
          </cell>
          <cell r="D1360">
            <v>400</v>
          </cell>
          <cell r="E1360">
            <v>0</v>
          </cell>
          <cell r="F1360">
            <v>400</v>
          </cell>
        </row>
        <row r="1361">
          <cell r="A1361" t="str">
            <v>71300000-30008000-04010000</v>
          </cell>
          <cell r="B1361" t="str">
            <v>2.5% SOBRE NOMINAS</v>
          </cell>
          <cell r="C1361">
            <v>0</v>
          </cell>
          <cell r="D1361">
            <v>609</v>
          </cell>
          <cell r="E1361">
            <v>0</v>
          </cell>
          <cell r="F1361">
            <v>609</v>
          </cell>
        </row>
        <row r="1362">
          <cell r="A1362" t="str">
            <v>71300000-30008000-04020000</v>
          </cell>
          <cell r="B1362" t="str">
            <v>5% INFONAVIT</v>
          </cell>
          <cell r="C1362">
            <v>0</v>
          </cell>
          <cell r="D1362">
            <v>1288.19</v>
          </cell>
          <cell r="E1362">
            <v>0</v>
          </cell>
          <cell r="F1362">
            <v>1288.19</v>
          </cell>
        </row>
        <row r="1363">
          <cell r="A1363" t="str">
            <v>71300000-30008000-04030000</v>
          </cell>
          <cell r="B1363" t="str">
            <v>2% S.A.R. / RETIRO</v>
          </cell>
          <cell r="C1363">
            <v>0</v>
          </cell>
          <cell r="D1363">
            <v>515.28</v>
          </cell>
          <cell r="E1363">
            <v>0</v>
          </cell>
          <cell r="F1363">
            <v>515.28</v>
          </cell>
        </row>
        <row r="1364">
          <cell r="A1364" t="str">
            <v>71300000-30008000-04040000</v>
          </cell>
          <cell r="B1364" t="str">
            <v>CESANTIA Y VEJEZ</v>
          </cell>
          <cell r="C1364">
            <v>0</v>
          </cell>
          <cell r="D1364">
            <v>811.55</v>
          </cell>
          <cell r="E1364">
            <v>0</v>
          </cell>
          <cell r="F1364">
            <v>811.55</v>
          </cell>
        </row>
        <row r="1365">
          <cell r="A1365" t="str">
            <v>71300000-30008000-12010000</v>
          </cell>
          <cell r="B1365" t="str">
            <v>ARREND. AUTOMOVILES</v>
          </cell>
          <cell r="C1365">
            <v>0</v>
          </cell>
          <cell r="D1365">
            <v>2669.21</v>
          </cell>
          <cell r="E1365">
            <v>0</v>
          </cell>
          <cell r="F1365">
            <v>2669.21</v>
          </cell>
        </row>
        <row r="1366">
          <cell r="A1366" t="str">
            <v>71300000-30008000-20010000</v>
          </cell>
          <cell r="B1366" t="str">
            <v>COMBUSTIBLE AUTOMOVILES</v>
          </cell>
          <cell r="C1366">
            <v>0</v>
          </cell>
          <cell r="D1366">
            <v>1975.45</v>
          </cell>
          <cell r="E1366">
            <v>0</v>
          </cell>
          <cell r="F1366">
            <v>1975.45</v>
          </cell>
        </row>
        <row r="1367">
          <cell r="A1367" t="str">
            <v>71300000-30008000-35020000</v>
          </cell>
          <cell r="B1367" t="str">
            <v>DIVERSOS NO DEDUCIBLES</v>
          </cell>
          <cell r="C1367">
            <v>0</v>
          </cell>
          <cell r="D1367">
            <v>169</v>
          </cell>
          <cell r="E1367">
            <v>0</v>
          </cell>
          <cell r="F1367">
            <v>169</v>
          </cell>
        </row>
        <row r="1368">
          <cell r="A1368" t="str">
            <v>71300000-30008000-90030000</v>
          </cell>
          <cell r="B1368" t="str">
            <v>PROVISION AGUINALDO</v>
          </cell>
          <cell r="C1368">
            <v>0</v>
          </cell>
          <cell r="D1368">
            <v>805.55</v>
          </cell>
          <cell r="E1368">
            <v>0</v>
          </cell>
          <cell r="F1368">
            <v>805.55</v>
          </cell>
        </row>
        <row r="1369">
          <cell r="A1369" t="str">
            <v>71300000-30008000-90040000</v>
          </cell>
          <cell r="B1369" t="str">
            <v>BOLETIN D-3</v>
          </cell>
          <cell r="C1369">
            <v>0</v>
          </cell>
          <cell r="D1369">
            <v>29.25</v>
          </cell>
          <cell r="E1369">
            <v>0</v>
          </cell>
          <cell r="F1369">
            <v>29.25</v>
          </cell>
        </row>
        <row r="1370">
          <cell r="A1370" t="str">
            <v>71300000-30009000-00000000</v>
          </cell>
          <cell r="B1370" t="str">
            <v>COSTOS/GASTOS FIJOS GDL</v>
          </cell>
          <cell r="C1370">
            <v>0</v>
          </cell>
          <cell r="D1370">
            <v>29656.81</v>
          </cell>
          <cell r="E1370">
            <v>0</v>
          </cell>
          <cell r="F1370">
            <v>29656.81</v>
          </cell>
        </row>
        <row r="1371">
          <cell r="A1371" t="str">
            <v>71300000-30009000-05010000</v>
          </cell>
          <cell r="B1371" t="str">
            <v>SERV. PROFESIONALES EXTERNOS</v>
          </cell>
          <cell r="C1371">
            <v>0</v>
          </cell>
          <cell r="D1371">
            <v>7229.95</v>
          </cell>
          <cell r="E1371">
            <v>0</v>
          </cell>
          <cell r="F1371">
            <v>7229.95</v>
          </cell>
        </row>
        <row r="1372">
          <cell r="A1372" t="str">
            <v>71300000-30009000-13020000</v>
          </cell>
          <cell r="B1372" t="str">
            <v>ARRENDAMIENTO DE INMUEBLES PER</v>
          </cell>
          <cell r="C1372">
            <v>0</v>
          </cell>
          <cell r="D1372">
            <v>10500</v>
          </cell>
          <cell r="E1372">
            <v>0</v>
          </cell>
          <cell r="F1372">
            <v>10500</v>
          </cell>
        </row>
        <row r="1373">
          <cell r="A1373" t="str">
            <v>71300000-30009000-17010000</v>
          </cell>
          <cell r="B1373" t="str">
            <v>ENERGIA ELECTRICA</v>
          </cell>
          <cell r="C1373">
            <v>0</v>
          </cell>
          <cell r="D1373">
            <v>552.23</v>
          </cell>
          <cell r="E1373">
            <v>0</v>
          </cell>
          <cell r="F1373">
            <v>552.23</v>
          </cell>
        </row>
        <row r="1374">
          <cell r="A1374" t="str">
            <v>71300000-30009000-19070000</v>
          </cell>
          <cell r="B1374" t="str">
            <v>MENSAJERIA ESPECIALIZADA</v>
          </cell>
          <cell r="C1374">
            <v>0</v>
          </cell>
          <cell r="D1374">
            <v>268.43</v>
          </cell>
          <cell r="E1374">
            <v>0</v>
          </cell>
          <cell r="F1374">
            <v>268.43</v>
          </cell>
        </row>
        <row r="1375">
          <cell r="A1375" t="str">
            <v>71300000-30009000-23140000</v>
          </cell>
          <cell r="B1375" t="str">
            <v>FLETES Y ACARREOS</v>
          </cell>
          <cell r="C1375">
            <v>0</v>
          </cell>
          <cell r="D1375">
            <v>11059.2</v>
          </cell>
          <cell r="E1375">
            <v>0</v>
          </cell>
          <cell r="F1375">
            <v>11059.2</v>
          </cell>
        </row>
        <row r="1376">
          <cell r="A1376" t="str">
            <v>71300000-30009000-35020000</v>
          </cell>
          <cell r="B1376" t="str">
            <v>DIVERSOS NO DEDUCIBLES</v>
          </cell>
          <cell r="C1376">
            <v>0</v>
          </cell>
          <cell r="D1376">
            <v>47</v>
          </cell>
          <cell r="E1376">
            <v>0</v>
          </cell>
          <cell r="F1376">
            <v>47</v>
          </cell>
        </row>
        <row r="1377">
          <cell r="A1377" t="str">
            <v>71300000-30010000-00000000</v>
          </cell>
          <cell r="B1377" t="str">
            <v>COSTOS/GASTOS FIJOS OCCIDENTE</v>
          </cell>
          <cell r="C1377">
            <v>0</v>
          </cell>
          <cell r="D1377">
            <v>24938.93</v>
          </cell>
          <cell r="E1377">
            <v>0</v>
          </cell>
          <cell r="F1377">
            <v>24938.93</v>
          </cell>
        </row>
        <row r="1378">
          <cell r="A1378" t="str">
            <v>71300000-30010000-01010000</v>
          </cell>
          <cell r="B1378" t="str">
            <v>SUELDOS Y SALARIOS</v>
          </cell>
          <cell r="C1378">
            <v>0</v>
          </cell>
          <cell r="D1378">
            <v>7524.9</v>
          </cell>
          <cell r="E1378">
            <v>0</v>
          </cell>
          <cell r="F1378">
            <v>7524.9</v>
          </cell>
        </row>
        <row r="1379">
          <cell r="A1379" t="str">
            <v>71300000-30010000-01030000</v>
          </cell>
          <cell r="B1379" t="str">
            <v>GRATIFICACIONES</v>
          </cell>
          <cell r="C1379">
            <v>0</v>
          </cell>
          <cell r="D1379">
            <v>225</v>
          </cell>
          <cell r="E1379">
            <v>0</v>
          </cell>
          <cell r="F1379">
            <v>225</v>
          </cell>
        </row>
        <row r="1380">
          <cell r="A1380" t="str">
            <v>71300000-30010000-03010000</v>
          </cell>
          <cell r="B1380" t="str">
            <v>FONDO DE AHORRO</v>
          </cell>
          <cell r="C1380">
            <v>0</v>
          </cell>
          <cell r="D1380">
            <v>602</v>
          </cell>
          <cell r="E1380">
            <v>0</v>
          </cell>
          <cell r="F1380">
            <v>602</v>
          </cell>
        </row>
        <row r="1381">
          <cell r="A1381" t="str">
            <v>71300000-30010000-03020000</v>
          </cell>
          <cell r="B1381" t="str">
            <v>CUOTAS AL I.M.S.S.</v>
          </cell>
          <cell r="C1381">
            <v>0</v>
          </cell>
          <cell r="D1381">
            <v>1182.1400000000001</v>
          </cell>
          <cell r="E1381">
            <v>0</v>
          </cell>
          <cell r="F1381">
            <v>1182.1400000000001</v>
          </cell>
        </row>
        <row r="1382">
          <cell r="A1382" t="str">
            <v>71300000-30010000-03040000</v>
          </cell>
          <cell r="B1382" t="str">
            <v>DESPENSA EN VALES</v>
          </cell>
          <cell r="C1382">
            <v>0</v>
          </cell>
          <cell r="D1382">
            <v>292</v>
          </cell>
          <cell r="E1382">
            <v>0</v>
          </cell>
          <cell r="F1382">
            <v>292</v>
          </cell>
        </row>
        <row r="1383">
          <cell r="A1383" t="str">
            <v>71300000-30010000-04010000</v>
          </cell>
          <cell r="B1383" t="str">
            <v>2.5% SOBRE NOMINAS</v>
          </cell>
          <cell r="C1383">
            <v>0</v>
          </cell>
          <cell r="D1383">
            <v>326</v>
          </cell>
          <cell r="E1383">
            <v>0</v>
          </cell>
          <cell r="F1383">
            <v>326</v>
          </cell>
        </row>
        <row r="1384">
          <cell r="A1384" t="str">
            <v>71300000-30010000-04020000</v>
          </cell>
          <cell r="B1384" t="str">
            <v>5% INFONAVIT</v>
          </cell>
          <cell r="C1384">
            <v>0</v>
          </cell>
          <cell r="D1384">
            <v>719.3</v>
          </cell>
          <cell r="E1384">
            <v>0</v>
          </cell>
          <cell r="F1384">
            <v>719.3</v>
          </cell>
        </row>
        <row r="1385">
          <cell r="A1385" t="str">
            <v>71300000-30010000-04030000</v>
          </cell>
          <cell r="B1385" t="str">
            <v>2% S.A.R. / RETIRO</v>
          </cell>
          <cell r="C1385">
            <v>0</v>
          </cell>
          <cell r="D1385">
            <v>287.73</v>
          </cell>
          <cell r="E1385">
            <v>0</v>
          </cell>
          <cell r="F1385">
            <v>287.73</v>
          </cell>
        </row>
        <row r="1386">
          <cell r="A1386" t="str">
            <v>71300000-30010000-04040000</v>
          </cell>
          <cell r="B1386" t="str">
            <v>CESANTIA Y VEJEZ</v>
          </cell>
          <cell r="C1386">
            <v>0</v>
          </cell>
          <cell r="D1386">
            <v>453.18</v>
          </cell>
          <cell r="E1386">
            <v>0</v>
          </cell>
          <cell r="F1386">
            <v>453.18</v>
          </cell>
        </row>
        <row r="1387">
          <cell r="A1387" t="str">
            <v>71300000-30010000-12010000</v>
          </cell>
          <cell r="B1387" t="str">
            <v>ARREND. AUTOMOVILES</v>
          </cell>
          <cell r="C1387">
            <v>0</v>
          </cell>
          <cell r="D1387">
            <v>2282.0300000000002</v>
          </cell>
          <cell r="E1387">
            <v>0</v>
          </cell>
          <cell r="F1387">
            <v>2282.0300000000002</v>
          </cell>
        </row>
        <row r="1388">
          <cell r="A1388" t="str">
            <v>71300000-30010000-15010000</v>
          </cell>
          <cell r="B1388" t="str">
            <v>MANT. AUTOMOVILES</v>
          </cell>
          <cell r="C1388">
            <v>0</v>
          </cell>
          <cell r="D1388">
            <v>3915</v>
          </cell>
          <cell r="E1388">
            <v>0</v>
          </cell>
          <cell r="F1388">
            <v>3915</v>
          </cell>
        </row>
        <row r="1389">
          <cell r="A1389" t="str">
            <v>71300000-30010000-15090000</v>
          </cell>
          <cell r="B1389" t="str">
            <v>MANTTO A TIENDAS</v>
          </cell>
          <cell r="C1389">
            <v>0</v>
          </cell>
          <cell r="D1389">
            <v>3000</v>
          </cell>
          <cell r="E1389">
            <v>0</v>
          </cell>
          <cell r="F1389">
            <v>3000</v>
          </cell>
        </row>
        <row r="1390">
          <cell r="A1390" t="str">
            <v>71300000-30010000-18040000</v>
          </cell>
          <cell r="B1390" t="str">
            <v>GASTOS DE REPRESENTACION ALIME</v>
          </cell>
          <cell r="C1390">
            <v>0</v>
          </cell>
          <cell r="D1390">
            <v>985.42</v>
          </cell>
          <cell r="E1390">
            <v>0</v>
          </cell>
          <cell r="F1390">
            <v>985.42</v>
          </cell>
        </row>
        <row r="1391">
          <cell r="A1391" t="str">
            <v>71300000-30010000-19070000</v>
          </cell>
          <cell r="B1391" t="str">
            <v>MENSAJERIA ESPECIALIZADA</v>
          </cell>
          <cell r="C1391">
            <v>0</v>
          </cell>
          <cell r="D1391">
            <v>133.72</v>
          </cell>
          <cell r="E1391">
            <v>0</v>
          </cell>
          <cell r="F1391">
            <v>133.72</v>
          </cell>
        </row>
        <row r="1392">
          <cell r="A1392" t="str">
            <v>71300000-30010000-20010000</v>
          </cell>
          <cell r="B1392" t="str">
            <v>COMBUSTIBLE AUTOMOVILES</v>
          </cell>
          <cell r="C1392">
            <v>0</v>
          </cell>
          <cell r="D1392">
            <v>1042.1300000000001</v>
          </cell>
          <cell r="E1392">
            <v>0</v>
          </cell>
          <cell r="F1392">
            <v>1042.1300000000001</v>
          </cell>
        </row>
        <row r="1393">
          <cell r="A1393" t="str">
            <v>71300000-30010000-23130000</v>
          </cell>
          <cell r="B1393" t="str">
            <v>OTROS IMPUESTOS Y DERECHOS</v>
          </cell>
          <cell r="C1393">
            <v>0</v>
          </cell>
          <cell r="D1393">
            <v>781.33</v>
          </cell>
          <cell r="E1393">
            <v>0</v>
          </cell>
          <cell r="F1393">
            <v>781.33</v>
          </cell>
        </row>
        <row r="1394">
          <cell r="A1394" t="str">
            <v>71300000-30010000-35020000</v>
          </cell>
          <cell r="B1394" t="str">
            <v>DIVERSOS NO DEDUCIBLES</v>
          </cell>
          <cell r="C1394">
            <v>0</v>
          </cell>
          <cell r="D1394">
            <v>533.5</v>
          </cell>
          <cell r="E1394">
            <v>0</v>
          </cell>
          <cell r="F1394">
            <v>533.5</v>
          </cell>
        </row>
        <row r="1395">
          <cell r="A1395" t="str">
            <v>71300000-30010000-90030000</v>
          </cell>
          <cell r="B1395" t="str">
            <v>PROVISION AGUINALDO</v>
          </cell>
          <cell r="C1395">
            <v>0</v>
          </cell>
          <cell r="D1395">
            <v>624.29999999999995</v>
          </cell>
          <cell r="E1395">
            <v>0</v>
          </cell>
          <cell r="F1395">
            <v>624.29999999999995</v>
          </cell>
        </row>
        <row r="1396">
          <cell r="A1396" t="str">
            <v>71300000-30010000-90040000</v>
          </cell>
          <cell r="B1396" t="str">
            <v>BOLETIN D-3</v>
          </cell>
          <cell r="C1396">
            <v>0</v>
          </cell>
          <cell r="D1396">
            <v>29.25</v>
          </cell>
          <cell r="E1396">
            <v>0</v>
          </cell>
          <cell r="F1396">
            <v>29.25</v>
          </cell>
        </row>
        <row r="1397">
          <cell r="A1397" t="str">
            <v>71300000-30011000-00000000</v>
          </cell>
          <cell r="B1397" t="str">
            <v>COSTOS/GASTOS FIJOS CONURBADA</v>
          </cell>
          <cell r="C1397">
            <v>0</v>
          </cell>
          <cell r="D1397">
            <v>21097.23</v>
          </cell>
          <cell r="E1397">
            <v>0</v>
          </cell>
          <cell r="F1397">
            <v>21097.23</v>
          </cell>
        </row>
        <row r="1398">
          <cell r="A1398" t="str">
            <v>71300000-30011000-01010000</v>
          </cell>
          <cell r="B1398" t="str">
            <v>SUELDOS Y SALARIOS</v>
          </cell>
          <cell r="C1398">
            <v>0</v>
          </cell>
          <cell r="D1398">
            <v>8000.1</v>
          </cell>
          <cell r="E1398">
            <v>0</v>
          </cell>
          <cell r="F1398">
            <v>8000.1</v>
          </cell>
        </row>
        <row r="1399">
          <cell r="A1399" t="str">
            <v>71300000-30011000-01030000</v>
          </cell>
          <cell r="B1399" t="str">
            <v>GRATIFICACIONES</v>
          </cell>
          <cell r="C1399">
            <v>0</v>
          </cell>
          <cell r="D1399">
            <v>325</v>
          </cell>
          <cell r="E1399">
            <v>0</v>
          </cell>
          <cell r="F1399">
            <v>325</v>
          </cell>
        </row>
        <row r="1400">
          <cell r="A1400" t="str">
            <v>71300000-30011000-03010000</v>
          </cell>
          <cell r="B1400" t="str">
            <v>FONDO DE AHORRO</v>
          </cell>
          <cell r="C1400">
            <v>0</v>
          </cell>
          <cell r="D1400">
            <v>640</v>
          </cell>
          <cell r="E1400">
            <v>0</v>
          </cell>
          <cell r="F1400">
            <v>640</v>
          </cell>
        </row>
        <row r="1401">
          <cell r="A1401" t="str">
            <v>71300000-30011000-03020000</v>
          </cell>
          <cell r="B1401" t="str">
            <v>CUOTAS AL I.M.S.S.</v>
          </cell>
          <cell r="C1401">
            <v>0</v>
          </cell>
          <cell r="D1401">
            <v>2043.81</v>
          </cell>
          <cell r="E1401">
            <v>0</v>
          </cell>
          <cell r="F1401">
            <v>2043.81</v>
          </cell>
        </row>
        <row r="1402">
          <cell r="A1402" t="str">
            <v>71300000-30011000-03040000</v>
          </cell>
          <cell r="B1402" t="str">
            <v>DESPENSA EN VALES</v>
          </cell>
          <cell r="C1402">
            <v>0</v>
          </cell>
          <cell r="D1402">
            <v>320</v>
          </cell>
          <cell r="E1402">
            <v>0</v>
          </cell>
          <cell r="F1402">
            <v>320</v>
          </cell>
        </row>
        <row r="1403">
          <cell r="A1403" t="str">
            <v>71300000-30011000-04010000</v>
          </cell>
          <cell r="B1403" t="str">
            <v>2.5% SOBRE NOMINAS</v>
          </cell>
          <cell r="C1403">
            <v>0</v>
          </cell>
          <cell r="D1403">
            <v>1675</v>
          </cell>
          <cell r="E1403">
            <v>0</v>
          </cell>
          <cell r="F1403">
            <v>1675</v>
          </cell>
        </row>
        <row r="1404">
          <cell r="A1404" t="str">
            <v>71300000-30011000-04020000</v>
          </cell>
          <cell r="B1404" t="str">
            <v>5% INFONAVIT</v>
          </cell>
          <cell r="C1404">
            <v>0</v>
          </cell>
          <cell r="D1404">
            <v>1425.57</v>
          </cell>
          <cell r="E1404">
            <v>0</v>
          </cell>
          <cell r="F1404">
            <v>1425.57</v>
          </cell>
        </row>
        <row r="1405">
          <cell r="A1405" t="str">
            <v>71300000-30011000-04030000</v>
          </cell>
          <cell r="B1405" t="str">
            <v>2% S.A.R. / RETIRO</v>
          </cell>
          <cell r="C1405">
            <v>0</v>
          </cell>
          <cell r="D1405">
            <v>570.23</v>
          </cell>
          <cell r="E1405">
            <v>0</v>
          </cell>
          <cell r="F1405">
            <v>570.23</v>
          </cell>
        </row>
        <row r="1406">
          <cell r="A1406" t="str">
            <v>71300000-30011000-04040000</v>
          </cell>
          <cell r="B1406" t="str">
            <v>CESANTIA Y VEJEZ</v>
          </cell>
          <cell r="C1406">
            <v>0</v>
          </cell>
          <cell r="D1406">
            <v>898.11</v>
          </cell>
          <cell r="E1406">
            <v>0</v>
          </cell>
          <cell r="F1406">
            <v>898.11</v>
          </cell>
        </row>
        <row r="1407">
          <cell r="A1407" t="str">
            <v>71300000-30011000-18040000</v>
          </cell>
          <cell r="B1407" t="str">
            <v>GASTOS DE REPRESENTACION ALIME</v>
          </cell>
          <cell r="C1407">
            <v>0</v>
          </cell>
          <cell r="D1407">
            <v>1558.18</v>
          </cell>
          <cell r="E1407">
            <v>0</v>
          </cell>
          <cell r="F1407">
            <v>1558.18</v>
          </cell>
        </row>
        <row r="1408">
          <cell r="A1408" t="str">
            <v>71300000-30011000-20010000</v>
          </cell>
          <cell r="B1408" t="str">
            <v>COMBUSTIBLE AUTOMOVILES</v>
          </cell>
          <cell r="C1408">
            <v>0</v>
          </cell>
          <cell r="D1408">
            <v>1718.14</v>
          </cell>
          <cell r="E1408">
            <v>0</v>
          </cell>
          <cell r="F1408">
            <v>1718.14</v>
          </cell>
        </row>
        <row r="1409">
          <cell r="A1409" t="str">
            <v>71300000-30011000-23130000</v>
          </cell>
          <cell r="B1409" t="str">
            <v>OTROS IMPUESTOS Y DERECHOS</v>
          </cell>
          <cell r="C1409">
            <v>0</v>
          </cell>
          <cell r="D1409">
            <v>843.39</v>
          </cell>
          <cell r="E1409">
            <v>0</v>
          </cell>
          <cell r="F1409">
            <v>843.39</v>
          </cell>
        </row>
        <row r="1410">
          <cell r="A1410" t="str">
            <v>71300000-30011000-35020000</v>
          </cell>
          <cell r="B1410" t="str">
            <v>DIVERSOS NO DEDUCIBLES</v>
          </cell>
          <cell r="C1410">
            <v>0</v>
          </cell>
          <cell r="D1410">
            <v>406</v>
          </cell>
          <cell r="E1410">
            <v>0</v>
          </cell>
          <cell r="F1410">
            <v>406</v>
          </cell>
        </row>
        <row r="1411">
          <cell r="A1411" t="str">
            <v>71300000-30011000-90030000</v>
          </cell>
          <cell r="B1411" t="str">
            <v>PROVISION AGUINALDO</v>
          </cell>
          <cell r="C1411">
            <v>0</v>
          </cell>
          <cell r="D1411">
            <v>644.45000000000005</v>
          </cell>
          <cell r="E1411">
            <v>0</v>
          </cell>
          <cell r="F1411">
            <v>644.45000000000005</v>
          </cell>
        </row>
        <row r="1412">
          <cell r="A1412" t="str">
            <v>71300000-30011000-90040000</v>
          </cell>
          <cell r="B1412" t="str">
            <v>BOLETIN D-3</v>
          </cell>
          <cell r="C1412">
            <v>0</v>
          </cell>
          <cell r="D1412">
            <v>29.25</v>
          </cell>
          <cell r="E1412">
            <v>0</v>
          </cell>
          <cell r="F1412">
            <v>29.25</v>
          </cell>
        </row>
        <row r="1413">
          <cell r="A1413" t="str">
            <v>71300000-30012000-00000000</v>
          </cell>
          <cell r="B1413" t="str">
            <v>COSTOS/GTOS LAB FIJOS PRECOR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</row>
        <row r="1414">
          <cell r="A1414" t="str">
            <v>71300000-30013000-00000000</v>
          </cell>
          <cell r="B1414" t="str">
            <v>COSTOS/GASTOS FIJOS CANCUN</v>
          </cell>
          <cell r="C1414">
            <v>0</v>
          </cell>
          <cell r="D1414">
            <v>83569.149999999994</v>
          </cell>
          <cell r="E1414">
            <v>0</v>
          </cell>
          <cell r="F1414">
            <v>83569.149999999994</v>
          </cell>
        </row>
        <row r="1415">
          <cell r="A1415" t="str">
            <v>71300000-30013000-05010000</v>
          </cell>
          <cell r="B1415" t="str">
            <v>SERV. PROFESIONALES EXTERNOS</v>
          </cell>
          <cell r="C1415">
            <v>0</v>
          </cell>
          <cell r="D1415">
            <v>11295.69</v>
          </cell>
          <cell r="E1415">
            <v>0</v>
          </cell>
          <cell r="F1415">
            <v>11295.69</v>
          </cell>
        </row>
        <row r="1416">
          <cell r="A1416" t="str">
            <v>71300000-30013000-13030000</v>
          </cell>
          <cell r="B1416" t="str">
            <v>ARRENDAMIENTO INMUEBLES SOCIED</v>
          </cell>
          <cell r="C1416">
            <v>0</v>
          </cell>
          <cell r="D1416">
            <v>26800</v>
          </cell>
          <cell r="E1416">
            <v>0</v>
          </cell>
          <cell r="F1416">
            <v>26800</v>
          </cell>
        </row>
        <row r="1417">
          <cell r="A1417" t="str">
            <v>71300000-30013000-15010000</v>
          </cell>
          <cell r="B1417" t="str">
            <v>MANT. AUTOMOVILES</v>
          </cell>
          <cell r="C1417">
            <v>0</v>
          </cell>
          <cell r="D1417">
            <v>644</v>
          </cell>
          <cell r="E1417">
            <v>0</v>
          </cell>
          <cell r="F1417">
            <v>644</v>
          </cell>
        </row>
        <row r="1418">
          <cell r="A1418" t="str">
            <v>71300000-30013000-15090000</v>
          </cell>
          <cell r="B1418" t="str">
            <v>MANTTO A TIENDAS</v>
          </cell>
          <cell r="C1418">
            <v>0</v>
          </cell>
          <cell r="D1418">
            <v>13600</v>
          </cell>
          <cell r="E1418">
            <v>0</v>
          </cell>
          <cell r="F1418">
            <v>13600</v>
          </cell>
        </row>
        <row r="1419">
          <cell r="A1419" t="str">
            <v>71300000-30013000-16010000</v>
          </cell>
          <cell r="B1419" t="str">
            <v>PAPELERIA</v>
          </cell>
          <cell r="C1419">
            <v>0</v>
          </cell>
          <cell r="D1419">
            <v>444.14</v>
          </cell>
          <cell r="E1419">
            <v>0</v>
          </cell>
          <cell r="F1419">
            <v>444.14</v>
          </cell>
        </row>
        <row r="1420">
          <cell r="A1420" t="str">
            <v>71300000-30013000-18030000</v>
          </cell>
          <cell r="B1420" t="str">
            <v>GASTOS DE REPRESENTACION TRANS</v>
          </cell>
          <cell r="C1420">
            <v>0</v>
          </cell>
          <cell r="D1420">
            <v>1446.65</v>
          </cell>
          <cell r="E1420">
            <v>0</v>
          </cell>
          <cell r="F1420">
            <v>1446.65</v>
          </cell>
        </row>
        <row r="1421">
          <cell r="A1421" t="str">
            <v>71300000-30013000-18040000</v>
          </cell>
          <cell r="B1421" t="str">
            <v>GASTOS DE REPRESENTACION ALIME</v>
          </cell>
          <cell r="C1421">
            <v>0</v>
          </cell>
          <cell r="D1421">
            <v>5150.74</v>
          </cell>
          <cell r="E1421">
            <v>0</v>
          </cell>
          <cell r="F1421">
            <v>5150.74</v>
          </cell>
        </row>
        <row r="1422">
          <cell r="A1422" t="str">
            <v>71300000-30013000-19070000</v>
          </cell>
          <cell r="B1422" t="str">
            <v>MENSAJERIA ESPECIALIZADA</v>
          </cell>
          <cell r="C1422">
            <v>0</v>
          </cell>
          <cell r="D1422">
            <v>143.25</v>
          </cell>
          <cell r="E1422">
            <v>0</v>
          </cell>
          <cell r="F1422">
            <v>143.25</v>
          </cell>
        </row>
        <row r="1423">
          <cell r="A1423" t="str">
            <v>71300000-30013000-20010000</v>
          </cell>
          <cell r="B1423" t="str">
            <v>COMBUSTIBLE AUTOMOVILES</v>
          </cell>
          <cell r="C1423">
            <v>0</v>
          </cell>
          <cell r="D1423">
            <v>1076.3</v>
          </cell>
          <cell r="E1423">
            <v>0</v>
          </cell>
          <cell r="F1423">
            <v>1076.3</v>
          </cell>
        </row>
        <row r="1424">
          <cell r="A1424" t="str">
            <v>71300000-30013000-23010000</v>
          </cell>
          <cell r="B1424" t="str">
            <v>RECOLECCION DE BASURA</v>
          </cell>
          <cell r="C1424">
            <v>0</v>
          </cell>
          <cell r="D1424">
            <v>6040</v>
          </cell>
          <cell r="E1424">
            <v>0</v>
          </cell>
          <cell r="F1424">
            <v>6040</v>
          </cell>
        </row>
        <row r="1425">
          <cell r="A1425" t="str">
            <v>71300000-30013000-23120000</v>
          </cell>
          <cell r="B1425" t="str">
            <v>DIVERSOS</v>
          </cell>
          <cell r="C1425">
            <v>0</v>
          </cell>
          <cell r="D1425">
            <v>4539.1499999999996</v>
          </cell>
          <cell r="E1425">
            <v>0</v>
          </cell>
          <cell r="F1425">
            <v>4539.1499999999996</v>
          </cell>
        </row>
        <row r="1426">
          <cell r="A1426" t="str">
            <v>71300000-30013000-23130000</v>
          </cell>
          <cell r="B1426" t="str">
            <v>OTROS IMPUESTOS Y DERECHOS</v>
          </cell>
          <cell r="C1426">
            <v>0</v>
          </cell>
          <cell r="D1426">
            <v>1291.8499999999999</v>
          </cell>
          <cell r="E1426">
            <v>0</v>
          </cell>
          <cell r="F1426">
            <v>1291.8499999999999</v>
          </cell>
        </row>
        <row r="1427">
          <cell r="A1427" t="str">
            <v>71300000-30013000-23140000</v>
          </cell>
          <cell r="B1427" t="str">
            <v>FLETES Y ACARREOS</v>
          </cell>
          <cell r="C1427">
            <v>0</v>
          </cell>
          <cell r="D1427">
            <v>9215.6200000000008</v>
          </cell>
          <cell r="E1427">
            <v>0</v>
          </cell>
          <cell r="F1427">
            <v>9215.6200000000008</v>
          </cell>
        </row>
        <row r="1428">
          <cell r="A1428" t="str">
            <v>71300000-30013000-23150000</v>
          </cell>
          <cell r="B1428" t="str">
            <v>ASEO LIMPIEZA E IMPLEMENTOS</v>
          </cell>
          <cell r="C1428">
            <v>0</v>
          </cell>
          <cell r="D1428">
            <v>260.76</v>
          </cell>
          <cell r="E1428">
            <v>0</v>
          </cell>
          <cell r="F1428">
            <v>260.76</v>
          </cell>
        </row>
        <row r="1429">
          <cell r="A1429" t="str">
            <v>71300000-30013000-35020000</v>
          </cell>
          <cell r="B1429" t="str">
            <v>DIVERSOS NO DEDUCIBLES</v>
          </cell>
          <cell r="C1429">
            <v>0</v>
          </cell>
          <cell r="D1429">
            <v>1621</v>
          </cell>
          <cell r="E1429">
            <v>0</v>
          </cell>
          <cell r="F1429">
            <v>1621</v>
          </cell>
        </row>
        <row r="1430">
          <cell r="A1430" t="str">
            <v>71300000-30014000-00000000</v>
          </cell>
          <cell r="B1430" t="str">
            <v>COSTOS/GASTOS FIJOS G. FORANEA</v>
          </cell>
          <cell r="C1430">
            <v>0</v>
          </cell>
          <cell r="D1430">
            <v>814.8</v>
          </cell>
          <cell r="E1430">
            <v>0</v>
          </cell>
          <cell r="F1430">
            <v>814.8</v>
          </cell>
        </row>
        <row r="1431">
          <cell r="A1431" t="str">
            <v>71300000-30014000-05010000</v>
          </cell>
          <cell r="B1431" t="str">
            <v>SERV. PROFESIONALES EXTERNOS</v>
          </cell>
          <cell r="C1431">
            <v>0</v>
          </cell>
          <cell r="D1431">
            <v>814.8</v>
          </cell>
          <cell r="E1431">
            <v>0</v>
          </cell>
          <cell r="F1431">
            <v>814.8</v>
          </cell>
        </row>
        <row r="1432">
          <cell r="A1432" t="str">
            <v>71300000-30015000-00000000</v>
          </cell>
          <cell r="B1432" t="str">
            <v>COSTOS/GASTOS FIJOS T AGRICULT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</row>
        <row r="1433">
          <cell r="A1433" t="str">
            <v>71300000-30016000-00000000</v>
          </cell>
          <cell r="B1433" t="str">
            <v>COSTOS/GASTOS FIJOS T IZTAPALA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</row>
        <row r="1434">
          <cell r="A1434" t="str">
            <v>71300000-30017000-00000000</v>
          </cell>
          <cell r="B1434" t="str">
            <v>COSTOS/GASTOS FIJOS T JALISCO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</row>
        <row r="1435">
          <cell r="A1435" t="str">
            <v>71300000-30018000-00000000</v>
          </cell>
          <cell r="B1435" t="str">
            <v>COSTOS/GASTOS FIJOS T ACOXPA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</row>
        <row r="1436">
          <cell r="A1436" t="str">
            <v>71300000-30019000-00000000</v>
          </cell>
          <cell r="B1436" t="str">
            <v>COSTOS/GASTOS FIJOS T DIV NTE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</row>
        <row r="1437">
          <cell r="A1437" t="str">
            <v>71300000-30020000-00000000</v>
          </cell>
          <cell r="B1437" t="str">
            <v>COSTOS/GASTOS FIJOS T PORTALES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</row>
        <row r="1438">
          <cell r="A1438" t="str">
            <v>71300000-30021000-00000000</v>
          </cell>
          <cell r="B1438" t="str">
            <v>COSTOS/GASTOS FIJOS T CUAJIMAL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</row>
        <row r="1439">
          <cell r="A1439" t="str">
            <v>71300000-30022000-00000000</v>
          </cell>
          <cell r="B1439" t="str">
            <v>COSTOS/GASTOS FIJOS T ECATEPEC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</row>
        <row r="1440">
          <cell r="A1440" t="str">
            <v>71300000-30023000-00000000</v>
          </cell>
          <cell r="B1440" t="str">
            <v>COSTOS/GASTOS FIJOS COACALCO 1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</row>
        <row r="1441">
          <cell r="A1441" t="str">
            <v>71300000-30024000-00000000</v>
          </cell>
          <cell r="B1441" t="str">
            <v>COSTOS/GASTOS FIJOS COACALCO 2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</row>
        <row r="1442">
          <cell r="A1442" t="str">
            <v>71300000-30025000-00000000</v>
          </cell>
          <cell r="B1442" t="str">
            <v>COSTOS/GASTOS FIJOS OCCIDENT 2</v>
          </cell>
          <cell r="C1442">
            <v>0</v>
          </cell>
          <cell r="D1442">
            <v>18672.669999999998</v>
          </cell>
          <cell r="E1442">
            <v>0</v>
          </cell>
          <cell r="F1442">
            <v>18672.669999999998</v>
          </cell>
        </row>
        <row r="1443">
          <cell r="A1443" t="str">
            <v>71300000-30025000-05010000</v>
          </cell>
          <cell r="B1443" t="str">
            <v>SERV. PROFESIONALES EXTERNOS</v>
          </cell>
          <cell r="C1443">
            <v>0</v>
          </cell>
          <cell r="D1443">
            <v>10796.73</v>
          </cell>
          <cell r="E1443">
            <v>0</v>
          </cell>
          <cell r="F1443">
            <v>10796.73</v>
          </cell>
        </row>
        <row r="1444">
          <cell r="A1444" t="str">
            <v>71300000-30025000-12010000</v>
          </cell>
          <cell r="B1444" t="str">
            <v>ARREND. AUTOMOVILES</v>
          </cell>
          <cell r="C1444">
            <v>0</v>
          </cell>
          <cell r="D1444">
            <v>2053.69</v>
          </cell>
          <cell r="E1444">
            <v>0</v>
          </cell>
          <cell r="F1444">
            <v>2053.69</v>
          </cell>
        </row>
        <row r="1445">
          <cell r="A1445" t="str">
            <v>71300000-30025000-15010000</v>
          </cell>
          <cell r="B1445" t="str">
            <v>MANT. AUTOMOVILES</v>
          </cell>
          <cell r="C1445">
            <v>0</v>
          </cell>
          <cell r="D1445">
            <v>3217.03</v>
          </cell>
          <cell r="E1445">
            <v>0</v>
          </cell>
          <cell r="F1445">
            <v>3217.03</v>
          </cell>
        </row>
        <row r="1446">
          <cell r="A1446" t="str">
            <v>71300000-30025000-20010000</v>
          </cell>
          <cell r="B1446" t="str">
            <v>COMBUSTIBLE AUTOMOVILES</v>
          </cell>
          <cell r="C1446">
            <v>0</v>
          </cell>
          <cell r="D1446">
            <v>2605.2199999999998</v>
          </cell>
          <cell r="E1446">
            <v>0</v>
          </cell>
          <cell r="F1446">
            <v>2605.2199999999998</v>
          </cell>
        </row>
        <row r="1447">
          <cell r="A1447" t="str">
            <v>71300000-30026000-00000000</v>
          </cell>
          <cell r="B1447" t="str">
            <v>COSTOS/GASTOS FIJOS DF 2</v>
          </cell>
          <cell r="C1447">
            <v>0</v>
          </cell>
          <cell r="D1447">
            <v>15215.33</v>
          </cell>
          <cell r="E1447">
            <v>0</v>
          </cell>
          <cell r="F1447">
            <v>15215.33</v>
          </cell>
        </row>
        <row r="1448">
          <cell r="A1448" t="str">
            <v>71300000-30026000-05010000</v>
          </cell>
          <cell r="B1448" t="str">
            <v>SERV. PROFESIONALES EXTERNOS</v>
          </cell>
          <cell r="C1448">
            <v>0</v>
          </cell>
          <cell r="D1448">
            <v>12293.28</v>
          </cell>
          <cell r="E1448">
            <v>0</v>
          </cell>
          <cell r="F1448">
            <v>12293.28</v>
          </cell>
        </row>
        <row r="1449">
          <cell r="A1449" t="str">
            <v>71300000-30026000-12010000</v>
          </cell>
          <cell r="B1449" t="str">
            <v>ARREND. AUTOMOVILES</v>
          </cell>
          <cell r="C1449">
            <v>0</v>
          </cell>
          <cell r="D1449">
            <v>2053.7199999999998</v>
          </cell>
          <cell r="E1449">
            <v>0</v>
          </cell>
          <cell r="F1449">
            <v>2053.7199999999998</v>
          </cell>
        </row>
        <row r="1450">
          <cell r="A1450" t="str">
            <v>71300000-30026000-20010000</v>
          </cell>
          <cell r="B1450" t="str">
            <v>COMBUSTIBLE AUTOMOVILES</v>
          </cell>
          <cell r="C1450">
            <v>0</v>
          </cell>
          <cell r="D1450">
            <v>868.33</v>
          </cell>
          <cell r="E1450">
            <v>0</v>
          </cell>
          <cell r="F1450">
            <v>868.33</v>
          </cell>
        </row>
        <row r="1451">
          <cell r="A1451" t="str">
            <v>71300000-30027000-00000000</v>
          </cell>
          <cell r="B1451" t="str">
            <v>COSTOS/GASTOS FIJOS DF 3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</row>
        <row r="1452">
          <cell r="A1452" t="str">
            <v>71300000-30028000-00000000</v>
          </cell>
          <cell r="B1452" t="str">
            <v>COSTOS/GASTOS FIJOS DF 4</v>
          </cell>
          <cell r="C1452">
            <v>0</v>
          </cell>
          <cell r="D1452">
            <v>8416.4599999999991</v>
          </cell>
          <cell r="E1452">
            <v>0</v>
          </cell>
          <cell r="F1452">
            <v>8416.4599999999991</v>
          </cell>
        </row>
        <row r="1453">
          <cell r="A1453" t="str">
            <v>71300000-30028000-03010000</v>
          </cell>
          <cell r="B1453" t="str">
            <v>FONDO DE AHORRO</v>
          </cell>
          <cell r="C1453">
            <v>0</v>
          </cell>
          <cell r="D1453">
            <v>512</v>
          </cell>
          <cell r="E1453">
            <v>0</v>
          </cell>
          <cell r="F1453">
            <v>512</v>
          </cell>
        </row>
        <row r="1454">
          <cell r="A1454" t="str">
            <v>71300000-30028000-03020000</v>
          </cell>
          <cell r="B1454" t="str">
            <v>CUOTAS AL I.M.S.S.</v>
          </cell>
          <cell r="C1454">
            <v>0</v>
          </cell>
          <cell r="D1454">
            <v>1195.83</v>
          </cell>
          <cell r="E1454">
            <v>0</v>
          </cell>
          <cell r="F1454">
            <v>1195.83</v>
          </cell>
        </row>
        <row r="1455">
          <cell r="A1455" t="str">
            <v>71300000-30028000-03040000</v>
          </cell>
          <cell r="B1455" t="str">
            <v>DESPENSA EN VALES</v>
          </cell>
          <cell r="C1455">
            <v>0</v>
          </cell>
          <cell r="D1455">
            <v>248</v>
          </cell>
          <cell r="E1455">
            <v>0</v>
          </cell>
          <cell r="F1455">
            <v>248</v>
          </cell>
        </row>
        <row r="1456">
          <cell r="A1456" t="str">
            <v>71300000-30028000-04010000</v>
          </cell>
          <cell r="B1456" t="str">
            <v>2.5% SOBRE NOMINAS</v>
          </cell>
          <cell r="C1456">
            <v>0</v>
          </cell>
          <cell r="D1456">
            <v>1048</v>
          </cell>
          <cell r="E1456">
            <v>0</v>
          </cell>
          <cell r="F1456">
            <v>1048</v>
          </cell>
        </row>
        <row r="1457">
          <cell r="A1457" t="str">
            <v>71300000-30028000-04020000</v>
          </cell>
          <cell r="B1457" t="str">
            <v>5% INFONAVIT</v>
          </cell>
          <cell r="C1457">
            <v>0</v>
          </cell>
          <cell r="D1457">
            <v>730.52</v>
          </cell>
          <cell r="E1457">
            <v>0</v>
          </cell>
          <cell r="F1457">
            <v>730.52</v>
          </cell>
        </row>
        <row r="1458">
          <cell r="A1458" t="str">
            <v>71300000-30028000-04030000</v>
          </cell>
          <cell r="B1458" t="str">
            <v>2% S.A.R. / RETIRO</v>
          </cell>
          <cell r="C1458">
            <v>0</v>
          </cell>
          <cell r="D1458">
            <v>292.2</v>
          </cell>
          <cell r="E1458">
            <v>0</v>
          </cell>
          <cell r="F1458">
            <v>292.2</v>
          </cell>
        </row>
        <row r="1459">
          <cell r="A1459" t="str">
            <v>71300000-30028000-04040000</v>
          </cell>
          <cell r="B1459" t="str">
            <v>CESANTIA Y VEJEZ</v>
          </cell>
          <cell r="C1459">
            <v>0</v>
          </cell>
          <cell r="D1459">
            <v>460.22</v>
          </cell>
          <cell r="E1459">
            <v>0</v>
          </cell>
          <cell r="F1459">
            <v>460.22</v>
          </cell>
        </row>
        <row r="1460">
          <cell r="A1460" t="str">
            <v>71300000-30028000-15090000</v>
          </cell>
          <cell r="B1460" t="str">
            <v>MANTTO A TIENDAS</v>
          </cell>
          <cell r="C1460">
            <v>0</v>
          </cell>
          <cell r="D1460">
            <v>1800</v>
          </cell>
          <cell r="E1460">
            <v>0</v>
          </cell>
          <cell r="F1460">
            <v>1800</v>
          </cell>
        </row>
        <row r="1461">
          <cell r="A1461" t="str">
            <v>71300000-30028000-20010000</v>
          </cell>
          <cell r="B1461" t="str">
            <v>COMBUSTIBLE AUTOMOVILES</v>
          </cell>
          <cell r="C1461">
            <v>0</v>
          </cell>
          <cell r="D1461">
            <v>1225.52</v>
          </cell>
          <cell r="E1461">
            <v>0</v>
          </cell>
          <cell r="F1461">
            <v>1225.52</v>
          </cell>
        </row>
        <row r="1462">
          <cell r="A1462" t="str">
            <v>71300000-30028000-35020000</v>
          </cell>
          <cell r="B1462" t="str">
            <v>DIVERSOS NO DEDUCIBLES</v>
          </cell>
          <cell r="C1462">
            <v>0</v>
          </cell>
          <cell r="D1462">
            <v>314</v>
          </cell>
          <cell r="E1462">
            <v>0</v>
          </cell>
          <cell r="F1462">
            <v>314</v>
          </cell>
        </row>
        <row r="1463">
          <cell r="A1463" t="str">
            <v>71300000-30028000-90030000</v>
          </cell>
          <cell r="B1463" t="str">
            <v>PROVISION AGUINALDO</v>
          </cell>
          <cell r="C1463">
            <v>0</v>
          </cell>
          <cell r="D1463">
            <v>531.66999999999996</v>
          </cell>
          <cell r="E1463">
            <v>0</v>
          </cell>
          <cell r="F1463">
            <v>531.66999999999996</v>
          </cell>
        </row>
        <row r="1464">
          <cell r="A1464" t="str">
            <v>71300000-30028000-90040000</v>
          </cell>
          <cell r="B1464" t="str">
            <v>BOLETIN D-3</v>
          </cell>
          <cell r="C1464">
            <v>0</v>
          </cell>
          <cell r="D1464">
            <v>58.5</v>
          </cell>
          <cell r="E1464">
            <v>0</v>
          </cell>
          <cell r="F1464">
            <v>58.5</v>
          </cell>
        </row>
        <row r="1465">
          <cell r="A1465" t="str">
            <v>71300000-30029000-00000000</v>
          </cell>
          <cell r="B1465" t="str">
            <v>COSTOS/GASTOS FIJOS DF 5</v>
          </cell>
          <cell r="C1465">
            <v>0</v>
          </cell>
          <cell r="D1465">
            <v>11661.39</v>
          </cell>
          <cell r="E1465">
            <v>0</v>
          </cell>
          <cell r="F1465">
            <v>11661.39</v>
          </cell>
        </row>
        <row r="1466">
          <cell r="A1466" t="str">
            <v>71300000-30029000-05010000</v>
          </cell>
          <cell r="B1466" t="str">
            <v>SERV. PROFESIONALES EXTERNOS</v>
          </cell>
          <cell r="C1466">
            <v>0</v>
          </cell>
          <cell r="D1466">
            <v>9001.4</v>
          </cell>
          <cell r="E1466">
            <v>0</v>
          </cell>
          <cell r="F1466">
            <v>9001.4</v>
          </cell>
        </row>
        <row r="1467">
          <cell r="A1467" t="str">
            <v>71300000-30029000-15010000</v>
          </cell>
          <cell r="B1467" t="str">
            <v>MANT. AUTOMOVILES</v>
          </cell>
          <cell r="C1467">
            <v>0</v>
          </cell>
          <cell r="D1467">
            <v>1637.93</v>
          </cell>
          <cell r="E1467">
            <v>0</v>
          </cell>
          <cell r="F1467">
            <v>1637.93</v>
          </cell>
        </row>
        <row r="1468">
          <cell r="A1468" t="str">
            <v>71300000-30029000-20010000</v>
          </cell>
          <cell r="B1468" t="str">
            <v>COMBUSTIBLE AUTOMOVILES</v>
          </cell>
          <cell r="C1468">
            <v>0</v>
          </cell>
          <cell r="D1468">
            <v>1022.06</v>
          </cell>
          <cell r="E1468">
            <v>0</v>
          </cell>
          <cell r="F1468">
            <v>1022.06</v>
          </cell>
        </row>
        <row r="1469">
          <cell r="A1469" t="str">
            <v>71400000-00000000-00000000</v>
          </cell>
          <cell r="B1469" t="str">
            <v>COSTOS/GASTOS FIJOS MKT</v>
          </cell>
          <cell r="C1469">
            <v>0</v>
          </cell>
          <cell r="D1469">
            <v>251215.93</v>
          </cell>
          <cell r="E1469">
            <v>0</v>
          </cell>
          <cell r="F1469">
            <v>251215.93</v>
          </cell>
        </row>
        <row r="1470">
          <cell r="F1470">
            <v>251215.93</v>
          </cell>
        </row>
        <row r="1471">
          <cell r="A1471" t="str">
            <v>71400000-40000000-00000000</v>
          </cell>
          <cell r="B1471" t="str">
            <v>COSTOS/GASTOS FIJOS MKT GRAL.</v>
          </cell>
          <cell r="C1471">
            <v>0</v>
          </cell>
          <cell r="D1471">
            <v>251215.93</v>
          </cell>
          <cell r="E1471">
            <v>0</v>
          </cell>
        </row>
        <row r="1472">
          <cell r="A1472" t="str">
            <v>71400000-40001000-00000000</v>
          </cell>
          <cell r="B1472" t="str">
            <v>COSTOS/GASTOS FIJOS MKT GRAL</v>
          </cell>
          <cell r="C1472">
            <v>0</v>
          </cell>
          <cell r="D1472">
            <v>76084.210000000006</v>
          </cell>
          <cell r="E1472">
            <v>0</v>
          </cell>
          <cell r="F1472">
            <v>76084.210000000006</v>
          </cell>
        </row>
        <row r="1473">
          <cell r="A1473" t="str">
            <v>71400000-40001000-01010000</v>
          </cell>
          <cell r="B1473" t="str">
            <v>SUELDOS Y SALARIOS</v>
          </cell>
          <cell r="C1473">
            <v>0</v>
          </cell>
          <cell r="D1473">
            <v>32160</v>
          </cell>
          <cell r="E1473">
            <v>0</v>
          </cell>
          <cell r="F1473">
            <v>32160</v>
          </cell>
        </row>
        <row r="1474">
          <cell r="A1474" t="str">
            <v>71400000-40001000-01030000</v>
          </cell>
          <cell r="B1474" t="str">
            <v>GRATIFICACIONES</v>
          </cell>
          <cell r="C1474">
            <v>0</v>
          </cell>
          <cell r="D1474">
            <v>1440</v>
          </cell>
          <cell r="E1474">
            <v>0</v>
          </cell>
          <cell r="F1474">
            <v>1440</v>
          </cell>
        </row>
        <row r="1475">
          <cell r="A1475" t="str">
            <v>71400000-40001000-01040000</v>
          </cell>
          <cell r="B1475" t="str">
            <v>VACACIONES</v>
          </cell>
          <cell r="C1475">
            <v>0</v>
          </cell>
          <cell r="D1475">
            <v>1072</v>
          </cell>
          <cell r="E1475">
            <v>0</v>
          </cell>
          <cell r="F1475">
            <v>1072</v>
          </cell>
        </row>
        <row r="1476">
          <cell r="A1476" t="str">
            <v>71400000-40001000-01050000</v>
          </cell>
          <cell r="B1476" t="str">
            <v>PRIMA VACACIONAL</v>
          </cell>
          <cell r="C1476">
            <v>0</v>
          </cell>
          <cell r="D1476">
            <v>696.8</v>
          </cell>
          <cell r="E1476">
            <v>0</v>
          </cell>
          <cell r="F1476">
            <v>696.8</v>
          </cell>
        </row>
        <row r="1477">
          <cell r="A1477" t="str">
            <v>71400000-40001000-03010000</v>
          </cell>
          <cell r="B1477" t="str">
            <v>FONDO DE AHORRO</v>
          </cell>
          <cell r="C1477">
            <v>0</v>
          </cell>
          <cell r="D1477">
            <v>2240.9699999999998</v>
          </cell>
          <cell r="E1477">
            <v>0</v>
          </cell>
          <cell r="F1477">
            <v>2240.9699999999998</v>
          </cell>
        </row>
        <row r="1478">
          <cell r="A1478" t="str">
            <v>71400000-40001000-03020000</v>
          </cell>
          <cell r="B1478" t="str">
            <v>CUOTAS AL I.M.S.S.</v>
          </cell>
          <cell r="C1478">
            <v>0</v>
          </cell>
          <cell r="D1478">
            <v>3021.02</v>
          </cell>
          <cell r="E1478">
            <v>0</v>
          </cell>
          <cell r="F1478">
            <v>3021.02</v>
          </cell>
        </row>
        <row r="1479">
          <cell r="A1479" t="str">
            <v>71400000-40001000-03040000</v>
          </cell>
          <cell r="B1479" t="str">
            <v>DESPENSA EN VALES</v>
          </cell>
          <cell r="C1479">
            <v>0</v>
          </cell>
          <cell r="D1479">
            <v>1608</v>
          </cell>
          <cell r="E1479">
            <v>0</v>
          </cell>
          <cell r="F1479">
            <v>1608</v>
          </cell>
        </row>
        <row r="1480">
          <cell r="A1480" t="str">
            <v>71400000-40001000-04010000</v>
          </cell>
          <cell r="B1480" t="str">
            <v>2.5% SOBRE NOMINAS</v>
          </cell>
          <cell r="C1480">
            <v>0</v>
          </cell>
          <cell r="D1480">
            <v>1171</v>
          </cell>
          <cell r="E1480">
            <v>0</v>
          </cell>
          <cell r="F1480">
            <v>1171</v>
          </cell>
        </row>
        <row r="1481">
          <cell r="A1481" t="str">
            <v>71400000-40001000-04020000</v>
          </cell>
          <cell r="B1481" t="str">
            <v>5% INFONAVIT</v>
          </cell>
          <cell r="C1481">
            <v>0</v>
          </cell>
          <cell r="D1481">
            <v>2226.58</v>
          </cell>
          <cell r="E1481">
            <v>0</v>
          </cell>
          <cell r="F1481">
            <v>2226.58</v>
          </cell>
        </row>
        <row r="1482">
          <cell r="A1482" t="str">
            <v>71400000-40001000-04030000</v>
          </cell>
          <cell r="B1482" t="str">
            <v>2% S.A.R. / RETIRO</v>
          </cell>
          <cell r="C1482">
            <v>0</v>
          </cell>
          <cell r="D1482">
            <v>890.63</v>
          </cell>
          <cell r="E1482">
            <v>0</v>
          </cell>
          <cell r="F1482">
            <v>890.63</v>
          </cell>
        </row>
        <row r="1483">
          <cell r="A1483" t="str">
            <v>71400000-40001000-04040000</v>
          </cell>
          <cell r="B1483" t="str">
            <v>CESANTIA Y VEJEZ</v>
          </cell>
          <cell r="C1483">
            <v>0</v>
          </cell>
          <cell r="D1483">
            <v>1402.74</v>
          </cell>
          <cell r="E1483">
            <v>0</v>
          </cell>
          <cell r="F1483">
            <v>1402.74</v>
          </cell>
        </row>
        <row r="1484">
          <cell r="A1484" t="str">
            <v>71400000-40001000-14010000</v>
          </cell>
          <cell r="B1484" t="str">
            <v>SEG. AUTOMOVILES</v>
          </cell>
          <cell r="C1484">
            <v>0</v>
          </cell>
          <cell r="D1484">
            <v>2332.39</v>
          </cell>
          <cell r="E1484">
            <v>0</v>
          </cell>
          <cell r="F1484">
            <v>2332.39</v>
          </cell>
        </row>
        <row r="1485">
          <cell r="A1485" t="str">
            <v>71400000-40001000-14040000</v>
          </cell>
          <cell r="B1485" t="str">
            <v>VIDA</v>
          </cell>
          <cell r="C1485">
            <v>0</v>
          </cell>
          <cell r="D1485">
            <v>393.76</v>
          </cell>
          <cell r="E1485">
            <v>0</v>
          </cell>
          <cell r="F1485">
            <v>393.76</v>
          </cell>
        </row>
        <row r="1486">
          <cell r="A1486" t="str">
            <v>71400000-40001000-18010000</v>
          </cell>
          <cell r="B1486" t="str">
            <v>CAPACITACION Y ADIESTRAMIENTO</v>
          </cell>
          <cell r="C1486">
            <v>0</v>
          </cell>
          <cell r="D1486">
            <v>3279.57</v>
          </cell>
          <cell r="E1486">
            <v>0</v>
          </cell>
          <cell r="F1486">
            <v>3279.57</v>
          </cell>
        </row>
        <row r="1487">
          <cell r="A1487" t="str">
            <v>71400000-40001000-18020000</v>
          </cell>
          <cell r="B1487" t="str">
            <v>PASAJES Y TRANSPORTES LOCALES</v>
          </cell>
          <cell r="C1487">
            <v>0</v>
          </cell>
          <cell r="D1487">
            <v>550</v>
          </cell>
          <cell r="E1487">
            <v>0</v>
          </cell>
          <cell r="F1487">
            <v>550</v>
          </cell>
        </row>
        <row r="1488">
          <cell r="A1488" t="str">
            <v>71400000-40001000-18110000</v>
          </cell>
          <cell r="B1488" t="str">
            <v>CONSUMOS RESTAURANT</v>
          </cell>
          <cell r="C1488">
            <v>0</v>
          </cell>
          <cell r="D1488">
            <v>143.75</v>
          </cell>
          <cell r="E1488">
            <v>0</v>
          </cell>
          <cell r="F1488">
            <v>143.75</v>
          </cell>
        </row>
        <row r="1489">
          <cell r="A1489" t="str">
            <v>71400000-40001000-19010000</v>
          </cell>
          <cell r="B1489" t="str">
            <v>TELEFONOS</v>
          </cell>
          <cell r="C1489">
            <v>0</v>
          </cell>
          <cell r="D1489">
            <v>3908.82</v>
          </cell>
          <cell r="E1489">
            <v>0</v>
          </cell>
          <cell r="F1489">
            <v>3908.82</v>
          </cell>
        </row>
        <row r="1490">
          <cell r="A1490" t="str">
            <v>71400000-40001000-19050000</v>
          </cell>
          <cell r="B1490" t="str">
            <v>INTERNET</v>
          </cell>
          <cell r="C1490">
            <v>0</v>
          </cell>
          <cell r="D1490">
            <v>1581.53</v>
          </cell>
          <cell r="E1490">
            <v>0</v>
          </cell>
          <cell r="F1490">
            <v>1581.53</v>
          </cell>
        </row>
        <row r="1491">
          <cell r="A1491" t="str">
            <v>71400000-40001000-20010000</v>
          </cell>
          <cell r="B1491" t="str">
            <v>COMBUSTIBLE AUTOMOVILES</v>
          </cell>
          <cell r="C1491">
            <v>0</v>
          </cell>
          <cell r="D1491">
            <v>1346.16</v>
          </cell>
          <cell r="E1491">
            <v>0</v>
          </cell>
          <cell r="F1491">
            <v>1346.16</v>
          </cell>
        </row>
        <row r="1492">
          <cell r="A1492" t="str">
            <v>71400000-40001000-22050000</v>
          </cell>
          <cell r="B1492" t="str">
            <v>COMISIONES Y ASESORIAS EXTERNA</v>
          </cell>
          <cell r="C1492">
            <v>0</v>
          </cell>
          <cell r="D1492">
            <v>186.3</v>
          </cell>
          <cell r="E1492">
            <v>0</v>
          </cell>
          <cell r="F1492">
            <v>186.3</v>
          </cell>
        </row>
        <row r="1493">
          <cell r="A1493" t="str">
            <v>71400000-40001000-23120000</v>
          </cell>
          <cell r="B1493" t="str">
            <v>DIVERSOS</v>
          </cell>
          <cell r="C1493">
            <v>0</v>
          </cell>
          <cell r="D1493">
            <v>284.26</v>
          </cell>
          <cell r="E1493">
            <v>0</v>
          </cell>
          <cell r="F1493">
            <v>284.26</v>
          </cell>
        </row>
        <row r="1494">
          <cell r="A1494" t="str">
            <v>71400000-40001000-23130000</v>
          </cell>
          <cell r="B1494" t="str">
            <v>OTROS IMPUESTOS Y DERECHOS</v>
          </cell>
          <cell r="C1494">
            <v>0</v>
          </cell>
          <cell r="D1494">
            <v>174</v>
          </cell>
          <cell r="E1494">
            <v>0</v>
          </cell>
          <cell r="F1494">
            <v>174</v>
          </cell>
        </row>
        <row r="1495">
          <cell r="A1495" t="str">
            <v>71400000-40001000-23200000</v>
          </cell>
          <cell r="B1495" t="str">
            <v>EVENTOS INTERNOS COREV</v>
          </cell>
          <cell r="C1495">
            <v>0</v>
          </cell>
          <cell r="D1495">
            <v>459</v>
          </cell>
          <cell r="E1495">
            <v>0</v>
          </cell>
          <cell r="F1495">
            <v>459</v>
          </cell>
        </row>
        <row r="1496">
          <cell r="A1496" t="str">
            <v>71400000-40001000-27140000</v>
          </cell>
          <cell r="B1496" t="str">
            <v>INVESTIGACION DE MERCADOS</v>
          </cell>
          <cell r="C1496">
            <v>0</v>
          </cell>
          <cell r="D1496">
            <v>5691</v>
          </cell>
          <cell r="E1496">
            <v>0</v>
          </cell>
          <cell r="F1496">
            <v>5691</v>
          </cell>
        </row>
        <row r="1497">
          <cell r="A1497" t="str">
            <v>71400000-40001000-35020000</v>
          </cell>
          <cell r="B1497" t="str">
            <v>DIVERSOS NO DEDUCIBLES</v>
          </cell>
          <cell r="C1497">
            <v>0</v>
          </cell>
          <cell r="D1497">
            <v>2704.95</v>
          </cell>
          <cell r="E1497">
            <v>0</v>
          </cell>
          <cell r="F1497">
            <v>2704.95</v>
          </cell>
        </row>
        <row r="1498">
          <cell r="A1498" t="str">
            <v>71400000-40001000-90010000</v>
          </cell>
          <cell r="B1498" t="str">
            <v>PRIMA DE ANTIGUEDAD</v>
          </cell>
          <cell r="C1498">
            <v>0</v>
          </cell>
          <cell r="D1498">
            <v>395.2</v>
          </cell>
          <cell r="E1498">
            <v>0</v>
          </cell>
          <cell r="F1498">
            <v>395.2</v>
          </cell>
        </row>
        <row r="1499">
          <cell r="A1499" t="str">
            <v>71400000-40001000-90020000</v>
          </cell>
          <cell r="B1499" t="str">
            <v>PLAN DE PENSIONES</v>
          </cell>
          <cell r="C1499">
            <v>0</v>
          </cell>
          <cell r="D1499">
            <v>1456.2</v>
          </cell>
          <cell r="E1499">
            <v>0</v>
          </cell>
          <cell r="F1499">
            <v>1456.2</v>
          </cell>
        </row>
        <row r="1500">
          <cell r="A1500" t="str">
            <v>71400000-40001000-90030000</v>
          </cell>
          <cell r="B1500" t="str">
            <v>PROVISION AGUINALDO</v>
          </cell>
          <cell r="C1500">
            <v>0</v>
          </cell>
          <cell r="D1500">
            <v>3238.33</v>
          </cell>
          <cell r="E1500">
            <v>0</v>
          </cell>
          <cell r="F1500">
            <v>3238.33</v>
          </cell>
        </row>
        <row r="1501">
          <cell r="A1501" t="str">
            <v>71400000-40001000-90040000</v>
          </cell>
          <cell r="B1501" t="str">
            <v>BOLETIN D-3</v>
          </cell>
          <cell r="C1501">
            <v>0</v>
          </cell>
          <cell r="D1501">
            <v>29.25</v>
          </cell>
          <cell r="E1501">
            <v>0</v>
          </cell>
          <cell r="F1501">
            <v>29.25</v>
          </cell>
        </row>
        <row r="1502">
          <cell r="A1502" t="str">
            <v>71400000-40002000-00000000</v>
          </cell>
          <cell r="B1502" t="str">
            <v>COSTOS/GASTOS FIJOS CAPACITACI</v>
          </cell>
          <cell r="C1502">
            <v>0</v>
          </cell>
          <cell r="D1502">
            <v>106966.95</v>
          </cell>
          <cell r="E1502">
            <v>0</v>
          </cell>
          <cell r="F1502">
            <v>106966.95</v>
          </cell>
        </row>
        <row r="1503">
          <cell r="A1503" t="str">
            <v>71400000-40002000-01010000</v>
          </cell>
          <cell r="B1503" t="str">
            <v>SUELDOS Y SALARIOS</v>
          </cell>
          <cell r="C1503">
            <v>0</v>
          </cell>
          <cell r="D1503">
            <v>17194.580000000002</v>
          </cell>
          <cell r="E1503">
            <v>0</v>
          </cell>
          <cell r="F1503">
            <v>17194.580000000002</v>
          </cell>
        </row>
        <row r="1504">
          <cell r="A1504" t="str">
            <v>71400000-40002000-01030000</v>
          </cell>
          <cell r="B1504" t="str">
            <v>GRATIFICACIONES</v>
          </cell>
          <cell r="C1504">
            <v>0</v>
          </cell>
          <cell r="D1504">
            <v>600</v>
          </cell>
          <cell r="E1504">
            <v>0</v>
          </cell>
          <cell r="F1504">
            <v>600</v>
          </cell>
        </row>
        <row r="1505">
          <cell r="A1505" t="str">
            <v>71400000-40002000-01040000</v>
          </cell>
          <cell r="B1505" t="str">
            <v>VACACIONES</v>
          </cell>
          <cell r="C1505">
            <v>0</v>
          </cell>
          <cell r="D1505">
            <v>3306.65</v>
          </cell>
          <cell r="E1505">
            <v>0</v>
          </cell>
          <cell r="F1505">
            <v>3306.65</v>
          </cell>
        </row>
        <row r="1506">
          <cell r="A1506" t="str">
            <v>71400000-40002000-01050000</v>
          </cell>
          <cell r="B1506" t="str">
            <v>PRIMA VACACIONAL</v>
          </cell>
          <cell r="C1506">
            <v>0</v>
          </cell>
          <cell r="D1506">
            <v>2149.3200000000002</v>
          </cell>
          <cell r="E1506">
            <v>0</v>
          </cell>
          <cell r="F1506">
            <v>2149.3200000000002</v>
          </cell>
        </row>
        <row r="1507">
          <cell r="A1507" t="str">
            <v>71400000-40002000-01080000</v>
          </cell>
          <cell r="B1507" t="str">
            <v>COMISIONES</v>
          </cell>
          <cell r="C1507">
            <v>0</v>
          </cell>
          <cell r="D1507">
            <v>10900</v>
          </cell>
          <cell r="E1507">
            <v>0</v>
          </cell>
          <cell r="F1507">
            <v>10900</v>
          </cell>
        </row>
        <row r="1508">
          <cell r="A1508" t="str">
            <v>71400000-40002000-03010000</v>
          </cell>
          <cell r="B1508" t="str">
            <v>FONDO DE AHORRO</v>
          </cell>
          <cell r="C1508">
            <v>0</v>
          </cell>
          <cell r="D1508">
            <v>1375.56</v>
          </cell>
          <cell r="E1508">
            <v>0</v>
          </cell>
          <cell r="F1508">
            <v>1375.56</v>
          </cell>
        </row>
        <row r="1509">
          <cell r="A1509" t="str">
            <v>71400000-40002000-03020000</v>
          </cell>
          <cell r="B1509" t="str">
            <v>CUOTAS AL I.M.S.S.</v>
          </cell>
          <cell r="C1509">
            <v>0</v>
          </cell>
          <cell r="D1509">
            <v>2418.89</v>
          </cell>
          <cell r="E1509">
            <v>0</v>
          </cell>
          <cell r="F1509">
            <v>2418.89</v>
          </cell>
        </row>
        <row r="1510">
          <cell r="A1510" t="str">
            <v>71400000-40002000-03040000</v>
          </cell>
          <cell r="B1510" t="str">
            <v>DESPENSA EN VALES</v>
          </cell>
          <cell r="C1510">
            <v>0</v>
          </cell>
          <cell r="D1510">
            <v>794</v>
          </cell>
          <cell r="E1510">
            <v>0</v>
          </cell>
          <cell r="F1510">
            <v>794</v>
          </cell>
        </row>
        <row r="1511">
          <cell r="A1511" t="str">
            <v>71400000-40002000-04010000</v>
          </cell>
          <cell r="B1511" t="str">
            <v>2.5% SOBRE NOMINAS</v>
          </cell>
          <cell r="C1511">
            <v>0</v>
          </cell>
          <cell r="D1511">
            <v>888</v>
          </cell>
          <cell r="E1511">
            <v>0</v>
          </cell>
          <cell r="F1511">
            <v>888</v>
          </cell>
        </row>
        <row r="1512">
          <cell r="A1512" t="str">
            <v>71400000-40002000-04020000</v>
          </cell>
          <cell r="B1512" t="str">
            <v>5% INFONAVIT</v>
          </cell>
          <cell r="C1512">
            <v>0</v>
          </cell>
          <cell r="D1512">
            <v>1733.02</v>
          </cell>
          <cell r="E1512">
            <v>0</v>
          </cell>
          <cell r="F1512">
            <v>1733.02</v>
          </cell>
        </row>
        <row r="1513">
          <cell r="A1513" t="str">
            <v>71400000-40002000-04030000</v>
          </cell>
          <cell r="B1513" t="str">
            <v>2% S.A.R. / RETIRO</v>
          </cell>
          <cell r="C1513">
            <v>0</v>
          </cell>
          <cell r="D1513">
            <v>693.21</v>
          </cell>
          <cell r="E1513">
            <v>0</v>
          </cell>
          <cell r="F1513">
            <v>693.21</v>
          </cell>
        </row>
        <row r="1514">
          <cell r="A1514" t="str">
            <v>71400000-40002000-04040000</v>
          </cell>
          <cell r="B1514" t="str">
            <v>CESANTIA Y VEJEZ</v>
          </cell>
          <cell r="C1514">
            <v>0</v>
          </cell>
          <cell r="D1514">
            <v>1091.81</v>
          </cell>
          <cell r="E1514">
            <v>0</v>
          </cell>
          <cell r="F1514">
            <v>1091.81</v>
          </cell>
        </row>
        <row r="1515">
          <cell r="A1515" t="str">
            <v>71400000-40002000-05010000</v>
          </cell>
          <cell r="B1515" t="str">
            <v>SERV. PROFESIONALES EXTERNOS</v>
          </cell>
          <cell r="C1515">
            <v>0</v>
          </cell>
          <cell r="D1515">
            <v>19509.2</v>
          </cell>
          <cell r="E1515">
            <v>0</v>
          </cell>
          <cell r="F1515">
            <v>19509.2</v>
          </cell>
        </row>
        <row r="1516">
          <cell r="A1516" t="str">
            <v>71400000-40002000-12010000</v>
          </cell>
          <cell r="B1516" t="str">
            <v>ARREND. AUTOMOVILES</v>
          </cell>
          <cell r="C1516">
            <v>0</v>
          </cell>
          <cell r="D1516">
            <v>2053.7199999999998</v>
          </cell>
          <cell r="E1516">
            <v>0</v>
          </cell>
          <cell r="F1516">
            <v>2053.7199999999998</v>
          </cell>
        </row>
        <row r="1517">
          <cell r="A1517" t="str">
            <v>71400000-40002000-15020000</v>
          </cell>
          <cell r="B1517" t="str">
            <v>CAMIONES Y CAMIONETAS</v>
          </cell>
          <cell r="C1517">
            <v>0</v>
          </cell>
          <cell r="D1517">
            <v>5821.02</v>
          </cell>
          <cell r="E1517">
            <v>0</v>
          </cell>
          <cell r="F1517">
            <v>5821.02</v>
          </cell>
        </row>
        <row r="1518">
          <cell r="A1518" t="str">
            <v>71400000-40002000-16010000</v>
          </cell>
          <cell r="B1518" t="str">
            <v>PAPELERIA</v>
          </cell>
          <cell r="C1518">
            <v>0</v>
          </cell>
          <cell r="D1518">
            <v>605.96</v>
          </cell>
          <cell r="E1518">
            <v>0</v>
          </cell>
          <cell r="F1518">
            <v>605.96</v>
          </cell>
        </row>
        <row r="1519">
          <cell r="A1519" t="str">
            <v>71400000-40002000-18020000</v>
          </cell>
          <cell r="B1519" t="str">
            <v>PASAJES Y TRANSPORTES LOCALES</v>
          </cell>
          <cell r="C1519">
            <v>0</v>
          </cell>
          <cell r="D1519">
            <v>805</v>
          </cell>
          <cell r="E1519">
            <v>0</v>
          </cell>
          <cell r="F1519">
            <v>805</v>
          </cell>
        </row>
        <row r="1520">
          <cell r="A1520" t="str">
            <v>71400000-40002000-20010000</v>
          </cell>
          <cell r="B1520" t="str">
            <v>COMBUSTIBLE AUTOMOVILES</v>
          </cell>
          <cell r="C1520">
            <v>0</v>
          </cell>
          <cell r="D1520">
            <v>3560.31</v>
          </cell>
          <cell r="E1520">
            <v>0</v>
          </cell>
          <cell r="F1520">
            <v>3560.31</v>
          </cell>
        </row>
        <row r="1521">
          <cell r="A1521" t="str">
            <v>71400000-40002000-20020000</v>
          </cell>
          <cell r="B1521" t="str">
            <v>CAMIONES Y CAMIONETAS</v>
          </cell>
          <cell r="C1521">
            <v>0</v>
          </cell>
          <cell r="D1521">
            <v>6798.68</v>
          </cell>
          <cell r="E1521">
            <v>0</v>
          </cell>
          <cell r="F1521">
            <v>6798.68</v>
          </cell>
        </row>
        <row r="1522">
          <cell r="A1522" t="str">
            <v>71400000-40002000-21010000</v>
          </cell>
          <cell r="B1522" t="str">
            <v>HONORARIOS PERSONAS FISICAS</v>
          </cell>
          <cell r="C1522">
            <v>0</v>
          </cell>
          <cell r="D1522">
            <v>17805</v>
          </cell>
          <cell r="E1522">
            <v>0</v>
          </cell>
          <cell r="F1522">
            <v>17805</v>
          </cell>
        </row>
        <row r="1523">
          <cell r="A1523" t="str">
            <v>71400000-40002000-23130000</v>
          </cell>
          <cell r="B1523" t="str">
            <v>OTROS IMPUESTOS Y DERECHOS</v>
          </cell>
          <cell r="C1523">
            <v>0</v>
          </cell>
          <cell r="D1523">
            <v>413.79</v>
          </cell>
          <cell r="E1523">
            <v>0</v>
          </cell>
          <cell r="F1523">
            <v>413.79</v>
          </cell>
        </row>
        <row r="1524">
          <cell r="A1524" t="str">
            <v>71400000-40002000-24020000</v>
          </cell>
          <cell r="B1524" t="str">
            <v>CAFETERIA</v>
          </cell>
          <cell r="C1524">
            <v>0</v>
          </cell>
          <cell r="D1524">
            <v>1008.62</v>
          </cell>
          <cell r="E1524">
            <v>0</v>
          </cell>
          <cell r="F1524">
            <v>1008.62</v>
          </cell>
        </row>
        <row r="1525">
          <cell r="A1525" t="str">
            <v>71400000-40002000-24080000</v>
          </cell>
          <cell r="B1525" t="str">
            <v>GTS DE REPRESENTACION ALIMENTO</v>
          </cell>
          <cell r="C1525">
            <v>0</v>
          </cell>
          <cell r="D1525">
            <v>68.900000000000006</v>
          </cell>
          <cell r="E1525">
            <v>0</v>
          </cell>
          <cell r="F1525">
            <v>68.900000000000006</v>
          </cell>
        </row>
        <row r="1526">
          <cell r="A1526" t="str">
            <v>71400000-40002000-35020000</v>
          </cell>
          <cell r="B1526" t="str">
            <v>DIVERSOS NO DEDUCIBLES</v>
          </cell>
          <cell r="C1526">
            <v>0</v>
          </cell>
          <cell r="D1526">
            <v>3715</v>
          </cell>
          <cell r="E1526">
            <v>0</v>
          </cell>
          <cell r="F1526">
            <v>3715</v>
          </cell>
        </row>
        <row r="1527">
          <cell r="A1527" t="str">
            <v>71400000-40002000-90030000</v>
          </cell>
          <cell r="B1527" t="str">
            <v>PROVISION AGUINALDO</v>
          </cell>
          <cell r="C1527">
            <v>0</v>
          </cell>
          <cell r="D1527">
            <v>1598.21</v>
          </cell>
          <cell r="E1527">
            <v>0</v>
          </cell>
          <cell r="F1527">
            <v>1598.21</v>
          </cell>
        </row>
        <row r="1528">
          <cell r="A1528" t="str">
            <v>71400000-40002000-90040000</v>
          </cell>
          <cell r="B1528" t="str">
            <v>BOLETIN D-3</v>
          </cell>
          <cell r="C1528">
            <v>0</v>
          </cell>
          <cell r="D1528">
            <v>58.5</v>
          </cell>
          <cell r="E1528">
            <v>0</v>
          </cell>
          <cell r="F1528">
            <v>58.5</v>
          </cell>
        </row>
        <row r="1529">
          <cell r="A1529" t="str">
            <v>71400000-40003000-00000000</v>
          </cell>
          <cell r="B1529" t="str">
            <v>COSTOS/GASTOS FIJOS PUB Y MKT</v>
          </cell>
          <cell r="C1529">
            <v>0</v>
          </cell>
          <cell r="D1529">
            <v>54441.16</v>
          </cell>
          <cell r="E1529">
            <v>0</v>
          </cell>
          <cell r="F1529">
            <v>54441.16</v>
          </cell>
        </row>
        <row r="1530">
          <cell r="A1530" t="str">
            <v>71400000-40003000-05010000</v>
          </cell>
          <cell r="B1530" t="str">
            <v>SERV. PROFESIONALES EXTERNOS</v>
          </cell>
          <cell r="C1530">
            <v>0</v>
          </cell>
          <cell r="D1530">
            <v>37624.15</v>
          </cell>
          <cell r="E1530">
            <v>0</v>
          </cell>
          <cell r="F1530">
            <v>37624.15</v>
          </cell>
        </row>
        <row r="1531">
          <cell r="A1531" t="str">
            <v>71400000-40003000-16010000</v>
          </cell>
          <cell r="B1531" t="str">
            <v>PAPELERIA</v>
          </cell>
          <cell r="C1531">
            <v>0</v>
          </cell>
          <cell r="D1531">
            <v>12525.65</v>
          </cell>
          <cell r="E1531">
            <v>0</v>
          </cell>
          <cell r="F1531">
            <v>12525.65</v>
          </cell>
        </row>
        <row r="1532">
          <cell r="A1532" t="str">
            <v>71400000-40003000-16040000</v>
          </cell>
          <cell r="B1532" t="str">
            <v>IMPLEMENTOS DE OFICINA</v>
          </cell>
          <cell r="C1532">
            <v>0</v>
          </cell>
          <cell r="D1532">
            <v>2000</v>
          </cell>
          <cell r="E1532">
            <v>0</v>
          </cell>
          <cell r="F1532">
            <v>2000</v>
          </cell>
        </row>
        <row r="1533">
          <cell r="A1533" t="str">
            <v>71400000-40003000-18020000</v>
          </cell>
          <cell r="B1533" t="str">
            <v>PASAJES Y TRANSPORTES LOCALES</v>
          </cell>
          <cell r="C1533">
            <v>0</v>
          </cell>
          <cell r="D1533">
            <v>224</v>
          </cell>
          <cell r="E1533">
            <v>0</v>
          </cell>
          <cell r="F1533">
            <v>224</v>
          </cell>
        </row>
        <row r="1534">
          <cell r="A1534" t="str">
            <v>71400000-40003000-20010000</v>
          </cell>
          <cell r="B1534" t="str">
            <v>COMBUSTIBLE AUTOMOVILES</v>
          </cell>
          <cell r="C1534">
            <v>0</v>
          </cell>
          <cell r="D1534">
            <v>434.17</v>
          </cell>
          <cell r="E1534">
            <v>0</v>
          </cell>
          <cell r="F1534">
            <v>434.17</v>
          </cell>
        </row>
        <row r="1535">
          <cell r="A1535" t="str">
            <v>71400000-40003000-23120000</v>
          </cell>
          <cell r="B1535" t="str">
            <v>DIVERSOS</v>
          </cell>
          <cell r="C1535">
            <v>0</v>
          </cell>
          <cell r="D1535">
            <v>601.29</v>
          </cell>
          <cell r="E1535">
            <v>0</v>
          </cell>
          <cell r="F1535">
            <v>601.29</v>
          </cell>
        </row>
        <row r="1536">
          <cell r="A1536" t="str">
            <v>71400000-40003000-35020000</v>
          </cell>
          <cell r="B1536" t="str">
            <v>DIVERSOS NO DEDUCIBLES</v>
          </cell>
          <cell r="C1536">
            <v>0</v>
          </cell>
          <cell r="D1536">
            <v>1031.9000000000001</v>
          </cell>
          <cell r="E1536">
            <v>0</v>
          </cell>
          <cell r="F1536">
            <v>1031.9000000000001</v>
          </cell>
        </row>
        <row r="1537">
          <cell r="A1537" t="str">
            <v>71400000-40004000-00000000</v>
          </cell>
          <cell r="B1537" t="str">
            <v>COSTOS/GASTOS FIJOS EXPORT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</row>
        <row r="1538">
          <cell r="A1538" t="str">
            <v>71400000-40005000-00000000</v>
          </cell>
          <cell r="B1538" t="str">
            <v>COSTOS/GASTOS FIJOS ESPECIFIC.</v>
          </cell>
          <cell r="C1538">
            <v>0</v>
          </cell>
          <cell r="D1538">
            <v>13723.61</v>
          </cell>
          <cell r="E1538">
            <v>0</v>
          </cell>
          <cell r="F1538">
            <v>13723.61</v>
          </cell>
        </row>
        <row r="1539">
          <cell r="A1539" t="str">
            <v>71400000-40005000-05010000</v>
          </cell>
          <cell r="B1539" t="str">
            <v>SERV. PROFESIONALES EXTERNOS</v>
          </cell>
          <cell r="C1539">
            <v>0</v>
          </cell>
          <cell r="D1539">
            <v>13563.78</v>
          </cell>
          <cell r="E1539">
            <v>0</v>
          </cell>
          <cell r="F1539">
            <v>13563.78</v>
          </cell>
        </row>
        <row r="1540">
          <cell r="A1540" t="str">
            <v>71400000-40005000-16010000</v>
          </cell>
          <cell r="B1540" t="str">
            <v>PAPELERIA</v>
          </cell>
          <cell r="C1540">
            <v>0</v>
          </cell>
          <cell r="D1540">
            <v>140</v>
          </cell>
          <cell r="E1540">
            <v>0</v>
          </cell>
          <cell r="F1540">
            <v>140</v>
          </cell>
        </row>
        <row r="1541">
          <cell r="A1541" t="str">
            <v>71400000-40005000-19030000</v>
          </cell>
          <cell r="B1541" t="str">
            <v>TELEFONOS CELULARES</v>
          </cell>
          <cell r="C1541">
            <v>0</v>
          </cell>
          <cell r="D1541">
            <v>19.829999999999998</v>
          </cell>
          <cell r="E1541">
            <v>0</v>
          </cell>
          <cell r="F1541">
            <v>19.829999999999998</v>
          </cell>
        </row>
        <row r="1542">
          <cell r="A1542" t="str">
            <v>71500000-00000000-00000000</v>
          </cell>
          <cell r="B1542" t="str">
            <v>COSTOS/GASTOS FIJOS EXPORTACIO</v>
          </cell>
          <cell r="C1542">
            <v>0</v>
          </cell>
          <cell r="D1542">
            <v>111849.15</v>
          </cell>
          <cell r="E1542">
            <v>0</v>
          </cell>
          <cell r="F1542">
            <v>111849.15</v>
          </cell>
        </row>
        <row r="1543">
          <cell r="F1543">
            <v>111849.15</v>
          </cell>
        </row>
        <row r="1544">
          <cell r="A1544" t="str">
            <v>71500000-50000000-00000000</v>
          </cell>
          <cell r="B1544" t="str">
            <v>COSTOS/GASTOS FIJOS EXPORTACIO</v>
          </cell>
          <cell r="C1544">
            <v>0</v>
          </cell>
          <cell r="D1544">
            <v>111849.15</v>
          </cell>
          <cell r="E1544">
            <v>0</v>
          </cell>
        </row>
        <row r="1545">
          <cell r="A1545" t="str">
            <v>71500000-50001000-00000000</v>
          </cell>
          <cell r="B1545" t="str">
            <v>COSTOS/GASTOS FIJOS EXPORTACIO</v>
          </cell>
          <cell r="C1545">
            <v>0</v>
          </cell>
          <cell r="D1545">
            <v>111849.15</v>
          </cell>
          <cell r="E1545">
            <v>0</v>
          </cell>
          <cell r="F1545">
            <v>111849.15</v>
          </cell>
        </row>
        <row r="1546">
          <cell r="A1546" t="str">
            <v>71500000-50001000-01010000</v>
          </cell>
          <cell r="B1546" t="str">
            <v>SUELDOS Y SALARIOS</v>
          </cell>
          <cell r="C1546">
            <v>0</v>
          </cell>
          <cell r="D1546">
            <v>13723.23</v>
          </cell>
          <cell r="E1546">
            <v>0</v>
          </cell>
          <cell r="F1546">
            <v>13723.23</v>
          </cell>
        </row>
        <row r="1547">
          <cell r="A1547" t="str">
            <v>71500000-50001000-01030000</v>
          </cell>
          <cell r="B1547" t="str">
            <v>GRATIFICACIONES</v>
          </cell>
          <cell r="C1547">
            <v>0</v>
          </cell>
          <cell r="D1547">
            <v>539.5</v>
          </cell>
          <cell r="E1547">
            <v>0</v>
          </cell>
          <cell r="F1547">
            <v>539.5</v>
          </cell>
        </row>
        <row r="1548">
          <cell r="A1548" t="str">
            <v>71500000-50001000-01040000</v>
          </cell>
          <cell r="B1548" t="str">
            <v>VACACIONES</v>
          </cell>
          <cell r="C1548">
            <v>0</v>
          </cell>
          <cell r="D1548">
            <v>268</v>
          </cell>
          <cell r="E1548">
            <v>0</v>
          </cell>
          <cell r="F1548">
            <v>268</v>
          </cell>
        </row>
        <row r="1549">
          <cell r="A1549" t="str">
            <v>71500000-50001000-01050000</v>
          </cell>
          <cell r="B1549" t="str">
            <v>PRIMA VACACIONAL</v>
          </cell>
          <cell r="C1549">
            <v>0</v>
          </cell>
          <cell r="D1549">
            <v>174.2</v>
          </cell>
          <cell r="E1549">
            <v>0</v>
          </cell>
          <cell r="F1549">
            <v>174.2</v>
          </cell>
        </row>
        <row r="1550">
          <cell r="A1550" t="str">
            <v>71500000-50001000-03010000</v>
          </cell>
          <cell r="B1550" t="str">
            <v>FONDO DE AHORRO</v>
          </cell>
          <cell r="C1550">
            <v>0</v>
          </cell>
          <cell r="D1550">
            <v>454.66</v>
          </cell>
          <cell r="E1550">
            <v>0</v>
          </cell>
          <cell r="F1550">
            <v>454.66</v>
          </cell>
        </row>
        <row r="1551">
          <cell r="A1551" t="str">
            <v>71500000-50001000-03020000</v>
          </cell>
          <cell r="B1551" t="str">
            <v>CUOTAS AL I.M.S.S.</v>
          </cell>
          <cell r="C1551">
            <v>0</v>
          </cell>
          <cell r="D1551">
            <v>879.39</v>
          </cell>
          <cell r="E1551">
            <v>0</v>
          </cell>
          <cell r="F1551">
            <v>879.39</v>
          </cell>
        </row>
        <row r="1552">
          <cell r="A1552" t="str">
            <v>71500000-50001000-03040000</v>
          </cell>
          <cell r="B1552" t="str">
            <v>DESPENSA EN VALES</v>
          </cell>
          <cell r="C1552">
            <v>0</v>
          </cell>
          <cell r="D1552">
            <v>220</v>
          </cell>
          <cell r="E1552">
            <v>0</v>
          </cell>
          <cell r="F1552">
            <v>220</v>
          </cell>
        </row>
        <row r="1553">
          <cell r="A1553" t="str">
            <v>71500000-50001000-04010000</v>
          </cell>
          <cell r="B1553" t="str">
            <v>2% SOBRE NOMINAS</v>
          </cell>
          <cell r="C1553">
            <v>0</v>
          </cell>
          <cell r="D1553">
            <v>158</v>
          </cell>
          <cell r="E1553">
            <v>0</v>
          </cell>
          <cell r="F1553">
            <v>158</v>
          </cell>
        </row>
        <row r="1554">
          <cell r="A1554" t="str">
            <v>71500000-50001000-04020000</v>
          </cell>
          <cell r="B1554" t="str">
            <v>5% INFONAVIT</v>
          </cell>
          <cell r="C1554">
            <v>0</v>
          </cell>
          <cell r="D1554">
            <v>471.15</v>
          </cell>
          <cell r="E1554">
            <v>0</v>
          </cell>
          <cell r="F1554">
            <v>471.15</v>
          </cell>
        </row>
        <row r="1555">
          <cell r="A1555" t="str">
            <v>71500000-50001000-04030000</v>
          </cell>
          <cell r="B1555" t="str">
            <v>2% SAR / RETIRO</v>
          </cell>
          <cell r="C1555">
            <v>0</v>
          </cell>
          <cell r="D1555">
            <v>188.46</v>
          </cell>
          <cell r="E1555">
            <v>0</v>
          </cell>
          <cell r="F1555">
            <v>188.46</v>
          </cell>
        </row>
        <row r="1556">
          <cell r="A1556" t="str">
            <v>71500000-50001000-04040000</v>
          </cell>
          <cell r="B1556" t="str">
            <v>CESANTIA Y VEJEZ</v>
          </cell>
          <cell r="C1556">
            <v>0</v>
          </cell>
          <cell r="D1556">
            <v>296.83999999999997</v>
          </cell>
          <cell r="E1556">
            <v>0</v>
          </cell>
          <cell r="F1556">
            <v>296.83999999999997</v>
          </cell>
        </row>
        <row r="1557">
          <cell r="A1557" t="str">
            <v>71500000-50001000-14080000</v>
          </cell>
          <cell r="B1557" t="str">
            <v>CARGA</v>
          </cell>
          <cell r="C1557">
            <v>0</v>
          </cell>
          <cell r="D1557">
            <v>4181.29</v>
          </cell>
          <cell r="E1557">
            <v>0</v>
          </cell>
          <cell r="F1557">
            <v>4181.29</v>
          </cell>
        </row>
        <row r="1558">
          <cell r="A1558" t="str">
            <v>71500000-50001000-18090000</v>
          </cell>
          <cell r="B1558" t="str">
            <v>GASTOS DE REPRESENTACION AGENT</v>
          </cell>
          <cell r="C1558">
            <v>0</v>
          </cell>
          <cell r="D1558">
            <v>1201.5</v>
          </cell>
          <cell r="E1558">
            <v>0</v>
          </cell>
          <cell r="F1558">
            <v>1201.5</v>
          </cell>
        </row>
        <row r="1559">
          <cell r="A1559" t="str">
            <v>71500000-50001000-19030000</v>
          </cell>
          <cell r="B1559" t="str">
            <v>TELEFONOS CELULARES</v>
          </cell>
          <cell r="C1559">
            <v>0</v>
          </cell>
          <cell r="D1559">
            <v>922.42</v>
          </cell>
          <cell r="E1559">
            <v>0</v>
          </cell>
          <cell r="F1559">
            <v>922.42</v>
          </cell>
        </row>
        <row r="1560">
          <cell r="A1560" t="str">
            <v>71500000-50001000-19070000</v>
          </cell>
          <cell r="B1560" t="str">
            <v>MENSAJERIA ESPECIALIZADA</v>
          </cell>
          <cell r="C1560">
            <v>0</v>
          </cell>
          <cell r="D1560">
            <v>1644</v>
          </cell>
          <cell r="E1560">
            <v>0</v>
          </cell>
          <cell r="F1560">
            <v>1644</v>
          </cell>
        </row>
        <row r="1561">
          <cell r="A1561" t="str">
            <v>71500000-50001000-22050000</v>
          </cell>
          <cell r="B1561" t="str">
            <v>COMISIONES Y ASESORIAS EXTERNA</v>
          </cell>
          <cell r="C1561">
            <v>0</v>
          </cell>
          <cell r="D1561">
            <v>12000</v>
          </cell>
          <cell r="E1561">
            <v>0</v>
          </cell>
          <cell r="F1561">
            <v>12000</v>
          </cell>
        </row>
        <row r="1562">
          <cell r="A1562" t="str">
            <v>71500000-50001000-23070000</v>
          </cell>
          <cell r="B1562" t="str">
            <v>TARIMAS</v>
          </cell>
          <cell r="C1562">
            <v>0</v>
          </cell>
          <cell r="D1562">
            <v>74053.2</v>
          </cell>
          <cell r="E1562">
            <v>0</v>
          </cell>
          <cell r="F1562">
            <v>74053.2</v>
          </cell>
        </row>
        <row r="1563">
          <cell r="A1563" t="str">
            <v>71500000-50001000-23130000</v>
          </cell>
          <cell r="B1563" t="str">
            <v>OTROS IMPUESTOS Y DERECHOS</v>
          </cell>
          <cell r="C1563">
            <v>0</v>
          </cell>
          <cell r="D1563">
            <v>30.26</v>
          </cell>
          <cell r="E1563">
            <v>0</v>
          </cell>
          <cell r="F1563">
            <v>30.26</v>
          </cell>
        </row>
        <row r="1564">
          <cell r="A1564" t="str">
            <v>71500000-50001000-90030000</v>
          </cell>
          <cell r="B1564" t="str">
            <v>PROVISION AGUINALDO</v>
          </cell>
          <cell r="C1564">
            <v>0</v>
          </cell>
          <cell r="D1564">
            <v>443.05</v>
          </cell>
          <cell r="E1564">
            <v>0</v>
          </cell>
          <cell r="F1564">
            <v>443.05</v>
          </cell>
        </row>
        <row r="1565">
          <cell r="A1565" t="str">
            <v>72000000-00000000-00000000</v>
          </cell>
          <cell r="B1565" t="str">
            <v>COSTOS/GASTOS VARIABLES</v>
          </cell>
          <cell r="C1565">
            <v>0</v>
          </cell>
          <cell r="D1565">
            <v>512815.73</v>
          </cell>
          <cell r="E1565">
            <v>17674.27</v>
          </cell>
          <cell r="F1565">
            <v>495141.46</v>
          </cell>
        </row>
        <row r="1568">
          <cell r="A1568" t="str">
            <v>72100000-00000000-00000000</v>
          </cell>
          <cell r="B1568" t="str">
            <v>COSTOS/GASTOS VAR OPERACIONES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</row>
        <row r="1569">
          <cell r="F1569">
            <v>0</v>
          </cell>
        </row>
        <row r="1570">
          <cell r="A1570" t="str">
            <v>72100000-10000000-00000000</v>
          </cell>
          <cell r="C1570">
            <v>0</v>
          </cell>
          <cell r="D1570">
            <v>0</v>
          </cell>
          <cell r="E1570">
            <v>0</v>
          </cell>
        </row>
        <row r="1571">
          <cell r="A1571" t="str">
            <v>72100000-10001000-00000000</v>
          </cell>
          <cell r="B1571" t="str">
            <v>COSTOS/GASTOS VAR OPERACIONES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</row>
        <row r="1572">
          <cell r="A1572" t="str">
            <v>72100000-10002000-00000000</v>
          </cell>
          <cell r="B1572" t="str">
            <v>COSTOS/GASTOS VAR EMBARQUES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</row>
        <row r="1573">
          <cell r="A1573" t="str">
            <v>72100000-10003000-00000000</v>
          </cell>
          <cell r="B1573" t="str">
            <v>COSTOS/GASTOS VAR MAT PRIMAS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</row>
        <row r="1574">
          <cell r="A1574" t="str">
            <v>72100000-10004000-00000000</v>
          </cell>
          <cell r="B1574" t="str">
            <v>COSTOS/GASTOS VAR PRODUCCION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</row>
        <row r="1575">
          <cell r="A1575" t="str">
            <v>72100000-10005000-00000000</v>
          </cell>
          <cell r="B1575" t="str">
            <v>COSTOS/GASTOS VAR LABORATORIO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</row>
        <row r="1576">
          <cell r="A1576" t="str">
            <v>72200000-00000000-00000000</v>
          </cell>
          <cell r="B1576" t="str">
            <v>COSTOS/GASTOS VAR ADMON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</row>
        <row r="1577">
          <cell r="F1577">
            <v>0</v>
          </cell>
        </row>
        <row r="1578">
          <cell r="A1578" t="str">
            <v>72200000-20000000-00000000</v>
          </cell>
          <cell r="C1578">
            <v>0</v>
          </cell>
          <cell r="D1578">
            <v>0</v>
          </cell>
          <cell r="E1578">
            <v>0</v>
          </cell>
        </row>
        <row r="1579">
          <cell r="A1579" t="str">
            <v>72200000-20001000-00000000</v>
          </cell>
          <cell r="B1579" t="str">
            <v>COSTOS/GASTOS VAR ADMON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</row>
        <row r="1580">
          <cell r="A1580" t="str">
            <v>72200000-20002000-00000000</v>
          </cell>
          <cell r="B1580" t="str">
            <v>COSTOS/GASTOS VAR LEGAL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</row>
        <row r="1581">
          <cell r="A1581" t="str">
            <v>72200000-20003000-00000000</v>
          </cell>
          <cell r="B1581" t="str">
            <v>COSTOS/GASTOS DIR GRAL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</row>
        <row r="1582">
          <cell r="A1582" t="str">
            <v>72200000-20004000-00000000</v>
          </cell>
          <cell r="B1582" t="str">
            <v>COSTOS/GASTOS VAR REC HUM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</row>
        <row r="1583">
          <cell r="A1583" t="str">
            <v>72300000-00000000-00000000</v>
          </cell>
          <cell r="B1583" t="str">
            <v>COSTOS/GASTOS VAR VENTAS</v>
          </cell>
          <cell r="C1583">
            <v>0</v>
          </cell>
          <cell r="D1583">
            <v>356218.91</v>
          </cell>
          <cell r="E1583">
            <v>13739.27</v>
          </cell>
          <cell r="F1583">
            <v>342479.64</v>
          </cell>
        </row>
        <row r="1584">
          <cell r="F1584">
            <v>342479.64</v>
          </cell>
        </row>
        <row r="1585">
          <cell r="A1585" t="str">
            <v>72300000-30000000-00000000</v>
          </cell>
          <cell r="B1585" t="str">
            <v>COSTOS/GASTOS VAR VENTAS</v>
          </cell>
          <cell r="C1585">
            <v>0</v>
          </cell>
          <cell r="D1585">
            <v>356218.91</v>
          </cell>
          <cell r="E1585">
            <v>13739.27</v>
          </cell>
        </row>
        <row r="1586">
          <cell r="A1586" t="str">
            <v>72300000-30001000-00000000</v>
          </cell>
          <cell r="B1586" t="str">
            <v>COSTOS/GASTOS VAR VTAS NAL</v>
          </cell>
          <cell r="C1586">
            <v>0</v>
          </cell>
          <cell r="D1586">
            <v>9415.89</v>
          </cell>
          <cell r="E1586">
            <v>0</v>
          </cell>
          <cell r="F1586">
            <v>9415.89</v>
          </cell>
        </row>
        <row r="1587">
          <cell r="A1587" t="str">
            <v>72300000-30001000-05010000</v>
          </cell>
          <cell r="B1587" t="str">
            <v>SERV. PROFESIONALES EXTERNOS</v>
          </cell>
          <cell r="C1587">
            <v>0</v>
          </cell>
          <cell r="D1587">
            <v>9415.89</v>
          </cell>
          <cell r="E1587">
            <v>0</v>
          </cell>
          <cell r="F1587">
            <v>9415.89</v>
          </cell>
        </row>
        <row r="1588">
          <cell r="A1588" t="str">
            <v>72300000-30002000-00000000</v>
          </cell>
          <cell r="B1588" t="str">
            <v>COSTOS/GASTOS VAR DF 1</v>
          </cell>
          <cell r="C1588">
            <v>0</v>
          </cell>
          <cell r="D1588">
            <v>76760.479999999996</v>
          </cell>
          <cell r="E1588">
            <v>13739.27</v>
          </cell>
          <cell r="F1588">
            <v>63021.21</v>
          </cell>
        </row>
        <row r="1589">
          <cell r="A1589" t="str">
            <v>72300000-30002000-01080000</v>
          </cell>
          <cell r="B1589" t="str">
            <v>COMISIONES</v>
          </cell>
          <cell r="C1589">
            <v>0</v>
          </cell>
          <cell r="D1589">
            <v>10474</v>
          </cell>
          <cell r="E1589">
            <v>0</v>
          </cell>
          <cell r="F1589">
            <v>10474</v>
          </cell>
        </row>
        <row r="1590">
          <cell r="A1590" t="str">
            <v>72300000-30002000-01090000</v>
          </cell>
          <cell r="B1590" t="str">
            <v>BONOS Y PREMIOS POR LOGROS</v>
          </cell>
          <cell r="C1590">
            <v>0</v>
          </cell>
          <cell r="D1590">
            <v>24000</v>
          </cell>
          <cell r="E1590">
            <v>0</v>
          </cell>
          <cell r="F1590">
            <v>24000</v>
          </cell>
        </row>
        <row r="1591">
          <cell r="A1591" t="str">
            <v>72300000-30002000-05010000</v>
          </cell>
          <cell r="B1591" t="str">
            <v>SERV. PROFESIONALES EXTERNOS</v>
          </cell>
          <cell r="C1591">
            <v>0</v>
          </cell>
          <cell r="D1591">
            <v>42286.48</v>
          </cell>
          <cell r="E1591">
            <v>13739.27</v>
          </cell>
          <cell r="F1591">
            <v>28547.21</v>
          </cell>
        </row>
        <row r="1592">
          <cell r="A1592" t="str">
            <v>72300000-30003000-00000000</v>
          </cell>
          <cell r="B1592" t="str">
            <v>COSTOS/GASTOS VAR SUR</v>
          </cell>
          <cell r="C1592">
            <v>0</v>
          </cell>
          <cell r="D1592">
            <v>16566</v>
          </cell>
          <cell r="E1592">
            <v>0</v>
          </cell>
          <cell r="F1592">
            <v>16566</v>
          </cell>
        </row>
        <row r="1593">
          <cell r="A1593" t="str">
            <v>72300000-30003000-01080000</v>
          </cell>
          <cell r="B1593" t="str">
            <v>COMISIONES</v>
          </cell>
          <cell r="C1593">
            <v>0</v>
          </cell>
          <cell r="D1593">
            <v>8566</v>
          </cell>
          <cell r="E1593">
            <v>0</v>
          </cell>
          <cell r="F1593">
            <v>8566</v>
          </cell>
        </row>
        <row r="1594">
          <cell r="A1594" t="str">
            <v>72300000-30003000-01090000</v>
          </cell>
          <cell r="B1594" t="str">
            <v>BONOS Y PREMIOS POR LOGROS</v>
          </cell>
          <cell r="C1594">
            <v>0</v>
          </cell>
          <cell r="D1594">
            <v>8000</v>
          </cell>
          <cell r="E1594">
            <v>0</v>
          </cell>
          <cell r="F1594">
            <v>8000</v>
          </cell>
        </row>
        <row r="1595">
          <cell r="A1595" t="str">
            <v>72300000-30004000-00000000</v>
          </cell>
          <cell r="B1595" t="str">
            <v>COSTOS/GASTOS VAR GOLFO</v>
          </cell>
          <cell r="C1595">
            <v>0</v>
          </cell>
          <cell r="D1595">
            <v>23718</v>
          </cell>
          <cell r="E1595">
            <v>0</v>
          </cell>
          <cell r="F1595">
            <v>23718</v>
          </cell>
        </row>
        <row r="1596">
          <cell r="A1596" t="str">
            <v>72300000-30004000-01080000</v>
          </cell>
          <cell r="B1596" t="str">
            <v>COMISIONES</v>
          </cell>
          <cell r="C1596">
            <v>0</v>
          </cell>
          <cell r="D1596">
            <v>15468</v>
          </cell>
          <cell r="E1596">
            <v>0</v>
          </cell>
          <cell r="F1596">
            <v>15468</v>
          </cell>
        </row>
        <row r="1597">
          <cell r="A1597" t="str">
            <v>72300000-30004000-01090000</v>
          </cell>
          <cell r="B1597" t="str">
            <v>BONOS Y PREMIOS POR LOGROS</v>
          </cell>
          <cell r="C1597">
            <v>0</v>
          </cell>
          <cell r="D1597">
            <v>8250</v>
          </cell>
          <cell r="E1597">
            <v>0</v>
          </cell>
          <cell r="F1597">
            <v>8250</v>
          </cell>
        </row>
        <row r="1598">
          <cell r="A1598" t="str">
            <v>72300000-30005000-00000000</v>
          </cell>
          <cell r="B1598" t="str">
            <v>COSTOS/GASTOS VAR TIENDAS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</row>
        <row r="1599">
          <cell r="A1599" t="str">
            <v>72300000-30006000-00000000</v>
          </cell>
          <cell r="B1599" t="str">
            <v>COSTOS/GASTOS VAR NTE</v>
          </cell>
          <cell r="C1599">
            <v>0</v>
          </cell>
          <cell r="D1599">
            <v>33257.65</v>
          </cell>
          <cell r="E1599">
            <v>0</v>
          </cell>
          <cell r="F1599">
            <v>33257.65</v>
          </cell>
        </row>
        <row r="1600">
          <cell r="A1600" t="str">
            <v>72300000-30006000-05010000</v>
          </cell>
          <cell r="B1600" t="str">
            <v>SERV. PROFESIONALES EXTERNOS</v>
          </cell>
          <cell r="C1600">
            <v>0</v>
          </cell>
          <cell r="D1600">
            <v>33257.65</v>
          </cell>
          <cell r="E1600">
            <v>0</v>
          </cell>
          <cell r="F1600">
            <v>33257.65</v>
          </cell>
        </row>
        <row r="1601">
          <cell r="A1601" t="str">
            <v>72300000-30007000-00000000</v>
          </cell>
          <cell r="B1601" t="str">
            <v>COSTOS/GASTOS VAR PAC NTE</v>
          </cell>
          <cell r="C1601">
            <v>0</v>
          </cell>
          <cell r="D1601">
            <v>12070</v>
          </cell>
          <cell r="E1601">
            <v>0</v>
          </cell>
          <cell r="F1601">
            <v>12070</v>
          </cell>
        </row>
        <row r="1602">
          <cell r="A1602" t="str">
            <v>72300000-30007000-01080000</v>
          </cell>
          <cell r="B1602" t="str">
            <v>COMISIONES</v>
          </cell>
          <cell r="C1602">
            <v>0</v>
          </cell>
          <cell r="D1602">
            <v>12070</v>
          </cell>
          <cell r="E1602">
            <v>0</v>
          </cell>
          <cell r="F1602">
            <v>12070</v>
          </cell>
        </row>
        <row r="1603">
          <cell r="A1603" t="str">
            <v>72300000-30008000-00000000</v>
          </cell>
          <cell r="B1603" t="str">
            <v>COSTOS/GASTOS VAR PAC CTRO</v>
          </cell>
          <cell r="C1603">
            <v>0</v>
          </cell>
          <cell r="D1603">
            <v>12278</v>
          </cell>
          <cell r="E1603">
            <v>0</v>
          </cell>
          <cell r="F1603">
            <v>12278</v>
          </cell>
        </row>
        <row r="1604">
          <cell r="A1604" t="str">
            <v>72300000-30008000-01080000</v>
          </cell>
          <cell r="B1604" t="str">
            <v>COMISIONES</v>
          </cell>
          <cell r="C1604">
            <v>0</v>
          </cell>
          <cell r="D1604">
            <v>12278</v>
          </cell>
          <cell r="E1604">
            <v>0</v>
          </cell>
          <cell r="F1604">
            <v>12278</v>
          </cell>
        </row>
        <row r="1605">
          <cell r="A1605" t="str">
            <v>72300000-30009000-00000000</v>
          </cell>
          <cell r="B1605" t="str">
            <v>COSTOS/GASTOS VAR GDL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</row>
        <row r="1606">
          <cell r="A1606" t="str">
            <v>72300000-30010000-00000000</v>
          </cell>
          <cell r="B1606" t="str">
            <v>COSTOS/GASTOS VAR OCCIDENTE</v>
          </cell>
          <cell r="C1606">
            <v>0</v>
          </cell>
          <cell r="D1606">
            <v>4702</v>
          </cell>
          <cell r="E1606">
            <v>0</v>
          </cell>
          <cell r="F1606">
            <v>4702</v>
          </cell>
        </row>
        <row r="1607">
          <cell r="A1607" t="str">
            <v>72300000-30010000-01080000</v>
          </cell>
          <cell r="B1607" t="str">
            <v>COMISIONES</v>
          </cell>
          <cell r="C1607">
            <v>0</v>
          </cell>
          <cell r="D1607">
            <v>4702</v>
          </cell>
          <cell r="E1607">
            <v>0</v>
          </cell>
          <cell r="F1607">
            <v>4702</v>
          </cell>
        </row>
        <row r="1608">
          <cell r="A1608" t="str">
            <v>72300000-30011000-00000000</v>
          </cell>
          <cell r="B1608" t="str">
            <v>COSTOS/GASTOS VAR CONURBADA</v>
          </cell>
          <cell r="C1608">
            <v>0</v>
          </cell>
          <cell r="D1608">
            <v>58016</v>
          </cell>
          <cell r="E1608">
            <v>0</v>
          </cell>
          <cell r="F1608">
            <v>58016</v>
          </cell>
        </row>
        <row r="1609">
          <cell r="A1609" t="str">
            <v>72300000-30011000-01080000</v>
          </cell>
          <cell r="B1609" t="str">
            <v>COMISIONES</v>
          </cell>
          <cell r="C1609">
            <v>0</v>
          </cell>
          <cell r="D1609">
            <v>27336</v>
          </cell>
          <cell r="E1609">
            <v>0</v>
          </cell>
          <cell r="F1609">
            <v>27336</v>
          </cell>
        </row>
        <row r="1610">
          <cell r="A1610" t="str">
            <v>72300000-30011000-01090000</v>
          </cell>
          <cell r="B1610" t="str">
            <v>BONOS Y PREMIOS POR LOGROS</v>
          </cell>
          <cell r="C1610">
            <v>0</v>
          </cell>
          <cell r="D1610">
            <v>30680</v>
          </cell>
          <cell r="E1610">
            <v>0</v>
          </cell>
          <cell r="F1610">
            <v>30680</v>
          </cell>
        </row>
        <row r="1611">
          <cell r="A1611" t="str">
            <v>72300000-30012000-00000000</v>
          </cell>
          <cell r="B1611" t="str">
            <v>COSTOS/GASTOS VAR PRECOR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</row>
        <row r="1612">
          <cell r="A1612" t="str">
            <v>72300000-30013000-00000000</v>
          </cell>
          <cell r="B1612" t="str">
            <v>COSTOS/GASTOS VAR CANCUN</v>
          </cell>
          <cell r="C1612">
            <v>0</v>
          </cell>
          <cell r="D1612">
            <v>18996.77</v>
          </cell>
          <cell r="E1612">
            <v>0</v>
          </cell>
          <cell r="F1612">
            <v>18996.77</v>
          </cell>
        </row>
        <row r="1613">
          <cell r="A1613" t="str">
            <v>72300000-30013000-05010000</v>
          </cell>
          <cell r="B1613" t="str">
            <v>SERV. PROFESIONALES EXTERNOS</v>
          </cell>
          <cell r="C1613">
            <v>0</v>
          </cell>
          <cell r="D1613">
            <v>18996.77</v>
          </cell>
          <cell r="E1613">
            <v>0</v>
          </cell>
          <cell r="F1613">
            <v>18996.77</v>
          </cell>
        </row>
        <row r="1614">
          <cell r="A1614" t="str">
            <v>72300000-30014000-00000000</v>
          </cell>
          <cell r="B1614" t="str">
            <v>COSTOS/GASTOS VAR G. FORANEA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</row>
        <row r="1615">
          <cell r="A1615" t="str">
            <v>72300000-30015000-00000000</v>
          </cell>
          <cell r="B1615" t="str">
            <v>COSTOS/GASTOS VAR T AGRICULTUR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</row>
        <row r="1616">
          <cell r="A1616" t="str">
            <v>72300000-30016000-00000000</v>
          </cell>
          <cell r="B1616" t="str">
            <v>COSTOS/GASTOS VAR T IZTAPALAPA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</row>
        <row r="1617">
          <cell r="A1617" t="str">
            <v>72300000-30017000-00000000</v>
          </cell>
          <cell r="B1617" t="str">
            <v>COSTOS/GASTOS VAR T JALISCO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</row>
        <row r="1618">
          <cell r="A1618" t="str">
            <v>72300000-30018000-00000000</v>
          </cell>
          <cell r="B1618" t="str">
            <v>COSTOS/GASTOS VAR T ACOXPA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</row>
        <row r="1619">
          <cell r="A1619" t="str">
            <v>72300000-30019000-00000000</v>
          </cell>
          <cell r="B1619" t="str">
            <v>COSTOS/GASTOS VAR T DIV NORTE</v>
          </cell>
          <cell r="C1619">
            <v>0</v>
          </cell>
          <cell r="D1619">
            <v>0</v>
          </cell>
          <cell r="E1619">
            <v>0</v>
          </cell>
          <cell r="F1619">
            <v>0</v>
          </cell>
        </row>
        <row r="1620">
          <cell r="A1620" t="str">
            <v>72300000-30020000-00000000</v>
          </cell>
          <cell r="B1620" t="str">
            <v>COSTOS/GASTOS VAR T PORTALES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</row>
        <row r="1621">
          <cell r="A1621" t="str">
            <v>72300000-30021000-00000000</v>
          </cell>
          <cell r="B1621" t="str">
            <v>COSTOS/GASTOS VAR T CUAJIMALPA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</row>
        <row r="1622">
          <cell r="A1622" t="str">
            <v>72300000-30022000-00000000</v>
          </cell>
          <cell r="B1622" t="str">
            <v>COSTOS/GASTOS VAR T ECATEPEC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</row>
        <row r="1623">
          <cell r="A1623" t="str">
            <v>72300000-30023000-00000000</v>
          </cell>
          <cell r="B1623" t="str">
            <v>COSTOS/GASTOS FIJOS COACALCO 1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</row>
        <row r="1624">
          <cell r="A1624" t="str">
            <v>72300000-30024000-00000000</v>
          </cell>
          <cell r="B1624" t="str">
            <v>COSTOS/GASTOS FIJOS COACALCO 2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</row>
        <row r="1625">
          <cell r="A1625" t="str">
            <v>72300000-30025000-00000000</v>
          </cell>
          <cell r="B1625" t="str">
            <v>COSTOS/GASTOS VAR OCCIDENTE 2</v>
          </cell>
          <cell r="C1625">
            <v>0</v>
          </cell>
          <cell r="D1625">
            <v>28530.720000000001</v>
          </cell>
          <cell r="E1625">
            <v>0</v>
          </cell>
          <cell r="F1625">
            <v>28530.720000000001</v>
          </cell>
        </row>
        <row r="1626">
          <cell r="A1626" t="str">
            <v>72300000-30025000-05010000</v>
          </cell>
          <cell r="B1626" t="str">
            <v>SERV. PROFESIONALES EXTERNOS</v>
          </cell>
          <cell r="C1626">
            <v>0</v>
          </cell>
          <cell r="D1626">
            <v>28530.720000000001</v>
          </cell>
          <cell r="E1626">
            <v>0</v>
          </cell>
          <cell r="F1626">
            <v>28530.720000000001</v>
          </cell>
        </row>
        <row r="1627">
          <cell r="A1627" t="str">
            <v>72300000-30026000-00000000</v>
          </cell>
          <cell r="B1627" t="str">
            <v>COSTOS/GASTOS FIJOS DF 2</v>
          </cell>
          <cell r="C1627">
            <v>0</v>
          </cell>
          <cell r="D1627">
            <v>45809.84</v>
          </cell>
          <cell r="E1627">
            <v>0</v>
          </cell>
          <cell r="F1627">
            <v>45809.84</v>
          </cell>
        </row>
        <row r="1628">
          <cell r="A1628" t="str">
            <v>72300000-30026000-05010000</v>
          </cell>
          <cell r="B1628" t="str">
            <v>SERV. PROFESIONALES EXTERNOS</v>
          </cell>
          <cell r="C1628">
            <v>0</v>
          </cell>
          <cell r="D1628">
            <v>45809.84</v>
          </cell>
          <cell r="E1628">
            <v>0</v>
          </cell>
          <cell r="F1628">
            <v>45809.84</v>
          </cell>
        </row>
        <row r="1629">
          <cell r="A1629" t="str">
            <v>72300000-30027000-00000000</v>
          </cell>
          <cell r="B1629" t="str">
            <v>COSTOS/GASTOS FIJOS DF 3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</row>
        <row r="1630">
          <cell r="A1630" t="str">
            <v>72300000-30028000-00000000</v>
          </cell>
          <cell r="B1630" t="str">
            <v>COSTOS/GASTOS FIJOS DF 4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</row>
        <row r="1631">
          <cell r="A1631" t="str">
            <v>72300000-30029000-00000000</v>
          </cell>
          <cell r="B1631" t="str">
            <v>COSTOS/GASTOS FIJOS DF 5</v>
          </cell>
          <cell r="C1631">
            <v>0</v>
          </cell>
          <cell r="D1631">
            <v>16097.56</v>
          </cell>
          <cell r="E1631">
            <v>0</v>
          </cell>
          <cell r="F1631">
            <v>16097.56</v>
          </cell>
        </row>
        <row r="1632">
          <cell r="A1632" t="str">
            <v>72300000-30029000-05010000</v>
          </cell>
          <cell r="B1632" t="str">
            <v>SERV. PROFESIONALES EXTERNOS</v>
          </cell>
          <cell r="C1632">
            <v>0</v>
          </cell>
          <cell r="D1632">
            <v>16097.56</v>
          </cell>
          <cell r="E1632">
            <v>0</v>
          </cell>
          <cell r="F1632">
            <v>16097.56</v>
          </cell>
        </row>
        <row r="1633">
          <cell r="A1633" t="str">
            <v>72400000-00000000-00000000</v>
          </cell>
          <cell r="B1633" t="str">
            <v>COSTOS/GASTOS VAR MKT</v>
          </cell>
          <cell r="C1633">
            <v>0</v>
          </cell>
          <cell r="D1633">
            <v>144901.87</v>
          </cell>
          <cell r="E1633">
            <v>3935</v>
          </cell>
          <cell r="F1633">
            <v>140966.87</v>
          </cell>
        </row>
        <row r="1634">
          <cell r="F1634">
            <v>140966.87</v>
          </cell>
        </row>
        <row r="1635">
          <cell r="A1635" t="str">
            <v>72400000-40000000-00000000</v>
          </cell>
          <cell r="B1635" t="str">
            <v>COSTOS/GASTOS VAR MKT</v>
          </cell>
          <cell r="C1635">
            <v>0</v>
          </cell>
          <cell r="D1635">
            <v>144901.87</v>
          </cell>
          <cell r="E1635">
            <v>3935</v>
          </cell>
        </row>
        <row r="1636">
          <cell r="A1636" t="str">
            <v>72400000-40001000-00000000</v>
          </cell>
          <cell r="B1636" t="str">
            <v>COSTOS/GASTOS VAR MKT GRAL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</row>
        <row r="1637">
          <cell r="A1637" t="str">
            <v>72400000-40002000-00000000</v>
          </cell>
          <cell r="B1637" t="str">
            <v>COSTOS/GASTOS VAR CAPACITACION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</row>
        <row r="1638">
          <cell r="A1638" t="str">
            <v>72400000-40003000-00000000</v>
          </cell>
          <cell r="B1638" t="str">
            <v>COSTOS/GASTOS VAR PUB Y MKT</v>
          </cell>
          <cell r="C1638">
            <v>0</v>
          </cell>
          <cell r="D1638">
            <v>144901.87</v>
          </cell>
          <cell r="E1638">
            <v>3935</v>
          </cell>
          <cell r="F1638">
            <v>140966.87</v>
          </cell>
        </row>
        <row r="1639">
          <cell r="A1639" t="str">
            <v>72400000-40003000-24010000</v>
          </cell>
          <cell r="B1639" t="str">
            <v>MATERIAL DE APOYO</v>
          </cell>
          <cell r="C1639">
            <v>0</v>
          </cell>
          <cell r="D1639">
            <v>1431.4</v>
          </cell>
          <cell r="E1639">
            <v>0</v>
          </cell>
          <cell r="F1639">
            <v>1431.4</v>
          </cell>
        </row>
        <row r="1640">
          <cell r="A1640" t="str">
            <v>72400000-40003000-27010000</v>
          </cell>
          <cell r="B1640" t="str">
            <v>EXPOSICIONES Y EVENTOS PROFESI</v>
          </cell>
          <cell r="C1640">
            <v>0</v>
          </cell>
          <cell r="D1640">
            <v>10582.97</v>
          </cell>
          <cell r="E1640">
            <v>0</v>
          </cell>
          <cell r="F1640">
            <v>10582.97</v>
          </cell>
        </row>
        <row r="1641">
          <cell r="A1641" t="str">
            <v>72400000-40003000-27050000</v>
          </cell>
          <cell r="B1641" t="str">
            <v>ROTULACION DE VEHICULOS</v>
          </cell>
          <cell r="C1641">
            <v>0</v>
          </cell>
          <cell r="D1641">
            <v>800</v>
          </cell>
          <cell r="E1641">
            <v>0</v>
          </cell>
          <cell r="F1641">
            <v>800</v>
          </cell>
        </row>
        <row r="1642">
          <cell r="A1642" t="str">
            <v>72400000-40003000-27060000</v>
          </cell>
          <cell r="B1642" t="str">
            <v>ROTULACION MANTAS</v>
          </cell>
          <cell r="C1642">
            <v>0</v>
          </cell>
          <cell r="D1642">
            <v>300</v>
          </cell>
          <cell r="E1642">
            <v>0</v>
          </cell>
          <cell r="F1642">
            <v>300</v>
          </cell>
        </row>
        <row r="1643">
          <cell r="A1643" t="str">
            <v>72400000-40003000-27070000</v>
          </cell>
          <cell r="B1643" t="str">
            <v>ARTICULOS PROMOCIONALES</v>
          </cell>
          <cell r="C1643">
            <v>0</v>
          </cell>
          <cell r="D1643">
            <v>43159.73</v>
          </cell>
          <cell r="E1643">
            <v>0</v>
          </cell>
          <cell r="F1643">
            <v>43159.73</v>
          </cell>
        </row>
        <row r="1644">
          <cell r="A1644" t="str">
            <v>72400000-40003000-27080000</v>
          </cell>
          <cell r="B1644" t="str">
            <v>FOLLETERIA CARTA DE COLORES</v>
          </cell>
          <cell r="C1644">
            <v>0</v>
          </cell>
          <cell r="D1644">
            <v>46450</v>
          </cell>
          <cell r="E1644">
            <v>0</v>
          </cell>
          <cell r="F1644">
            <v>46450</v>
          </cell>
        </row>
        <row r="1645">
          <cell r="A1645" t="str">
            <v>72400000-40003000-27120000</v>
          </cell>
          <cell r="B1645" t="str">
            <v>AGENCIAS PUBLICITARIAS</v>
          </cell>
          <cell r="C1645">
            <v>0</v>
          </cell>
          <cell r="D1645">
            <v>20000</v>
          </cell>
          <cell r="E1645">
            <v>0</v>
          </cell>
          <cell r="F1645">
            <v>20000</v>
          </cell>
        </row>
        <row r="1646">
          <cell r="A1646" t="str">
            <v>72400000-40003000-27180000</v>
          </cell>
          <cell r="B1646" t="str">
            <v>REMODELA DISEÑO</v>
          </cell>
          <cell r="C1646">
            <v>0</v>
          </cell>
          <cell r="D1646">
            <v>6465.52</v>
          </cell>
          <cell r="E1646">
            <v>0</v>
          </cell>
          <cell r="F1646">
            <v>6465.52</v>
          </cell>
        </row>
        <row r="1647">
          <cell r="A1647" t="str">
            <v>72400000-40003000-27190000</v>
          </cell>
          <cell r="B1647" t="str">
            <v>REMODELA ROTULACION</v>
          </cell>
          <cell r="C1647">
            <v>0</v>
          </cell>
          <cell r="D1647">
            <v>1200</v>
          </cell>
          <cell r="E1647">
            <v>0</v>
          </cell>
          <cell r="F1647">
            <v>1200</v>
          </cell>
        </row>
        <row r="1648">
          <cell r="A1648" t="str">
            <v>72400000-40003000-27200000</v>
          </cell>
          <cell r="B1648" t="str">
            <v>EXPOSICIONES CON DISTRIBUIDOR</v>
          </cell>
          <cell r="C1648">
            <v>0</v>
          </cell>
          <cell r="D1648">
            <v>6642.25</v>
          </cell>
          <cell r="E1648">
            <v>0</v>
          </cell>
          <cell r="F1648">
            <v>6642.25</v>
          </cell>
        </row>
        <row r="1649">
          <cell r="A1649" t="str">
            <v>72400000-40003000-27210000</v>
          </cell>
          <cell r="B1649" t="str">
            <v>PUBLICIDAD CON DISTRIBUIDORES</v>
          </cell>
          <cell r="C1649">
            <v>0</v>
          </cell>
          <cell r="D1649">
            <v>7870</v>
          </cell>
          <cell r="E1649">
            <v>3935</v>
          </cell>
          <cell r="F1649">
            <v>3935</v>
          </cell>
        </row>
        <row r="1650">
          <cell r="A1650" t="str">
            <v>72400000-40004000-00000000</v>
          </cell>
          <cell r="B1650" t="str">
            <v>COSTOS/GASTOS VAR EXPORT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</row>
        <row r="1651">
          <cell r="A1651" t="str">
            <v>72400000-40005000-00000000</v>
          </cell>
          <cell r="B1651" t="str">
            <v>COSTOS/GASTOS FIJOS ESPECIFIC.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</row>
        <row r="1652">
          <cell r="A1652" t="str">
            <v>72400000-40013000-00000000</v>
          </cell>
          <cell r="B1652" t="str">
            <v>COSTOS/GASTOS VAR CANCUN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</row>
        <row r="1653">
          <cell r="A1653" t="str">
            <v>72500000-00000000-00000000</v>
          </cell>
          <cell r="B1653" t="str">
            <v>COSTOS/GASTOS VAR EXPORTACION</v>
          </cell>
          <cell r="C1653">
            <v>0</v>
          </cell>
          <cell r="D1653">
            <v>11694.95</v>
          </cell>
          <cell r="E1653">
            <v>0</v>
          </cell>
          <cell r="F1653">
            <v>11694.95</v>
          </cell>
        </row>
        <row r="1654">
          <cell r="F1654">
            <v>11694.95</v>
          </cell>
        </row>
        <row r="1655">
          <cell r="A1655" t="str">
            <v>72500000-20000000-00000000</v>
          </cell>
          <cell r="C1655">
            <v>0</v>
          </cell>
          <cell r="D1655">
            <v>0</v>
          </cell>
          <cell r="E1655">
            <v>0</v>
          </cell>
        </row>
        <row r="1656">
          <cell r="A1656" t="str">
            <v>72500000-20001000-00000000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</row>
      </sheetData>
      <sheetData sheetId="1">
        <row r="1284">
          <cell r="A1284" t="str">
            <v>71200000-20003000-18040000</v>
          </cell>
          <cell r="B1284" t="str">
            <v>GASTOS DE REPRESENTACION ALIME</v>
          </cell>
          <cell r="C1284">
            <v>2104.4699999999998</v>
          </cell>
          <cell r="D1284">
            <v>963</v>
          </cell>
          <cell r="E1284">
            <v>0</v>
          </cell>
          <cell r="F1284">
            <v>3067.47</v>
          </cell>
        </row>
        <row r="1285">
          <cell r="A1285" t="str">
            <v>71200000-20003000-18110000</v>
          </cell>
          <cell r="B1285" t="str">
            <v>CONSUMOS RESTAURANT</v>
          </cell>
          <cell r="C1285">
            <v>1161.8800000000001</v>
          </cell>
          <cell r="D1285">
            <v>1376.44</v>
          </cell>
          <cell r="E1285">
            <v>0</v>
          </cell>
          <cell r="F1285">
            <v>2538.3200000000002</v>
          </cell>
        </row>
        <row r="1286">
          <cell r="A1286" t="str">
            <v>71200000-20003000-19030000</v>
          </cell>
          <cell r="B1286" t="str">
            <v>TELEFONOS CELULARES</v>
          </cell>
          <cell r="C1286">
            <v>1452</v>
          </cell>
          <cell r="D1286">
            <v>16174.5</v>
          </cell>
          <cell r="E1286">
            <v>346</v>
          </cell>
          <cell r="F1286">
            <v>17280.5</v>
          </cell>
        </row>
        <row r="1287">
          <cell r="A1287" t="str">
            <v>71200000-20003000-20010000</v>
          </cell>
          <cell r="B1287" t="str">
            <v>COMBUSTIBLE AUTOMOVILES</v>
          </cell>
          <cell r="C1287">
            <v>6032.71</v>
          </cell>
          <cell r="D1287">
            <v>7746.77</v>
          </cell>
          <cell r="E1287">
            <v>0</v>
          </cell>
          <cell r="F1287">
            <v>13779.48</v>
          </cell>
        </row>
        <row r="1288">
          <cell r="A1288" t="str">
            <v>71200000-20003000-23120000</v>
          </cell>
          <cell r="B1288" t="str">
            <v>DIVERSOS</v>
          </cell>
          <cell r="C1288">
            <v>0</v>
          </cell>
          <cell r="D1288">
            <v>1540.7</v>
          </cell>
          <cell r="E1288">
            <v>0</v>
          </cell>
          <cell r="F1288">
            <v>1540.7</v>
          </cell>
        </row>
        <row r="1289">
          <cell r="A1289" t="str">
            <v>71200000-20003000-23130000</v>
          </cell>
          <cell r="B1289" t="str">
            <v>OTROS IMPUESTOS Y DERECHOS</v>
          </cell>
          <cell r="C1289">
            <v>8091.99</v>
          </cell>
          <cell r="D1289">
            <v>3086.29</v>
          </cell>
          <cell r="E1289">
            <v>0</v>
          </cell>
          <cell r="F1289">
            <v>11178.28</v>
          </cell>
        </row>
        <row r="1290">
          <cell r="A1290" t="str">
            <v>71200000-20003000-35020000</v>
          </cell>
          <cell r="B1290" t="str">
            <v>DIVERSOS NO DEDUCIBLES</v>
          </cell>
          <cell r="C1290">
            <v>14251.85</v>
          </cell>
          <cell r="D1290">
            <v>30551.42</v>
          </cell>
          <cell r="E1290">
            <v>0</v>
          </cell>
          <cell r="F1290">
            <v>44803.27</v>
          </cell>
        </row>
        <row r="1291">
          <cell r="A1291" t="str">
            <v>71200000-20004000-00000000</v>
          </cell>
          <cell r="B1291" t="str">
            <v>COSTOS/GASTOS FIJOS REC HUM</v>
          </cell>
          <cell r="C1291">
            <v>3980</v>
          </cell>
          <cell r="D1291">
            <v>628.85</v>
          </cell>
          <cell r="E1291">
            <v>0</v>
          </cell>
          <cell r="F1291">
            <v>4608.8500000000004</v>
          </cell>
        </row>
        <row r="1292">
          <cell r="A1292" t="str">
            <v>71200000-20004000-16010000</v>
          </cell>
          <cell r="B1292" t="str">
            <v>PAPELERIA</v>
          </cell>
          <cell r="C1292">
            <v>110</v>
          </cell>
          <cell r="D1292">
            <v>0</v>
          </cell>
          <cell r="E1292">
            <v>0</v>
          </cell>
          <cell r="F1292">
            <v>110</v>
          </cell>
        </row>
        <row r="1293">
          <cell r="A1293" t="str">
            <v>71200000-20004000-18020000</v>
          </cell>
          <cell r="B1293" t="str">
            <v>PASAJES Y TRANSPORTES LOCALES</v>
          </cell>
          <cell r="C1293">
            <v>0</v>
          </cell>
          <cell r="D1293">
            <v>40</v>
          </cell>
          <cell r="E1293">
            <v>0</v>
          </cell>
          <cell r="F1293">
            <v>40</v>
          </cell>
        </row>
        <row r="1294">
          <cell r="A1294" t="str">
            <v>71200000-20004000-22030000</v>
          </cell>
          <cell r="B1294" t="str">
            <v>CUOTAS A ASOCIACIONES</v>
          </cell>
          <cell r="C1294">
            <v>3500</v>
          </cell>
          <cell r="D1294">
            <v>0</v>
          </cell>
          <cell r="E1294">
            <v>0</v>
          </cell>
          <cell r="F1294">
            <v>3500</v>
          </cell>
        </row>
        <row r="1295">
          <cell r="A1295" t="str">
            <v>71200000-20004000-23120000</v>
          </cell>
          <cell r="B1295" t="str">
            <v>DIVERSOS</v>
          </cell>
          <cell r="C1295">
            <v>0</v>
          </cell>
          <cell r="D1295">
            <v>588.85</v>
          </cell>
          <cell r="E1295">
            <v>0</v>
          </cell>
          <cell r="F1295">
            <v>588.85</v>
          </cell>
        </row>
        <row r="1296">
          <cell r="A1296" t="str">
            <v>71200000-20004000-35020000</v>
          </cell>
          <cell r="B1296" t="str">
            <v>DIVERSOS NO DEDUCIBLES</v>
          </cell>
          <cell r="C1296">
            <v>370</v>
          </cell>
          <cell r="D1296">
            <v>0</v>
          </cell>
          <cell r="E1296">
            <v>0</v>
          </cell>
          <cell r="F1296">
            <v>370</v>
          </cell>
        </row>
        <row r="1297">
          <cell r="A1297" t="str">
            <v>71200000-20013000-00000000</v>
          </cell>
          <cell r="B1297" t="str">
            <v>COSTOS/GASTOS FIJOS CANCUN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</row>
        <row r="1298">
          <cell r="A1298" t="str">
            <v>71300000-00000000-00000000</v>
          </cell>
          <cell r="B1298" t="str">
            <v>COSTOS/GASTOS FIJOS VENTAS</v>
          </cell>
          <cell r="C1298">
            <v>638044.47</v>
          </cell>
          <cell r="D1298">
            <v>539845.27</v>
          </cell>
          <cell r="E1298">
            <v>0</v>
          </cell>
          <cell r="F1298">
            <v>1177889.74</v>
          </cell>
        </row>
        <row r="1299">
          <cell r="F1299">
            <v>1177889.74</v>
          </cell>
        </row>
        <row r="1300">
          <cell r="A1300" t="str">
            <v>71300000-30000000-00000000</v>
          </cell>
          <cell r="B1300" t="str">
            <v>COSTOS/GASTOS FIJOS VENTAS</v>
          </cell>
          <cell r="C1300">
            <v>638044.47</v>
          </cell>
          <cell r="D1300">
            <v>539845.27</v>
          </cell>
          <cell r="E1300">
            <v>0</v>
          </cell>
        </row>
        <row r="1301">
          <cell r="A1301" t="str">
            <v>71300000-30001000-00000000</v>
          </cell>
          <cell r="B1301" t="str">
            <v>COSTOS/GASTOS FIJOS VTAS NAL</v>
          </cell>
          <cell r="C1301">
            <v>260629.17</v>
          </cell>
          <cell r="D1301">
            <v>186995.16</v>
          </cell>
          <cell r="E1301">
            <v>0</v>
          </cell>
          <cell r="F1301">
            <v>447624.33</v>
          </cell>
        </row>
        <row r="1302">
          <cell r="A1302" t="str">
            <v>71300000-30001000-01010000</v>
          </cell>
          <cell r="B1302" t="str">
            <v>SUELDOS Y SALARIOS</v>
          </cell>
          <cell r="C1302">
            <v>20480</v>
          </cell>
          <cell r="D1302">
            <v>19040</v>
          </cell>
          <cell r="E1302">
            <v>0</v>
          </cell>
          <cell r="F1302">
            <v>39520</v>
          </cell>
        </row>
        <row r="1303">
          <cell r="A1303" t="str">
            <v>71300000-30001000-01030000</v>
          </cell>
          <cell r="B1303" t="str">
            <v>GRATIFICACIONES</v>
          </cell>
          <cell r="C1303">
            <v>915</v>
          </cell>
          <cell r="D1303">
            <v>318</v>
          </cell>
          <cell r="E1303">
            <v>0</v>
          </cell>
          <cell r="F1303">
            <v>1233</v>
          </cell>
        </row>
        <row r="1304">
          <cell r="A1304" t="str">
            <v>71300000-30001000-03010000</v>
          </cell>
          <cell r="B1304" t="str">
            <v>FONDO DE AHORRO</v>
          </cell>
          <cell r="C1304">
            <v>1638.4</v>
          </cell>
          <cell r="D1304">
            <v>1523.2</v>
          </cell>
          <cell r="E1304">
            <v>0</v>
          </cell>
          <cell r="F1304">
            <v>3161.6</v>
          </cell>
        </row>
        <row r="1305">
          <cell r="A1305" t="str">
            <v>71300000-30001000-03020000</v>
          </cell>
          <cell r="B1305" t="str">
            <v>CUOTAS AL I.M.S.S.</v>
          </cell>
          <cell r="C1305">
            <v>2293.7199999999998</v>
          </cell>
          <cell r="D1305">
            <v>2108.61</v>
          </cell>
          <cell r="E1305">
            <v>0</v>
          </cell>
          <cell r="F1305">
            <v>4402.33</v>
          </cell>
        </row>
        <row r="1306">
          <cell r="A1306" t="str">
            <v>71300000-30001000-03040000</v>
          </cell>
          <cell r="B1306" t="str">
            <v>DESPENSA EN VALES</v>
          </cell>
          <cell r="C1306">
            <v>768</v>
          </cell>
          <cell r="D1306">
            <v>816</v>
          </cell>
          <cell r="E1306">
            <v>0</v>
          </cell>
          <cell r="F1306">
            <v>1584</v>
          </cell>
        </row>
        <row r="1307">
          <cell r="A1307" t="str">
            <v>71300000-30001000-04010000</v>
          </cell>
          <cell r="B1307" t="str">
            <v>2.5% SOBRE NOMINAS</v>
          </cell>
          <cell r="C1307">
            <v>651</v>
          </cell>
          <cell r="D1307">
            <v>591</v>
          </cell>
          <cell r="E1307">
            <v>0</v>
          </cell>
          <cell r="F1307">
            <v>1242</v>
          </cell>
        </row>
        <row r="1308">
          <cell r="A1308" t="str">
            <v>71300000-30001000-04020000</v>
          </cell>
          <cell r="B1308" t="str">
            <v>5% INFONAVIT</v>
          </cell>
          <cell r="C1308">
            <v>1630.43</v>
          </cell>
          <cell r="D1308">
            <v>1502.87</v>
          </cell>
          <cell r="E1308">
            <v>0</v>
          </cell>
          <cell r="F1308">
            <v>3133.3</v>
          </cell>
        </row>
        <row r="1309">
          <cell r="A1309" t="str">
            <v>71300000-30001000-04030000</v>
          </cell>
          <cell r="B1309" t="str">
            <v>2% S.A.R. / RETIRO</v>
          </cell>
          <cell r="C1309">
            <v>652.16999999999996</v>
          </cell>
          <cell r="D1309">
            <v>601.15</v>
          </cell>
          <cell r="E1309">
            <v>0</v>
          </cell>
          <cell r="F1309">
            <v>1253.32</v>
          </cell>
        </row>
        <row r="1310">
          <cell r="A1310" t="str">
            <v>71300000-30001000-04040000</v>
          </cell>
          <cell r="B1310" t="str">
            <v>CESANTIA Y VEJEZ</v>
          </cell>
          <cell r="C1310">
            <v>1027.17</v>
          </cell>
          <cell r="D1310">
            <v>946.81</v>
          </cell>
          <cell r="E1310">
            <v>0</v>
          </cell>
          <cell r="F1310">
            <v>1973.98</v>
          </cell>
        </row>
        <row r="1311">
          <cell r="A1311" t="str">
            <v>71300000-30001000-05010000</v>
          </cell>
          <cell r="B1311" t="str">
            <v>SERV. PROFESIONALES EXTERNOS</v>
          </cell>
          <cell r="C1311">
            <v>86624.8</v>
          </cell>
          <cell r="D1311">
            <v>39834.53</v>
          </cell>
          <cell r="E1311">
            <v>0</v>
          </cell>
          <cell r="F1311">
            <v>126459.33</v>
          </cell>
        </row>
        <row r="1312">
          <cell r="A1312" t="str">
            <v>71300000-30001000-12010000</v>
          </cell>
          <cell r="B1312" t="str">
            <v>ARREND. AUTOMOVILES</v>
          </cell>
          <cell r="C1312">
            <v>3422.17</v>
          </cell>
          <cell r="D1312">
            <v>3422.17</v>
          </cell>
          <cell r="E1312">
            <v>0</v>
          </cell>
          <cell r="F1312">
            <v>6844.34</v>
          </cell>
        </row>
        <row r="1313">
          <cell r="A1313" t="str">
            <v>71300000-30001000-14010000</v>
          </cell>
          <cell r="B1313" t="str">
            <v>SEG. AUTOMOVILES</v>
          </cell>
          <cell r="C1313">
            <v>9300.76</v>
          </cell>
          <cell r="D1313">
            <v>8733.99</v>
          </cell>
          <cell r="E1313">
            <v>0</v>
          </cell>
          <cell r="F1313">
            <v>18034.75</v>
          </cell>
        </row>
        <row r="1314">
          <cell r="A1314" t="str">
            <v>71300000-30001000-14040000</v>
          </cell>
          <cell r="B1314" t="str">
            <v>VIDA</v>
          </cell>
          <cell r="C1314">
            <v>3018.86</v>
          </cell>
          <cell r="D1314">
            <v>2726.71</v>
          </cell>
          <cell r="E1314">
            <v>0</v>
          </cell>
          <cell r="F1314">
            <v>5745.57</v>
          </cell>
        </row>
        <row r="1315">
          <cell r="A1315" t="str">
            <v>71300000-30001000-14050000</v>
          </cell>
          <cell r="B1315" t="str">
            <v>MULTIPLE EMPRESARIAL</v>
          </cell>
          <cell r="C1315">
            <v>0</v>
          </cell>
          <cell r="D1315">
            <v>2738.99</v>
          </cell>
          <cell r="E1315">
            <v>0</v>
          </cell>
          <cell r="F1315">
            <v>2738.99</v>
          </cell>
        </row>
        <row r="1316">
          <cell r="A1316" t="str">
            <v>71300000-30001000-15030000</v>
          </cell>
          <cell r="B1316" t="str">
            <v>MANTTO A EDIFICIOS Y CONSTRUCC</v>
          </cell>
          <cell r="C1316">
            <v>10800</v>
          </cell>
          <cell r="D1316">
            <v>7750</v>
          </cell>
          <cell r="E1316">
            <v>0</v>
          </cell>
          <cell r="F1316">
            <v>18550</v>
          </cell>
        </row>
        <row r="1317">
          <cell r="A1317" t="str">
            <v>71300000-30001000-15050000</v>
          </cell>
          <cell r="B1317" t="str">
            <v>MANTTO A EQUIPOS DE OFICINA</v>
          </cell>
          <cell r="C1317">
            <v>600</v>
          </cell>
          <cell r="D1317">
            <v>0</v>
          </cell>
          <cell r="E1317">
            <v>0</v>
          </cell>
          <cell r="F1317">
            <v>600</v>
          </cell>
        </row>
        <row r="1318">
          <cell r="A1318" t="str">
            <v>71300000-30001000-15080000</v>
          </cell>
          <cell r="B1318" t="str">
            <v>MANTTO A VARIOS</v>
          </cell>
          <cell r="C1318">
            <v>0</v>
          </cell>
          <cell r="D1318">
            <v>313.22000000000003</v>
          </cell>
          <cell r="E1318">
            <v>0</v>
          </cell>
          <cell r="F1318">
            <v>313.22000000000003</v>
          </cell>
        </row>
        <row r="1319">
          <cell r="A1319" t="str">
            <v>71300000-30001000-16010000</v>
          </cell>
          <cell r="B1319" t="str">
            <v>PAPELERIA</v>
          </cell>
          <cell r="C1319">
            <v>6144.05</v>
          </cell>
          <cell r="D1319">
            <v>0</v>
          </cell>
          <cell r="E1319">
            <v>0</v>
          </cell>
          <cell r="F1319">
            <v>6144.05</v>
          </cell>
        </row>
        <row r="1320">
          <cell r="A1320" t="str">
            <v>71300000-30001000-17010000</v>
          </cell>
          <cell r="B1320" t="str">
            <v>ENERGIA ELECTRICA</v>
          </cell>
          <cell r="C1320">
            <v>0</v>
          </cell>
          <cell r="D1320">
            <v>5706.11</v>
          </cell>
          <cell r="E1320">
            <v>0</v>
          </cell>
          <cell r="F1320">
            <v>5706.11</v>
          </cell>
        </row>
        <row r="1321">
          <cell r="A1321" t="str">
            <v>71300000-30001000-17030000</v>
          </cell>
          <cell r="B1321" t="str">
            <v>SEGURIDAD PRIVADA</v>
          </cell>
          <cell r="C1321">
            <v>519</v>
          </cell>
          <cell r="D1321">
            <v>519</v>
          </cell>
          <cell r="E1321">
            <v>0</v>
          </cell>
          <cell r="F1321">
            <v>1038</v>
          </cell>
        </row>
        <row r="1322">
          <cell r="A1322" t="str">
            <v>71300000-30001000-18010000</v>
          </cell>
          <cell r="B1322" t="str">
            <v>CAPACITACION Y ADIESTRAMIENTO</v>
          </cell>
          <cell r="C1322">
            <v>19677.419999999998</v>
          </cell>
          <cell r="D1322">
            <v>0</v>
          </cell>
          <cell r="E1322">
            <v>0</v>
          </cell>
          <cell r="F1322">
            <v>19677.419999999998</v>
          </cell>
        </row>
        <row r="1323">
          <cell r="A1323" t="str">
            <v>71300000-30001000-18020000</v>
          </cell>
          <cell r="B1323" t="str">
            <v>PASAJES Y TRANSPORTES LOCALES</v>
          </cell>
          <cell r="C1323">
            <v>80</v>
          </cell>
          <cell r="D1323">
            <v>510</v>
          </cell>
          <cell r="E1323">
            <v>0</v>
          </cell>
          <cell r="F1323">
            <v>590</v>
          </cell>
        </row>
        <row r="1324">
          <cell r="A1324" t="str">
            <v>71300000-30001000-18050000</v>
          </cell>
          <cell r="B1324" t="str">
            <v>AGUA ELECTROPURA</v>
          </cell>
          <cell r="C1324">
            <v>0</v>
          </cell>
          <cell r="D1324">
            <v>588</v>
          </cell>
          <cell r="E1324">
            <v>0</v>
          </cell>
          <cell r="F1324">
            <v>588</v>
          </cell>
        </row>
        <row r="1325">
          <cell r="A1325" t="str">
            <v>71300000-30001000-18110000</v>
          </cell>
          <cell r="B1325" t="str">
            <v>CONSUMOS RESTAURANT</v>
          </cell>
          <cell r="C1325">
            <v>0</v>
          </cell>
          <cell r="D1325">
            <v>17.350000000000001</v>
          </cell>
          <cell r="E1325">
            <v>0</v>
          </cell>
          <cell r="F1325">
            <v>17.350000000000001</v>
          </cell>
        </row>
        <row r="1326">
          <cell r="A1326" t="str">
            <v>71300000-30001000-19010000</v>
          </cell>
          <cell r="B1326" t="str">
            <v>TELEFONOS</v>
          </cell>
          <cell r="C1326">
            <v>13029.41</v>
          </cell>
          <cell r="D1326">
            <v>21288.27</v>
          </cell>
          <cell r="E1326">
            <v>0</v>
          </cell>
          <cell r="F1326">
            <v>34317.68</v>
          </cell>
        </row>
        <row r="1327">
          <cell r="A1327" t="str">
            <v>71300000-30001000-19030000</v>
          </cell>
          <cell r="B1327" t="str">
            <v>TELEFONOS CELULARES</v>
          </cell>
          <cell r="C1327">
            <v>1.73</v>
          </cell>
          <cell r="D1327">
            <v>6969.47</v>
          </cell>
          <cell r="E1327">
            <v>0</v>
          </cell>
          <cell r="F1327">
            <v>6971.2</v>
          </cell>
        </row>
        <row r="1328">
          <cell r="A1328" t="str">
            <v>71300000-30001000-19050000</v>
          </cell>
          <cell r="B1328" t="str">
            <v>INTERNET</v>
          </cell>
          <cell r="C1328">
            <v>7003.93</v>
          </cell>
          <cell r="D1328">
            <v>6818.24</v>
          </cell>
          <cell r="E1328">
            <v>0</v>
          </cell>
          <cell r="F1328">
            <v>13822.17</v>
          </cell>
        </row>
        <row r="1329">
          <cell r="A1329" t="str">
            <v>71300000-30001000-19070000</v>
          </cell>
          <cell r="B1329" t="str">
            <v>MENSAJERIA ESPECIALIZADA</v>
          </cell>
          <cell r="C1329">
            <v>669.14</v>
          </cell>
          <cell r="D1329">
            <v>504.31</v>
          </cell>
          <cell r="E1329">
            <v>0</v>
          </cell>
          <cell r="F1329">
            <v>1173.45</v>
          </cell>
        </row>
        <row r="1330">
          <cell r="A1330" t="str">
            <v>71300000-30001000-20010000</v>
          </cell>
          <cell r="B1330" t="str">
            <v>COMBUSTIBLE AUTOMOVILES</v>
          </cell>
          <cell r="C1330">
            <v>4344.7299999999996</v>
          </cell>
          <cell r="D1330">
            <v>3200.3</v>
          </cell>
          <cell r="E1330">
            <v>0</v>
          </cell>
          <cell r="F1330">
            <v>7545.03</v>
          </cell>
        </row>
        <row r="1331">
          <cell r="A1331" t="str">
            <v>71300000-30001000-22050000</v>
          </cell>
          <cell r="B1331" t="str">
            <v>COMISIONES Y ASESORIAS EXTERNA</v>
          </cell>
          <cell r="C1331">
            <v>14941.9</v>
          </cell>
          <cell r="D1331">
            <v>15023.27</v>
          </cell>
          <cell r="E1331">
            <v>0</v>
          </cell>
          <cell r="F1331">
            <v>29965.17</v>
          </cell>
        </row>
        <row r="1332">
          <cell r="A1332" t="str">
            <v>71300000-30001000-23030000</v>
          </cell>
          <cell r="B1332" t="str">
            <v>DERECHOS DE AGUA</v>
          </cell>
          <cell r="C1332">
            <v>13875.45</v>
          </cell>
          <cell r="D1332">
            <v>0</v>
          </cell>
          <cell r="E1332">
            <v>0</v>
          </cell>
          <cell r="F1332">
            <v>13875.45</v>
          </cell>
        </row>
        <row r="1333">
          <cell r="A1333" t="str">
            <v>71300000-30001000-23120000</v>
          </cell>
          <cell r="B1333" t="str">
            <v>DIVERSOS</v>
          </cell>
          <cell r="C1333">
            <v>0</v>
          </cell>
          <cell r="D1333">
            <v>2200.06</v>
          </cell>
          <cell r="E1333">
            <v>0</v>
          </cell>
          <cell r="F1333">
            <v>2200.06</v>
          </cell>
        </row>
        <row r="1334">
          <cell r="A1334" t="str">
            <v>71300000-30001000-23130000</v>
          </cell>
          <cell r="B1334" t="str">
            <v>OTROS IMPUESTOS Y DERECHOS</v>
          </cell>
          <cell r="C1334">
            <v>0</v>
          </cell>
          <cell r="D1334">
            <v>7920</v>
          </cell>
          <cell r="E1334">
            <v>0</v>
          </cell>
          <cell r="F1334">
            <v>7920</v>
          </cell>
        </row>
        <row r="1335">
          <cell r="A1335" t="str">
            <v>71300000-30001000-23150000</v>
          </cell>
          <cell r="B1335" t="str">
            <v>ASEO LIMPIEZA E IMPLEMENTOS</v>
          </cell>
          <cell r="C1335">
            <v>1249.0999999999999</v>
          </cell>
          <cell r="D1335">
            <v>1535.9</v>
          </cell>
          <cell r="E1335">
            <v>0</v>
          </cell>
          <cell r="F1335">
            <v>2785</v>
          </cell>
        </row>
        <row r="1336">
          <cell r="A1336" t="str">
            <v>71300000-30001000-23200000</v>
          </cell>
          <cell r="B1336" t="str">
            <v>EVENTOS INTERNOS COREV</v>
          </cell>
          <cell r="C1336">
            <v>1836</v>
          </cell>
          <cell r="D1336">
            <v>1565.2</v>
          </cell>
          <cell r="E1336">
            <v>0</v>
          </cell>
          <cell r="F1336">
            <v>3401.2</v>
          </cell>
        </row>
        <row r="1337">
          <cell r="A1337" t="str">
            <v>71300000-30001000-27150000</v>
          </cell>
          <cell r="B1337" t="str">
            <v>SECCION AMARILLA</v>
          </cell>
          <cell r="C1337">
            <v>17299.009999999998</v>
          </cell>
          <cell r="D1337">
            <v>773.44</v>
          </cell>
          <cell r="E1337">
            <v>0</v>
          </cell>
          <cell r="F1337">
            <v>18072.45</v>
          </cell>
        </row>
        <row r="1338">
          <cell r="A1338" t="str">
            <v>71300000-30001000-35020000</v>
          </cell>
          <cell r="B1338" t="str">
            <v>DIVERSOS NO DEDUCIBLES</v>
          </cell>
          <cell r="C1338">
            <v>2413.1999999999998</v>
          </cell>
          <cell r="D1338">
            <v>5166.37</v>
          </cell>
          <cell r="E1338">
            <v>0</v>
          </cell>
          <cell r="F1338">
            <v>7579.57</v>
          </cell>
        </row>
        <row r="1339">
          <cell r="A1339" t="str">
            <v>71300000-30001000-90010000</v>
          </cell>
          <cell r="B1339" t="str">
            <v>PRIMA DE ANTIGUEDAD</v>
          </cell>
          <cell r="C1339">
            <v>2371.25</v>
          </cell>
          <cell r="D1339">
            <v>2371.25</v>
          </cell>
          <cell r="E1339">
            <v>0</v>
          </cell>
          <cell r="F1339">
            <v>4742.5</v>
          </cell>
        </row>
        <row r="1340">
          <cell r="A1340" t="str">
            <v>71300000-30001000-90020000</v>
          </cell>
          <cell r="B1340" t="str">
            <v>PLAN DE PENSIONES</v>
          </cell>
          <cell r="C1340">
            <v>9708.0400000000009</v>
          </cell>
          <cell r="D1340">
            <v>9708.0400000000009</v>
          </cell>
          <cell r="E1340">
            <v>0</v>
          </cell>
          <cell r="F1340">
            <v>19416.080000000002</v>
          </cell>
        </row>
        <row r="1341">
          <cell r="A1341" t="str">
            <v>71300000-30001000-90030000</v>
          </cell>
          <cell r="B1341" t="str">
            <v>PROVISION AGUINALDO</v>
          </cell>
          <cell r="C1341">
            <v>1643.33</v>
          </cell>
          <cell r="D1341">
            <v>1643.33</v>
          </cell>
          <cell r="E1341">
            <v>0</v>
          </cell>
          <cell r="F1341">
            <v>3286.66</v>
          </cell>
        </row>
        <row r="1342">
          <cell r="A1342" t="str">
            <v>71300000-30002000-00000000</v>
          </cell>
          <cell r="B1342" t="str">
            <v>COSTOS/GASTOS FIJOS DF 1</v>
          </cell>
          <cell r="C1342">
            <v>30593.37</v>
          </cell>
          <cell r="D1342">
            <v>17982.240000000002</v>
          </cell>
          <cell r="E1342">
            <v>0</v>
          </cell>
          <cell r="F1342">
            <v>48575.61</v>
          </cell>
        </row>
        <row r="1343">
          <cell r="A1343" t="str">
            <v>71300000-30002000-01010000</v>
          </cell>
          <cell r="B1343" t="str">
            <v>SUELDOS Y SALARIOS</v>
          </cell>
          <cell r="C1343">
            <v>6400.05</v>
          </cell>
          <cell r="D1343">
            <v>5676</v>
          </cell>
          <cell r="E1343">
            <v>0</v>
          </cell>
          <cell r="F1343">
            <v>12076.05</v>
          </cell>
        </row>
        <row r="1344">
          <cell r="A1344" t="str">
            <v>71300000-30002000-01030000</v>
          </cell>
          <cell r="B1344" t="str">
            <v>GRATIFICACIONES</v>
          </cell>
          <cell r="C1344">
            <v>525</v>
          </cell>
          <cell r="D1344">
            <v>238.5</v>
          </cell>
          <cell r="E1344">
            <v>0</v>
          </cell>
          <cell r="F1344">
            <v>763.5</v>
          </cell>
        </row>
        <row r="1345">
          <cell r="A1345" t="str">
            <v>71300000-30002000-05010000</v>
          </cell>
          <cell r="B1345" t="str">
            <v>SERV. PROFESIONALES EXTERNOS</v>
          </cell>
          <cell r="C1345">
            <v>19737.52</v>
          </cell>
          <cell r="D1345">
            <v>6224.22</v>
          </cell>
          <cell r="E1345">
            <v>0</v>
          </cell>
          <cell r="F1345">
            <v>25961.74</v>
          </cell>
        </row>
        <row r="1346">
          <cell r="A1346" t="str">
            <v>71300000-30002000-12010000</v>
          </cell>
          <cell r="B1346" t="str">
            <v>ARREND. AUTOMOVILES</v>
          </cell>
          <cell r="C1346">
            <v>2053.7199999999998</v>
          </cell>
          <cell r="D1346">
            <v>2053.7199999999998</v>
          </cell>
          <cell r="E1346">
            <v>0</v>
          </cell>
          <cell r="F1346">
            <v>4107.4399999999996</v>
          </cell>
        </row>
        <row r="1347">
          <cell r="A1347" t="str">
            <v>71300000-30002000-16010000</v>
          </cell>
          <cell r="B1347" t="str">
            <v>PAPELERIA</v>
          </cell>
          <cell r="C1347">
            <v>0</v>
          </cell>
          <cell r="D1347">
            <v>140</v>
          </cell>
          <cell r="E1347">
            <v>0</v>
          </cell>
          <cell r="F1347">
            <v>140</v>
          </cell>
        </row>
        <row r="1348">
          <cell r="A1348" t="str">
            <v>71300000-30002000-19030000</v>
          </cell>
          <cell r="B1348" t="str">
            <v>TELEFONOS CELULARES</v>
          </cell>
          <cell r="C1348">
            <v>0</v>
          </cell>
          <cell r="D1348">
            <v>2530.58</v>
          </cell>
          <cell r="E1348">
            <v>0</v>
          </cell>
          <cell r="F1348">
            <v>2530.58</v>
          </cell>
        </row>
        <row r="1349">
          <cell r="A1349" t="str">
            <v>71300000-30002000-20010000</v>
          </cell>
          <cell r="B1349" t="str">
            <v>COMBUSTIBLE AUTOMOVILES</v>
          </cell>
          <cell r="C1349">
            <v>1126.7</v>
          </cell>
          <cell r="D1349">
            <v>1119.22</v>
          </cell>
          <cell r="E1349">
            <v>0</v>
          </cell>
          <cell r="F1349">
            <v>2245.92</v>
          </cell>
        </row>
        <row r="1350">
          <cell r="A1350" t="str">
            <v>71300000-30002000-23130000</v>
          </cell>
          <cell r="B1350" t="str">
            <v>OTROS IMPUESTOS Y DERECHOS</v>
          </cell>
          <cell r="C1350">
            <v>500.38</v>
          </cell>
          <cell r="D1350">
            <v>0</v>
          </cell>
          <cell r="E1350">
            <v>0</v>
          </cell>
          <cell r="F1350">
            <v>500.38</v>
          </cell>
        </row>
        <row r="1351">
          <cell r="A1351" t="str">
            <v>71300000-30002000-35020000</v>
          </cell>
          <cell r="B1351" t="str">
            <v>DIVERSOS NO DEDUCIBLES</v>
          </cell>
          <cell r="C1351">
            <v>250</v>
          </cell>
          <cell r="D1351">
            <v>0</v>
          </cell>
          <cell r="E1351">
            <v>0</v>
          </cell>
          <cell r="F1351">
            <v>250</v>
          </cell>
        </row>
        <row r="1352">
          <cell r="A1352" t="str">
            <v>71300000-30003000-00000000</v>
          </cell>
          <cell r="B1352" t="str">
            <v>COSTOS/GASTOS FIJOS SUR</v>
          </cell>
          <cell r="C1352">
            <v>17803.310000000001</v>
          </cell>
          <cell r="D1352">
            <v>18101.04</v>
          </cell>
          <cell r="E1352">
            <v>0</v>
          </cell>
          <cell r="F1352">
            <v>35904.35</v>
          </cell>
        </row>
        <row r="1353">
          <cell r="A1353" t="str">
            <v>71300000-30003000-01010000</v>
          </cell>
          <cell r="B1353" t="str">
            <v>SUELDOS Y SALARIOS</v>
          </cell>
          <cell r="C1353">
            <v>9000</v>
          </cell>
          <cell r="D1353">
            <v>9000</v>
          </cell>
          <cell r="E1353">
            <v>0</v>
          </cell>
          <cell r="F1353">
            <v>18000</v>
          </cell>
        </row>
        <row r="1354">
          <cell r="A1354" t="str">
            <v>71300000-30003000-03010000</v>
          </cell>
          <cell r="B1354" t="str">
            <v>FONDO DE AHORRO</v>
          </cell>
          <cell r="C1354">
            <v>720</v>
          </cell>
          <cell r="D1354">
            <v>720</v>
          </cell>
          <cell r="E1354">
            <v>0</v>
          </cell>
          <cell r="F1354">
            <v>1440</v>
          </cell>
        </row>
        <row r="1355">
          <cell r="A1355" t="str">
            <v>71300000-30003000-03020000</v>
          </cell>
          <cell r="B1355" t="str">
            <v>CUOTAS AL I.M.S.S.</v>
          </cell>
          <cell r="C1355">
            <v>1723.41</v>
          </cell>
          <cell r="D1355">
            <v>1556.63</v>
          </cell>
          <cell r="E1355">
            <v>0</v>
          </cell>
          <cell r="F1355">
            <v>3280.04</v>
          </cell>
        </row>
        <row r="1356">
          <cell r="A1356" t="str">
            <v>71300000-30003000-03040000</v>
          </cell>
          <cell r="B1356" t="str">
            <v>DESPENSA EN VALES</v>
          </cell>
          <cell r="C1356">
            <v>360</v>
          </cell>
          <cell r="D1356">
            <v>0</v>
          </cell>
          <cell r="E1356">
            <v>0</v>
          </cell>
          <cell r="F1356">
            <v>360</v>
          </cell>
        </row>
        <row r="1357">
          <cell r="A1357" t="str">
            <v>71300000-30003000-04010000</v>
          </cell>
          <cell r="B1357" t="str">
            <v>2.5% SOBRE NOMINAS</v>
          </cell>
          <cell r="C1357">
            <v>822</v>
          </cell>
          <cell r="D1357">
            <v>296</v>
          </cell>
          <cell r="E1357">
            <v>0</v>
          </cell>
          <cell r="F1357">
            <v>1118</v>
          </cell>
        </row>
        <row r="1358">
          <cell r="A1358" t="str">
            <v>71300000-30003000-04020000</v>
          </cell>
          <cell r="B1358" t="str">
            <v>5% INFONAVIT</v>
          </cell>
          <cell r="C1358">
            <v>1162.97</v>
          </cell>
          <cell r="D1358">
            <v>1050.42</v>
          </cell>
          <cell r="E1358">
            <v>0</v>
          </cell>
          <cell r="F1358">
            <v>2213.39</v>
          </cell>
        </row>
        <row r="1359">
          <cell r="A1359" t="str">
            <v>71300000-30003000-04030000</v>
          </cell>
          <cell r="B1359" t="str">
            <v>2% S.A.R. / RETIRO</v>
          </cell>
          <cell r="C1359">
            <v>465.19</v>
          </cell>
          <cell r="D1359">
            <v>420.17</v>
          </cell>
          <cell r="E1359">
            <v>0</v>
          </cell>
          <cell r="F1359">
            <v>885.36</v>
          </cell>
        </row>
        <row r="1360">
          <cell r="A1360" t="str">
            <v>71300000-30003000-04040000</v>
          </cell>
          <cell r="B1360" t="str">
            <v>CESANTIA Y VEJEZ</v>
          </cell>
          <cell r="C1360">
            <v>732.68</v>
          </cell>
          <cell r="D1360">
            <v>661.76</v>
          </cell>
          <cell r="E1360">
            <v>0</v>
          </cell>
          <cell r="F1360">
            <v>1394.44</v>
          </cell>
        </row>
        <row r="1361">
          <cell r="A1361" t="str">
            <v>71300000-30003000-15010000</v>
          </cell>
          <cell r="B1361" t="str">
            <v>MANT. AUTOMOVILES</v>
          </cell>
          <cell r="C1361">
            <v>0</v>
          </cell>
          <cell r="D1361">
            <v>992.36</v>
          </cell>
          <cell r="E1361">
            <v>0</v>
          </cell>
          <cell r="F1361">
            <v>992.36</v>
          </cell>
        </row>
        <row r="1362">
          <cell r="A1362" t="str">
            <v>71300000-30003000-16010000</v>
          </cell>
          <cell r="B1362" t="str">
            <v>PAPELERIA</v>
          </cell>
          <cell r="C1362">
            <v>0</v>
          </cell>
          <cell r="D1362">
            <v>140</v>
          </cell>
          <cell r="E1362">
            <v>0</v>
          </cell>
          <cell r="F1362">
            <v>140</v>
          </cell>
        </row>
        <row r="1363">
          <cell r="A1363" t="str">
            <v>71300000-30003000-18040000</v>
          </cell>
          <cell r="B1363" t="str">
            <v>GASTOS DE REPRESENTACION ALIME</v>
          </cell>
          <cell r="C1363">
            <v>0</v>
          </cell>
          <cell r="D1363">
            <v>133.30000000000001</v>
          </cell>
          <cell r="E1363">
            <v>0</v>
          </cell>
          <cell r="F1363">
            <v>133.30000000000001</v>
          </cell>
        </row>
        <row r="1364">
          <cell r="A1364" t="str">
            <v>71300000-30003000-19030000</v>
          </cell>
          <cell r="B1364" t="str">
            <v>TELEFONOS CELULARES</v>
          </cell>
          <cell r="C1364">
            <v>0</v>
          </cell>
          <cell r="D1364">
            <v>859.3</v>
          </cell>
          <cell r="E1364">
            <v>0</v>
          </cell>
          <cell r="F1364">
            <v>859.3</v>
          </cell>
        </row>
        <row r="1365">
          <cell r="A1365" t="str">
            <v>71300000-30003000-20010000</v>
          </cell>
          <cell r="B1365" t="str">
            <v>COMBUSTIBLE AUTOMOVILES</v>
          </cell>
          <cell r="C1365">
            <v>2062.81</v>
          </cell>
          <cell r="D1365">
            <v>1516.85</v>
          </cell>
          <cell r="E1365">
            <v>0</v>
          </cell>
          <cell r="F1365">
            <v>3579.66</v>
          </cell>
        </row>
        <row r="1366">
          <cell r="A1366" t="str">
            <v>71300000-30003000-90030000</v>
          </cell>
          <cell r="B1366" t="str">
            <v>PROVISION AGUINALDO</v>
          </cell>
          <cell r="C1366">
            <v>725</v>
          </cell>
          <cell r="D1366">
            <v>725</v>
          </cell>
          <cell r="E1366">
            <v>0</v>
          </cell>
          <cell r="F1366">
            <v>1450</v>
          </cell>
        </row>
        <row r="1367">
          <cell r="A1367" t="str">
            <v>71300000-30003000-90040000</v>
          </cell>
          <cell r="B1367" t="str">
            <v>BOLETIN D-3</v>
          </cell>
          <cell r="C1367">
            <v>29.25</v>
          </cell>
          <cell r="D1367">
            <v>29.25</v>
          </cell>
          <cell r="E1367">
            <v>0</v>
          </cell>
          <cell r="F1367">
            <v>58.5</v>
          </cell>
        </row>
        <row r="1368">
          <cell r="A1368" t="str">
            <v>71300000-30004000-00000000</v>
          </cell>
          <cell r="B1368" t="str">
            <v>COSTOS/GASTOS FIJOS GOLFO</v>
          </cell>
          <cell r="C1368">
            <v>29525.77</v>
          </cell>
          <cell r="D1368">
            <v>31000.76</v>
          </cell>
          <cell r="E1368">
            <v>0</v>
          </cell>
          <cell r="F1368">
            <v>60526.53</v>
          </cell>
        </row>
        <row r="1369">
          <cell r="A1369" t="str">
            <v>71300000-30004000-01010000</v>
          </cell>
          <cell r="B1369" t="str">
            <v>SUELDOS Y SALARIOS</v>
          </cell>
          <cell r="C1369">
            <v>5200</v>
          </cell>
          <cell r="D1369">
            <v>7800</v>
          </cell>
          <cell r="E1369">
            <v>0</v>
          </cell>
          <cell r="F1369">
            <v>13000</v>
          </cell>
        </row>
        <row r="1370">
          <cell r="A1370" t="str">
            <v>71300000-30004000-01030000</v>
          </cell>
          <cell r="B1370" t="str">
            <v>GRATIFICACIONES</v>
          </cell>
          <cell r="C1370">
            <v>291.5</v>
          </cell>
          <cell r="D1370">
            <v>132.5</v>
          </cell>
          <cell r="E1370">
            <v>0</v>
          </cell>
          <cell r="F1370">
            <v>424</v>
          </cell>
        </row>
        <row r="1371">
          <cell r="A1371" t="str">
            <v>71300000-30004000-01040000</v>
          </cell>
          <cell r="B1371" t="str">
            <v>VACACIONES</v>
          </cell>
          <cell r="C1371">
            <v>2600</v>
          </cell>
          <cell r="D1371">
            <v>0</v>
          </cell>
          <cell r="E1371">
            <v>0</v>
          </cell>
          <cell r="F1371">
            <v>2600</v>
          </cell>
        </row>
        <row r="1372">
          <cell r="A1372" t="str">
            <v>71300000-30004000-01050000</v>
          </cell>
          <cell r="B1372" t="str">
            <v>PRIMA VACACIONAL</v>
          </cell>
          <cell r="C1372">
            <v>1690</v>
          </cell>
          <cell r="D1372">
            <v>0</v>
          </cell>
          <cell r="E1372">
            <v>0</v>
          </cell>
          <cell r="F1372">
            <v>1690</v>
          </cell>
        </row>
        <row r="1373">
          <cell r="A1373" t="str">
            <v>71300000-30004000-03010000</v>
          </cell>
          <cell r="B1373" t="str">
            <v>FONDO DE AHORRO</v>
          </cell>
          <cell r="C1373">
            <v>416</v>
          </cell>
          <cell r="D1373">
            <v>624</v>
          </cell>
          <cell r="E1373">
            <v>0</v>
          </cell>
          <cell r="F1373">
            <v>1040</v>
          </cell>
        </row>
        <row r="1374">
          <cell r="A1374" t="str">
            <v>71300000-30004000-03020000</v>
          </cell>
          <cell r="B1374" t="str">
            <v>CUOTAS AL I.M.S.S.</v>
          </cell>
          <cell r="C1374">
            <v>1554.33</v>
          </cell>
          <cell r="D1374">
            <v>1403.88</v>
          </cell>
          <cell r="E1374">
            <v>0</v>
          </cell>
          <cell r="F1374">
            <v>2958.21</v>
          </cell>
        </row>
        <row r="1375">
          <cell r="A1375" t="str">
            <v>71300000-30004000-03040000</v>
          </cell>
          <cell r="B1375" t="str">
            <v>DESPENSA EN VALES</v>
          </cell>
          <cell r="C1375">
            <v>312</v>
          </cell>
          <cell r="D1375">
            <v>312</v>
          </cell>
          <cell r="E1375">
            <v>0</v>
          </cell>
          <cell r="F1375">
            <v>624</v>
          </cell>
        </row>
        <row r="1376">
          <cell r="A1376" t="str">
            <v>71300000-30004000-04010000</v>
          </cell>
          <cell r="B1376" t="str">
            <v>2.5% SOBRE NOMINAS</v>
          </cell>
          <cell r="C1376">
            <v>848</v>
          </cell>
          <cell r="D1376">
            <v>396</v>
          </cell>
          <cell r="E1376">
            <v>0</v>
          </cell>
          <cell r="F1376">
            <v>1244</v>
          </cell>
        </row>
        <row r="1377">
          <cell r="A1377" t="str">
            <v>71300000-30004000-04020000</v>
          </cell>
          <cell r="B1377" t="str">
            <v>5% INFONAVIT</v>
          </cell>
          <cell r="C1377">
            <v>1024.3599999999999</v>
          </cell>
          <cell r="D1377">
            <v>925.23</v>
          </cell>
          <cell r="E1377">
            <v>0</v>
          </cell>
          <cell r="F1377">
            <v>1949.59</v>
          </cell>
        </row>
        <row r="1378">
          <cell r="A1378" t="str">
            <v>71300000-30004000-04030000</v>
          </cell>
          <cell r="B1378" t="str">
            <v>2% S.A.R. / RETIRO</v>
          </cell>
          <cell r="C1378">
            <v>409.75</v>
          </cell>
          <cell r="D1378">
            <v>370.09</v>
          </cell>
          <cell r="E1378">
            <v>0</v>
          </cell>
          <cell r="F1378">
            <v>779.84</v>
          </cell>
        </row>
        <row r="1379">
          <cell r="A1379" t="str">
            <v>71300000-30004000-04040000</v>
          </cell>
          <cell r="B1379" t="str">
            <v>CESANTIA Y VEJEZ</v>
          </cell>
          <cell r="C1379">
            <v>645.35</v>
          </cell>
          <cell r="D1379">
            <v>582.91</v>
          </cell>
          <cell r="E1379">
            <v>0</v>
          </cell>
          <cell r="F1379">
            <v>1228.26</v>
          </cell>
        </row>
        <row r="1380">
          <cell r="A1380" t="str">
            <v>71300000-30004000-12010000</v>
          </cell>
          <cell r="B1380" t="str">
            <v>ARREND. AUTOMOVILES</v>
          </cell>
          <cell r="C1380">
            <v>2669.21</v>
          </cell>
          <cell r="D1380">
            <v>2669.21</v>
          </cell>
          <cell r="E1380">
            <v>0</v>
          </cell>
          <cell r="F1380">
            <v>5338.42</v>
          </cell>
        </row>
        <row r="1381">
          <cell r="A1381" t="str">
            <v>71300000-30004000-15090000</v>
          </cell>
          <cell r="B1381" t="str">
            <v>MANTTO A TIENDAS</v>
          </cell>
          <cell r="C1381">
            <v>8250</v>
          </cell>
          <cell r="D1381">
            <v>0</v>
          </cell>
          <cell r="E1381">
            <v>0</v>
          </cell>
          <cell r="F1381">
            <v>8250</v>
          </cell>
        </row>
        <row r="1382">
          <cell r="A1382" t="str">
            <v>71300000-30004000-18040000</v>
          </cell>
          <cell r="B1382" t="str">
            <v>GASTOS DE REPRESENTACION ALIME</v>
          </cell>
          <cell r="C1382">
            <v>0</v>
          </cell>
          <cell r="D1382">
            <v>5577.76</v>
          </cell>
          <cell r="E1382">
            <v>0</v>
          </cell>
          <cell r="F1382">
            <v>5577.76</v>
          </cell>
        </row>
        <row r="1383">
          <cell r="A1383" t="str">
            <v>71300000-30004000-19030000</v>
          </cell>
          <cell r="B1383" t="str">
            <v>TELEFONOS CELULARES</v>
          </cell>
          <cell r="C1383">
            <v>0</v>
          </cell>
          <cell r="D1383">
            <v>1125.43</v>
          </cell>
          <cell r="E1383">
            <v>0</v>
          </cell>
          <cell r="F1383">
            <v>1125.43</v>
          </cell>
        </row>
        <row r="1384">
          <cell r="A1384" t="str">
            <v>71300000-30004000-20010000</v>
          </cell>
          <cell r="B1384" t="str">
            <v>COMBUSTIBLE AUTOMOVILES</v>
          </cell>
          <cell r="C1384">
            <v>2957.69</v>
          </cell>
          <cell r="D1384">
            <v>3783.12</v>
          </cell>
          <cell r="E1384">
            <v>0</v>
          </cell>
          <cell r="F1384">
            <v>6740.81</v>
          </cell>
        </row>
        <row r="1385">
          <cell r="A1385" t="str">
            <v>71300000-30004000-23130000</v>
          </cell>
          <cell r="B1385" t="str">
            <v>OTROS IMPUESTOS Y DERECHOS</v>
          </cell>
          <cell r="C1385">
            <v>0</v>
          </cell>
          <cell r="D1385">
            <v>2830.05</v>
          </cell>
          <cell r="E1385">
            <v>0</v>
          </cell>
          <cell r="F1385">
            <v>2830.05</v>
          </cell>
        </row>
        <row r="1386">
          <cell r="A1386" t="str">
            <v>71300000-30004000-35020000</v>
          </cell>
          <cell r="B1386" t="str">
            <v>DIVERSOS NO DEDUCIBLES</v>
          </cell>
          <cell r="C1386">
            <v>0</v>
          </cell>
          <cell r="D1386">
            <v>1811</v>
          </cell>
          <cell r="E1386">
            <v>0</v>
          </cell>
          <cell r="F1386">
            <v>1811</v>
          </cell>
        </row>
        <row r="1387">
          <cell r="A1387" t="str">
            <v>71300000-30004000-90030000</v>
          </cell>
          <cell r="B1387" t="str">
            <v>PROVISION AGUINALDO</v>
          </cell>
          <cell r="C1387">
            <v>628.33000000000004</v>
          </cell>
          <cell r="D1387">
            <v>628.33000000000004</v>
          </cell>
          <cell r="E1387">
            <v>0</v>
          </cell>
          <cell r="F1387">
            <v>1256.6600000000001</v>
          </cell>
        </row>
        <row r="1388">
          <cell r="A1388" t="str">
            <v>71300000-30004000-90040000</v>
          </cell>
          <cell r="B1388" t="str">
            <v>BOLETIN D-3</v>
          </cell>
          <cell r="C1388">
            <v>29.25</v>
          </cell>
          <cell r="D1388">
            <v>29.25</v>
          </cell>
          <cell r="E1388">
            <v>0</v>
          </cell>
          <cell r="F1388">
            <v>58.5</v>
          </cell>
        </row>
        <row r="1389">
          <cell r="A1389" t="str">
            <v>71300000-30005000-00000000</v>
          </cell>
          <cell r="B1389" t="str">
            <v>COSTOS/GASTOS FIJOS TIENDAS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</row>
        <row r="1390">
          <cell r="A1390" t="str">
            <v>71300000-30006000-00000000</v>
          </cell>
          <cell r="B1390" t="str">
            <v>COSTOS/GASTOS FIJOS NTE</v>
          </cell>
          <cell r="C1390">
            <v>44060.11</v>
          </cell>
          <cell r="D1390">
            <v>44774.54</v>
          </cell>
          <cell r="E1390">
            <v>0</v>
          </cell>
          <cell r="F1390">
            <v>88834.65</v>
          </cell>
        </row>
        <row r="1391">
          <cell r="A1391" t="str">
            <v>71300000-30006000-05010000</v>
          </cell>
          <cell r="B1391" t="str">
            <v>SERV. PROFESIONALES EXTERNOS</v>
          </cell>
          <cell r="C1391">
            <v>19331.47</v>
          </cell>
          <cell r="D1391">
            <v>15618.19</v>
          </cell>
          <cell r="E1391">
            <v>0</v>
          </cell>
          <cell r="F1391">
            <v>34949.660000000003</v>
          </cell>
        </row>
        <row r="1392">
          <cell r="A1392" t="str">
            <v>71300000-30006000-15010000</v>
          </cell>
          <cell r="B1392" t="str">
            <v>MANT. AUTOMOVILES</v>
          </cell>
          <cell r="C1392">
            <v>0</v>
          </cell>
          <cell r="D1392">
            <v>4500</v>
          </cell>
          <cell r="E1392">
            <v>0</v>
          </cell>
          <cell r="F1392">
            <v>4500</v>
          </cell>
        </row>
        <row r="1393">
          <cell r="A1393" t="str">
            <v>71300000-30006000-16010000</v>
          </cell>
          <cell r="B1393" t="str">
            <v>PAPELERIA</v>
          </cell>
          <cell r="C1393">
            <v>0</v>
          </cell>
          <cell r="D1393">
            <v>140</v>
          </cell>
          <cell r="E1393">
            <v>0</v>
          </cell>
          <cell r="F1393">
            <v>140</v>
          </cell>
        </row>
        <row r="1394">
          <cell r="A1394" t="str">
            <v>71300000-30006000-18020000</v>
          </cell>
          <cell r="B1394" t="str">
            <v>PASAJES Y TRANSPORTES LOCALES</v>
          </cell>
          <cell r="C1394">
            <v>1350</v>
          </cell>
          <cell r="D1394">
            <v>1650</v>
          </cell>
          <cell r="E1394">
            <v>0</v>
          </cell>
          <cell r="F1394">
            <v>3000</v>
          </cell>
        </row>
        <row r="1395">
          <cell r="A1395" t="str">
            <v>71300000-30006000-18030000</v>
          </cell>
          <cell r="B1395" t="str">
            <v>GASTOS DE REPRESENTACION TRANS</v>
          </cell>
          <cell r="C1395">
            <v>730</v>
          </cell>
          <cell r="D1395">
            <v>0</v>
          </cell>
          <cell r="E1395">
            <v>0</v>
          </cell>
          <cell r="F1395">
            <v>730</v>
          </cell>
        </row>
        <row r="1396">
          <cell r="A1396" t="str">
            <v>71300000-30006000-18040000</v>
          </cell>
          <cell r="B1396" t="str">
            <v>GASTOS DE REPRESENTACION ALIME</v>
          </cell>
          <cell r="C1396">
            <v>8083.03</v>
          </cell>
          <cell r="D1396">
            <v>7969.21</v>
          </cell>
          <cell r="E1396">
            <v>0</v>
          </cell>
          <cell r="F1396">
            <v>16052.24</v>
          </cell>
        </row>
        <row r="1397">
          <cell r="A1397" t="str">
            <v>71300000-30006000-19030000</v>
          </cell>
          <cell r="B1397" t="str">
            <v>TELEFONOS CELULARES</v>
          </cell>
          <cell r="C1397">
            <v>0</v>
          </cell>
          <cell r="D1397">
            <v>2478.2600000000002</v>
          </cell>
          <cell r="E1397">
            <v>0</v>
          </cell>
          <cell r="F1397">
            <v>2478.2600000000002</v>
          </cell>
        </row>
        <row r="1398">
          <cell r="A1398" t="str">
            <v>71300000-30006000-19050000</v>
          </cell>
          <cell r="B1398" t="str">
            <v>INTERNET</v>
          </cell>
          <cell r="C1398">
            <v>1084.8800000000001</v>
          </cell>
          <cell r="D1398">
            <v>0</v>
          </cell>
          <cell r="E1398">
            <v>0</v>
          </cell>
          <cell r="F1398">
            <v>1084.8800000000001</v>
          </cell>
        </row>
        <row r="1399">
          <cell r="A1399" t="str">
            <v>71300000-30006000-19070000</v>
          </cell>
          <cell r="B1399" t="str">
            <v>MENSAJERIA ESPECIALIZADA</v>
          </cell>
          <cell r="C1399">
            <v>928.3</v>
          </cell>
          <cell r="D1399">
            <v>557.46</v>
          </cell>
          <cell r="E1399">
            <v>0</v>
          </cell>
          <cell r="F1399">
            <v>1485.76</v>
          </cell>
        </row>
        <row r="1400">
          <cell r="A1400" t="str">
            <v>71300000-30006000-20010000</v>
          </cell>
          <cell r="B1400" t="str">
            <v>COMBUSTIBLE AUTOMOVILES</v>
          </cell>
          <cell r="C1400">
            <v>6338.08</v>
          </cell>
          <cell r="D1400">
            <v>8037.06</v>
          </cell>
          <cell r="E1400">
            <v>0</v>
          </cell>
          <cell r="F1400">
            <v>14375.14</v>
          </cell>
        </row>
        <row r="1401">
          <cell r="A1401" t="str">
            <v>71300000-30006000-23120000</v>
          </cell>
          <cell r="B1401" t="str">
            <v>DIVERSOS</v>
          </cell>
          <cell r="C1401">
            <v>360</v>
          </cell>
          <cell r="D1401">
            <v>0</v>
          </cell>
          <cell r="E1401">
            <v>0</v>
          </cell>
          <cell r="F1401">
            <v>360</v>
          </cell>
        </row>
        <row r="1402">
          <cell r="A1402" t="str">
            <v>71300000-30006000-23130000</v>
          </cell>
          <cell r="B1402" t="str">
            <v>OTROS IMPUESTOS Y DERECHOS</v>
          </cell>
          <cell r="C1402">
            <v>3180.53</v>
          </cell>
          <cell r="D1402">
            <v>2193.7199999999998</v>
          </cell>
          <cell r="E1402">
            <v>0</v>
          </cell>
          <cell r="F1402">
            <v>5374.25</v>
          </cell>
        </row>
        <row r="1403">
          <cell r="A1403" t="str">
            <v>71300000-30006000-35020000</v>
          </cell>
          <cell r="B1403" t="str">
            <v>DIVERSOS NO DEDUCIBLES</v>
          </cell>
          <cell r="C1403">
            <v>2673.82</v>
          </cell>
          <cell r="D1403">
            <v>1630.64</v>
          </cell>
          <cell r="E1403">
            <v>0</v>
          </cell>
          <cell r="F1403">
            <v>4304.46</v>
          </cell>
        </row>
        <row r="1404">
          <cell r="A1404" t="str">
            <v>71300000-30007000-00000000</v>
          </cell>
          <cell r="B1404" t="str">
            <v>COSTOS/GASTOS FIJOS PAC NTE</v>
          </cell>
          <cell r="C1404">
            <v>18176.41</v>
          </cell>
          <cell r="D1404">
            <v>25402.880000000001</v>
          </cell>
          <cell r="E1404">
            <v>0</v>
          </cell>
          <cell r="F1404">
            <v>43579.29</v>
          </cell>
        </row>
        <row r="1405">
          <cell r="A1405" t="str">
            <v>71300000-30007000-01010000</v>
          </cell>
          <cell r="B1405" t="str">
            <v>SUELDOS Y SALARIOS</v>
          </cell>
          <cell r="C1405">
            <v>6500.1</v>
          </cell>
          <cell r="D1405">
            <v>6500.1</v>
          </cell>
          <cell r="E1405">
            <v>0</v>
          </cell>
          <cell r="F1405">
            <v>13000.2</v>
          </cell>
        </row>
        <row r="1406">
          <cell r="A1406" t="str">
            <v>71300000-30007000-03010000</v>
          </cell>
          <cell r="B1406" t="str">
            <v>FONDO DE AHORRO</v>
          </cell>
          <cell r="C1406">
            <v>520</v>
          </cell>
          <cell r="D1406">
            <v>520</v>
          </cell>
          <cell r="E1406">
            <v>0</v>
          </cell>
          <cell r="F1406">
            <v>1040</v>
          </cell>
        </row>
        <row r="1407">
          <cell r="A1407" t="str">
            <v>71300000-30007000-03020000</v>
          </cell>
          <cell r="B1407" t="str">
            <v>CUOTAS AL I.M.S.S.</v>
          </cell>
          <cell r="C1407">
            <v>1516.07</v>
          </cell>
          <cell r="D1407">
            <v>1369.37</v>
          </cell>
          <cell r="E1407">
            <v>0</v>
          </cell>
          <cell r="F1407">
            <v>2885.44</v>
          </cell>
        </row>
        <row r="1408">
          <cell r="A1408" t="str">
            <v>71300000-30007000-03040000</v>
          </cell>
          <cell r="B1408" t="str">
            <v>DESPENSA EN VALES</v>
          </cell>
          <cell r="C1408">
            <v>260</v>
          </cell>
          <cell r="D1408">
            <v>260</v>
          </cell>
          <cell r="E1408">
            <v>0</v>
          </cell>
          <cell r="F1408">
            <v>520</v>
          </cell>
        </row>
        <row r="1409">
          <cell r="A1409" t="str">
            <v>71300000-30007000-04010000</v>
          </cell>
          <cell r="B1409" t="str">
            <v>2.5% SOBRE NOMINAS</v>
          </cell>
          <cell r="C1409">
            <v>477</v>
          </cell>
          <cell r="D1409">
            <v>392</v>
          </cell>
          <cell r="E1409">
            <v>0</v>
          </cell>
          <cell r="F1409">
            <v>869</v>
          </cell>
        </row>
        <row r="1410">
          <cell r="A1410" t="str">
            <v>71300000-30007000-04020000</v>
          </cell>
          <cell r="B1410" t="str">
            <v>5% INFONAVIT</v>
          </cell>
          <cell r="C1410">
            <v>993.02</v>
          </cell>
          <cell r="D1410">
            <v>896.92</v>
          </cell>
          <cell r="E1410">
            <v>0</v>
          </cell>
          <cell r="F1410">
            <v>1889.94</v>
          </cell>
        </row>
        <row r="1411">
          <cell r="A1411" t="str">
            <v>71300000-30007000-04030000</v>
          </cell>
          <cell r="B1411" t="str">
            <v>2% S.A.R. / RETIRO</v>
          </cell>
          <cell r="C1411">
            <v>397.21</v>
          </cell>
          <cell r="D1411">
            <v>358.77</v>
          </cell>
          <cell r="E1411">
            <v>0</v>
          </cell>
          <cell r="F1411">
            <v>755.98</v>
          </cell>
        </row>
        <row r="1412">
          <cell r="A1412" t="str">
            <v>71300000-30007000-04040000</v>
          </cell>
          <cell r="B1412" t="str">
            <v>CESANTIA Y VEJEZ</v>
          </cell>
          <cell r="C1412">
            <v>625.6</v>
          </cell>
          <cell r="D1412">
            <v>565.05999999999995</v>
          </cell>
          <cell r="E1412">
            <v>0</v>
          </cell>
          <cell r="F1412">
            <v>1190.6600000000001</v>
          </cell>
        </row>
        <row r="1413">
          <cell r="A1413" t="str">
            <v>71300000-30007000-15010000</v>
          </cell>
          <cell r="B1413" t="str">
            <v>MANT. AUTOMOVILES</v>
          </cell>
          <cell r="C1413">
            <v>2733.17</v>
          </cell>
          <cell r="D1413">
            <v>0</v>
          </cell>
          <cell r="E1413">
            <v>0</v>
          </cell>
          <cell r="F1413">
            <v>2733.17</v>
          </cell>
        </row>
        <row r="1414">
          <cell r="A1414" t="str">
            <v>71300000-30007000-18020000</v>
          </cell>
          <cell r="B1414" t="str">
            <v>PASAJES Y TRANSPORTES LOCALES</v>
          </cell>
          <cell r="C1414">
            <v>0</v>
          </cell>
          <cell r="D1414">
            <v>450</v>
          </cell>
          <cell r="E1414">
            <v>0</v>
          </cell>
          <cell r="F1414">
            <v>450</v>
          </cell>
        </row>
        <row r="1415">
          <cell r="A1415" t="str">
            <v>71300000-30007000-18030000</v>
          </cell>
          <cell r="B1415" t="str">
            <v>GASTOS DE REPRESENTACION TRANS</v>
          </cell>
          <cell r="C1415">
            <v>75.5</v>
          </cell>
          <cell r="D1415">
            <v>3643</v>
          </cell>
          <cell r="E1415">
            <v>0</v>
          </cell>
          <cell r="F1415">
            <v>3718.5</v>
          </cell>
        </row>
        <row r="1416">
          <cell r="A1416" t="str">
            <v>71300000-30007000-18040000</v>
          </cell>
          <cell r="B1416" t="str">
            <v>GASTOS DE REPRESENTACION ALIME</v>
          </cell>
          <cell r="C1416">
            <v>0</v>
          </cell>
          <cell r="D1416">
            <v>3678.57</v>
          </cell>
          <cell r="E1416">
            <v>0</v>
          </cell>
          <cell r="F1416">
            <v>3678.57</v>
          </cell>
        </row>
        <row r="1417">
          <cell r="A1417" t="str">
            <v>71300000-30007000-19030000</v>
          </cell>
          <cell r="B1417" t="str">
            <v>TELEFONOS CELULARES</v>
          </cell>
          <cell r="C1417">
            <v>0</v>
          </cell>
          <cell r="D1417">
            <v>1203.6400000000001</v>
          </cell>
          <cell r="E1417">
            <v>0</v>
          </cell>
          <cell r="F1417">
            <v>1203.6400000000001</v>
          </cell>
        </row>
        <row r="1418">
          <cell r="A1418" t="str">
            <v>71300000-30007000-19070000</v>
          </cell>
          <cell r="B1418" t="str">
            <v>MENSAJERIA ESPECIALIZADA</v>
          </cell>
          <cell r="C1418">
            <v>0</v>
          </cell>
          <cell r="D1418">
            <v>362.25</v>
          </cell>
          <cell r="E1418">
            <v>0</v>
          </cell>
          <cell r="F1418">
            <v>362.25</v>
          </cell>
        </row>
        <row r="1419">
          <cell r="A1419" t="str">
            <v>71300000-30007000-20010000</v>
          </cell>
          <cell r="B1419" t="str">
            <v>COMBUSTIBLE AUTOMOVILES</v>
          </cell>
          <cell r="C1419">
            <v>1651.7</v>
          </cell>
          <cell r="D1419">
            <v>1894.29</v>
          </cell>
          <cell r="E1419">
            <v>0</v>
          </cell>
          <cell r="F1419">
            <v>3545.99</v>
          </cell>
        </row>
        <row r="1420">
          <cell r="A1420" t="str">
            <v>71300000-30007000-23120000</v>
          </cell>
          <cell r="B1420" t="str">
            <v>DIVERSOS</v>
          </cell>
          <cell r="C1420">
            <v>75</v>
          </cell>
          <cell r="D1420">
            <v>1127.5899999999999</v>
          </cell>
          <cell r="E1420">
            <v>0</v>
          </cell>
          <cell r="F1420">
            <v>1202.5899999999999</v>
          </cell>
        </row>
        <row r="1421">
          <cell r="A1421" t="str">
            <v>71300000-30007000-23130000</v>
          </cell>
          <cell r="B1421" t="str">
            <v>OTROS IMPUESTOS Y DERECHOS</v>
          </cell>
          <cell r="C1421">
            <v>1799.17</v>
          </cell>
          <cell r="D1421">
            <v>790.77</v>
          </cell>
          <cell r="E1421">
            <v>0</v>
          </cell>
          <cell r="F1421">
            <v>2589.94</v>
          </cell>
        </row>
        <row r="1422">
          <cell r="A1422" t="str">
            <v>71300000-30007000-35020000</v>
          </cell>
          <cell r="B1422" t="str">
            <v>DIVERSOS NO DEDUCIBLES</v>
          </cell>
          <cell r="C1422">
            <v>0</v>
          </cell>
          <cell r="D1422">
            <v>837.68</v>
          </cell>
          <cell r="E1422">
            <v>0</v>
          </cell>
          <cell r="F1422">
            <v>837.68</v>
          </cell>
        </row>
        <row r="1423">
          <cell r="A1423" t="str">
            <v>71300000-30007000-90030000</v>
          </cell>
          <cell r="B1423" t="str">
            <v>PROVISION AGUINALDO</v>
          </cell>
          <cell r="C1423">
            <v>523.62</v>
          </cell>
          <cell r="D1423">
            <v>523.62</v>
          </cell>
          <cell r="E1423">
            <v>0</v>
          </cell>
          <cell r="F1423">
            <v>1047.24</v>
          </cell>
        </row>
        <row r="1424">
          <cell r="A1424" t="str">
            <v>71300000-30007000-90040000</v>
          </cell>
          <cell r="B1424" t="str">
            <v>BOLETIN D-3</v>
          </cell>
          <cell r="C1424">
            <v>29.25</v>
          </cell>
          <cell r="D1424">
            <v>29.25</v>
          </cell>
          <cell r="E1424">
            <v>0</v>
          </cell>
          <cell r="F1424">
            <v>58.5</v>
          </cell>
        </row>
        <row r="1425">
          <cell r="A1425" t="str">
            <v>71300000-30008000-00000000</v>
          </cell>
          <cell r="B1425" t="str">
            <v>COSTOS/GASTOS FIJOS PAC CTRO</v>
          </cell>
          <cell r="C1425">
            <v>23213.56</v>
          </cell>
          <cell r="D1425">
            <v>28940.34</v>
          </cell>
          <cell r="E1425">
            <v>0</v>
          </cell>
          <cell r="F1425">
            <v>52153.9</v>
          </cell>
        </row>
        <row r="1426">
          <cell r="A1426" t="str">
            <v>71300000-30008000-01010000</v>
          </cell>
          <cell r="B1426" t="str">
            <v>SUELDOS Y SALARIOS</v>
          </cell>
          <cell r="C1426">
            <v>8333.25</v>
          </cell>
          <cell r="D1426">
            <v>9999.9</v>
          </cell>
          <cell r="E1426">
            <v>0</v>
          </cell>
          <cell r="F1426">
            <v>18333.150000000001</v>
          </cell>
        </row>
        <row r="1427">
          <cell r="A1427" t="str">
            <v>71300000-30008000-01030000</v>
          </cell>
          <cell r="B1427" t="str">
            <v>GRATIFICACIONES</v>
          </cell>
          <cell r="C1427">
            <v>315</v>
          </cell>
          <cell r="D1427">
            <v>159</v>
          </cell>
          <cell r="E1427">
            <v>0</v>
          </cell>
          <cell r="F1427">
            <v>474</v>
          </cell>
        </row>
        <row r="1428">
          <cell r="A1428" t="str">
            <v>71300000-30008000-01040000</v>
          </cell>
          <cell r="B1428" t="str">
            <v>VACACIONES</v>
          </cell>
          <cell r="C1428">
            <v>1666.65</v>
          </cell>
          <cell r="D1428">
            <v>0</v>
          </cell>
          <cell r="E1428">
            <v>0</v>
          </cell>
          <cell r="F1428">
            <v>1666.65</v>
          </cell>
        </row>
        <row r="1429">
          <cell r="A1429" t="str">
            <v>71300000-30008000-01050000</v>
          </cell>
          <cell r="B1429" t="str">
            <v>PRIMA VACACIONAL</v>
          </cell>
          <cell r="C1429">
            <v>1083.32</v>
          </cell>
          <cell r="D1429">
            <v>0</v>
          </cell>
          <cell r="E1429">
            <v>0</v>
          </cell>
          <cell r="F1429">
            <v>1083.32</v>
          </cell>
        </row>
        <row r="1430">
          <cell r="A1430" t="str">
            <v>71300000-30008000-03010000</v>
          </cell>
          <cell r="B1430" t="str">
            <v>FONDO DE AHORRO</v>
          </cell>
          <cell r="C1430">
            <v>666.66</v>
          </cell>
          <cell r="D1430">
            <v>800</v>
          </cell>
          <cell r="E1430">
            <v>0</v>
          </cell>
          <cell r="F1430">
            <v>1466.66</v>
          </cell>
        </row>
        <row r="1431">
          <cell r="A1431" t="str">
            <v>71300000-30008000-03020000</v>
          </cell>
          <cell r="B1431" t="str">
            <v>CUOTAS AL I.M.S.S.</v>
          </cell>
          <cell r="C1431">
            <v>1876.2</v>
          </cell>
          <cell r="D1431">
            <v>1694.62</v>
          </cell>
          <cell r="E1431">
            <v>0</v>
          </cell>
          <cell r="F1431">
            <v>3570.82</v>
          </cell>
        </row>
        <row r="1432">
          <cell r="A1432" t="str">
            <v>71300000-30008000-03040000</v>
          </cell>
          <cell r="B1432" t="str">
            <v>DESPENSA EN VALES</v>
          </cell>
          <cell r="C1432">
            <v>400</v>
          </cell>
          <cell r="D1432">
            <v>400</v>
          </cell>
          <cell r="E1432">
            <v>0</v>
          </cell>
          <cell r="F1432">
            <v>800</v>
          </cell>
        </row>
        <row r="1433">
          <cell r="A1433" t="str">
            <v>71300000-30008000-04010000</v>
          </cell>
          <cell r="B1433" t="str">
            <v>2.5% SOBRE NOMINAS</v>
          </cell>
          <cell r="C1433">
            <v>609</v>
          </cell>
          <cell r="D1433">
            <v>518</v>
          </cell>
          <cell r="E1433">
            <v>0</v>
          </cell>
          <cell r="F1433">
            <v>1127</v>
          </cell>
        </row>
        <row r="1434">
          <cell r="A1434" t="str">
            <v>71300000-30008000-04020000</v>
          </cell>
          <cell r="B1434" t="str">
            <v>5% INFONAVIT</v>
          </cell>
          <cell r="C1434">
            <v>1288.19</v>
          </cell>
          <cell r="D1434">
            <v>1163.53</v>
          </cell>
          <cell r="E1434">
            <v>0</v>
          </cell>
          <cell r="F1434">
            <v>2451.7199999999998</v>
          </cell>
        </row>
        <row r="1435">
          <cell r="A1435" t="str">
            <v>71300000-30008000-04030000</v>
          </cell>
          <cell r="B1435" t="str">
            <v>2% S.A.R. / RETIRO</v>
          </cell>
          <cell r="C1435">
            <v>515.28</v>
          </cell>
          <cell r="D1435">
            <v>465.41</v>
          </cell>
          <cell r="E1435">
            <v>0</v>
          </cell>
          <cell r="F1435">
            <v>980.69</v>
          </cell>
        </row>
        <row r="1436">
          <cell r="A1436" t="str">
            <v>71300000-30008000-04040000</v>
          </cell>
          <cell r="B1436" t="str">
            <v>CESANTIA Y VEJEZ</v>
          </cell>
          <cell r="C1436">
            <v>811.55</v>
          </cell>
          <cell r="D1436">
            <v>733.01</v>
          </cell>
          <cell r="E1436">
            <v>0</v>
          </cell>
          <cell r="F1436">
            <v>1544.56</v>
          </cell>
        </row>
        <row r="1437">
          <cell r="A1437" t="str">
            <v>71300000-30008000-12010000</v>
          </cell>
          <cell r="B1437" t="str">
            <v>ARREND. AUTOMOVILES</v>
          </cell>
          <cell r="C1437">
            <v>2669.21</v>
          </cell>
          <cell r="D1437">
            <v>2669.21</v>
          </cell>
          <cell r="E1437">
            <v>0</v>
          </cell>
          <cell r="F1437">
            <v>5338.42</v>
          </cell>
        </row>
        <row r="1438">
          <cell r="A1438" t="str">
            <v>71300000-30008000-15010000</v>
          </cell>
          <cell r="B1438" t="str">
            <v>MANT. AUTOMOVILES</v>
          </cell>
          <cell r="C1438">
            <v>0</v>
          </cell>
          <cell r="D1438">
            <v>248.27</v>
          </cell>
          <cell r="E1438">
            <v>0</v>
          </cell>
          <cell r="F1438">
            <v>248.27</v>
          </cell>
        </row>
        <row r="1439">
          <cell r="A1439" t="str">
            <v>71300000-30008000-16010000</v>
          </cell>
          <cell r="B1439" t="str">
            <v>PAPELERIA</v>
          </cell>
          <cell r="C1439">
            <v>0</v>
          </cell>
          <cell r="D1439">
            <v>140</v>
          </cell>
          <cell r="E1439">
            <v>0</v>
          </cell>
          <cell r="F1439">
            <v>140</v>
          </cell>
        </row>
        <row r="1440">
          <cell r="A1440" t="str">
            <v>71300000-30008000-18040000</v>
          </cell>
          <cell r="B1440" t="str">
            <v>GASTOS DE REPRESENTACION ALIME</v>
          </cell>
          <cell r="C1440">
            <v>0</v>
          </cell>
          <cell r="D1440">
            <v>3714.23</v>
          </cell>
          <cell r="E1440">
            <v>0</v>
          </cell>
          <cell r="F1440">
            <v>3714.23</v>
          </cell>
        </row>
        <row r="1441">
          <cell r="A1441" t="str">
            <v>71300000-30008000-19030000</v>
          </cell>
          <cell r="B1441" t="str">
            <v>TELEFONOS CELULARES</v>
          </cell>
          <cell r="C1441">
            <v>0</v>
          </cell>
          <cell r="D1441">
            <v>1145.18</v>
          </cell>
          <cell r="E1441">
            <v>0</v>
          </cell>
          <cell r="F1441">
            <v>1145.18</v>
          </cell>
        </row>
        <row r="1442">
          <cell r="A1442" t="str">
            <v>71300000-30008000-20010000</v>
          </cell>
          <cell r="B1442" t="str">
            <v>COMBUSTIBLE AUTOMOVILES</v>
          </cell>
          <cell r="C1442">
            <v>1975.45</v>
          </cell>
          <cell r="D1442">
            <v>2345.6799999999998</v>
          </cell>
          <cell r="E1442">
            <v>0</v>
          </cell>
          <cell r="F1442">
            <v>4321.13</v>
          </cell>
        </row>
        <row r="1443">
          <cell r="A1443" t="str">
            <v>71300000-30008000-23130000</v>
          </cell>
          <cell r="B1443" t="str">
            <v>OTROS IMPUESTOS Y DERECHOS</v>
          </cell>
          <cell r="C1443">
            <v>0</v>
          </cell>
          <cell r="D1443">
            <v>1619.5</v>
          </cell>
          <cell r="E1443">
            <v>0</v>
          </cell>
          <cell r="F1443">
            <v>1619.5</v>
          </cell>
        </row>
        <row r="1444">
          <cell r="A1444" t="str">
            <v>71300000-30008000-35020000</v>
          </cell>
          <cell r="B1444" t="str">
            <v>DIVERSOS NO DEDUCIBLES</v>
          </cell>
          <cell r="C1444">
            <v>169</v>
          </cell>
          <cell r="D1444">
            <v>290</v>
          </cell>
          <cell r="E1444">
            <v>0</v>
          </cell>
          <cell r="F1444">
            <v>459</v>
          </cell>
        </row>
        <row r="1445">
          <cell r="A1445" t="str">
            <v>71300000-30008000-90030000</v>
          </cell>
          <cell r="B1445" t="str">
            <v>PROVISION AGUINALDO</v>
          </cell>
          <cell r="C1445">
            <v>805.55</v>
          </cell>
          <cell r="D1445">
            <v>805.55</v>
          </cell>
          <cell r="E1445">
            <v>0</v>
          </cell>
          <cell r="F1445">
            <v>1611.1</v>
          </cell>
        </row>
        <row r="1446">
          <cell r="A1446" t="str">
            <v>71300000-30008000-90040000</v>
          </cell>
          <cell r="B1446" t="str">
            <v>BOLETIN D-3</v>
          </cell>
          <cell r="C1446">
            <v>29.25</v>
          </cell>
          <cell r="D1446">
            <v>29.25</v>
          </cell>
          <cell r="E1446">
            <v>0</v>
          </cell>
          <cell r="F1446">
            <v>58.5</v>
          </cell>
        </row>
        <row r="1447">
          <cell r="A1447" t="str">
            <v>71300000-30009000-00000000</v>
          </cell>
          <cell r="B1447" t="str">
            <v>COSTOS/GASTOS FIJOS GDL</v>
          </cell>
          <cell r="C1447">
            <v>29656.81</v>
          </cell>
          <cell r="D1447">
            <v>25236.27</v>
          </cell>
          <cell r="E1447">
            <v>0</v>
          </cell>
          <cell r="F1447">
            <v>54893.08</v>
          </cell>
        </row>
        <row r="1448">
          <cell r="A1448" t="str">
            <v>71300000-30009000-05010000</v>
          </cell>
          <cell r="B1448" t="str">
            <v>SERV. PROFESIONALES EXTERNOS</v>
          </cell>
          <cell r="C1448">
            <v>7229.95</v>
          </cell>
          <cell r="D1448">
            <v>7111.01</v>
          </cell>
          <cell r="E1448">
            <v>0</v>
          </cell>
          <cell r="F1448">
            <v>14340.96</v>
          </cell>
        </row>
        <row r="1449">
          <cell r="A1449" t="str">
            <v>71300000-30009000-13020000</v>
          </cell>
          <cell r="B1449" t="str">
            <v>ARRENDAMIENTO DE INMUEBLES PER</v>
          </cell>
          <cell r="C1449">
            <v>10500</v>
          </cell>
          <cell r="D1449">
            <v>10500</v>
          </cell>
          <cell r="E1449">
            <v>0</v>
          </cell>
          <cell r="F1449">
            <v>21000</v>
          </cell>
        </row>
        <row r="1450">
          <cell r="A1450" t="str">
            <v>71300000-30009000-17010000</v>
          </cell>
          <cell r="B1450" t="str">
            <v>ENERGIA ELECTRICA</v>
          </cell>
          <cell r="C1450">
            <v>552.23</v>
          </cell>
          <cell r="D1450">
            <v>0</v>
          </cell>
          <cell r="E1450">
            <v>0</v>
          </cell>
          <cell r="F1450">
            <v>552.23</v>
          </cell>
        </row>
        <row r="1451">
          <cell r="A1451" t="str">
            <v>71300000-30009000-19070000</v>
          </cell>
          <cell r="B1451" t="str">
            <v>MENSAJERIA ESPECIALIZADA</v>
          </cell>
          <cell r="C1451">
            <v>268.43</v>
          </cell>
          <cell r="D1451">
            <v>391.8</v>
          </cell>
          <cell r="E1451">
            <v>0</v>
          </cell>
          <cell r="F1451">
            <v>660.23</v>
          </cell>
        </row>
        <row r="1452">
          <cell r="A1452" t="str">
            <v>71300000-30009000-23120000</v>
          </cell>
          <cell r="B1452" t="str">
            <v>DIVERSOS</v>
          </cell>
          <cell r="C1452">
            <v>0</v>
          </cell>
          <cell r="D1452">
            <v>25.78</v>
          </cell>
          <cell r="E1452">
            <v>0</v>
          </cell>
          <cell r="F1452">
            <v>25.78</v>
          </cell>
        </row>
        <row r="1453">
          <cell r="A1453" t="str">
            <v>71300000-30009000-23140000</v>
          </cell>
          <cell r="B1453" t="str">
            <v>FLETES Y ACARREOS</v>
          </cell>
          <cell r="C1453">
            <v>11059.2</v>
          </cell>
          <cell r="D1453">
            <v>6305.98</v>
          </cell>
          <cell r="E1453">
            <v>0</v>
          </cell>
          <cell r="F1453">
            <v>17365.18</v>
          </cell>
        </row>
        <row r="1454">
          <cell r="A1454" t="str">
            <v>71300000-30009000-35020000</v>
          </cell>
          <cell r="B1454" t="str">
            <v>DIVERSOS NO DEDUCIBLES</v>
          </cell>
          <cell r="C1454">
            <v>47</v>
          </cell>
          <cell r="D1454">
            <v>901.7</v>
          </cell>
          <cell r="E1454">
            <v>0</v>
          </cell>
          <cell r="F1454">
            <v>948.7</v>
          </cell>
        </row>
        <row r="1455">
          <cell r="A1455" t="str">
            <v>71300000-30010000-00000000</v>
          </cell>
          <cell r="B1455" t="str">
            <v>COSTOS/GASTOS FIJOS OCCIDENTE</v>
          </cell>
          <cell r="C1455">
            <v>24938.93</v>
          </cell>
          <cell r="D1455">
            <v>26577.65</v>
          </cell>
          <cell r="E1455">
            <v>0</v>
          </cell>
          <cell r="F1455">
            <v>51516.58</v>
          </cell>
        </row>
        <row r="1456">
          <cell r="A1456" t="str">
            <v>71300000-30010000-01010000</v>
          </cell>
          <cell r="B1456" t="str">
            <v>SUELDOS Y SALARIOS</v>
          </cell>
          <cell r="C1456">
            <v>7524.9</v>
          </cell>
          <cell r="D1456">
            <v>7749.9</v>
          </cell>
          <cell r="E1456">
            <v>0</v>
          </cell>
          <cell r="F1456">
            <v>15274.8</v>
          </cell>
        </row>
        <row r="1457">
          <cell r="A1457" t="str">
            <v>71300000-30010000-01030000</v>
          </cell>
          <cell r="B1457" t="str">
            <v>GRATIFICACIONES</v>
          </cell>
          <cell r="C1457">
            <v>225</v>
          </cell>
          <cell r="D1457">
            <v>0</v>
          </cell>
          <cell r="E1457">
            <v>0</v>
          </cell>
          <cell r="F1457">
            <v>225</v>
          </cell>
        </row>
        <row r="1458">
          <cell r="A1458" t="str">
            <v>71300000-30010000-03010000</v>
          </cell>
          <cell r="B1458" t="str">
            <v>FONDO DE AHORRO</v>
          </cell>
          <cell r="C1458">
            <v>602</v>
          </cell>
          <cell r="D1458">
            <v>620</v>
          </cell>
          <cell r="E1458">
            <v>0</v>
          </cell>
          <cell r="F1458">
            <v>1222</v>
          </cell>
        </row>
        <row r="1459">
          <cell r="A1459" t="str">
            <v>71300000-30010000-03020000</v>
          </cell>
          <cell r="B1459" t="str">
            <v>CUOTAS AL I.M.S.S.</v>
          </cell>
          <cell r="C1459">
            <v>1182.1400000000001</v>
          </cell>
          <cell r="D1459">
            <v>1081.44</v>
          </cell>
          <cell r="E1459">
            <v>0</v>
          </cell>
          <cell r="F1459">
            <v>2263.58</v>
          </cell>
        </row>
        <row r="1460">
          <cell r="A1460" t="str">
            <v>71300000-30010000-03040000</v>
          </cell>
          <cell r="B1460" t="str">
            <v>DESPENSA EN VALES</v>
          </cell>
          <cell r="C1460">
            <v>292</v>
          </cell>
          <cell r="D1460">
            <v>310</v>
          </cell>
          <cell r="E1460">
            <v>0</v>
          </cell>
          <cell r="F1460">
            <v>602</v>
          </cell>
        </row>
        <row r="1461">
          <cell r="A1461" t="str">
            <v>71300000-30010000-04010000</v>
          </cell>
          <cell r="B1461" t="str">
            <v>2.5% SOBRE NOMINAS</v>
          </cell>
          <cell r="C1461">
            <v>326</v>
          </cell>
          <cell r="D1461">
            <v>311</v>
          </cell>
          <cell r="E1461">
            <v>0</v>
          </cell>
          <cell r="F1461">
            <v>637</v>
          </cell>
        </row>
        <row r="1462">
          <cell r="A1462" t="str">
            <v>71300000-30010000-04020000</v>
          </cell>
          <cell r="B1462" t="str">
            <v>5% INFONAVIT</v>
          </cell>
          <cell r="C1462">
            <v>719.3</v>
          </cell>
          <cell r="D1462">
            <v>660.91</v>
          </cell>
          <cell r="E1462">
            <v>0</v>
          </cell>
          <cell r="F1462">
            <v>1380.21</v>
          </cell>
        </row>
        <row r="1463">
          <cell r="A1463" t="str">
            <v>71300000-30010000-04030000</v>
          </cell>
          <cell r="B1463" t="str">
            <v>2% S.A.R. / RETIRO</v>
          </cell>
          <cell r="C1463">
            <v>287.73</v>
          </cell>
          <cell r="D1463">
            <v>264.36</v>
          </cell>
          <cell r="E1463">
            <v>0</v>
          </cell>
          <cell r="F1463">
            <v>552.09</v>
          </cell>
        </row>
        <row r="1464">
          <cell r="A1464" t="str">
            <v>71300000-30010000-04040000</v>
          </cell>
          <cell r="B1464" t="str">
            <v>CESANTIA Y VEJEZ</v>
          </cell>
          <cell r="C1464">
            <v>453.18</v>
          </cell>
          <cell r="D1464">
            <v>416.39</v>
          </cell>
          <cell r="E1464">
            <v>0</v>
          </cell>
          <cell r="F1464">
            <v>869.57</v>
          </cell>
        </row>
        <row r="1465">
          <cell r="A1465" t="str">
            <v>71300000-30010000-12010000</v>
          </cell>
          <cell r="B1465" t="str">
            <v>ARREND. AUTOMOVILES</v>
          </cell>
          <cell r="C1465">
            <v>2282.0300000000002</v>
          </cell>
          <cell r="D1465">
            <v>2282.0300000000002</v>
          </cell>
          <cell r="E1465">
            <v>0</v>
          </cell>
          <cell r="F1465">
            <v>4564.0600000000004</v>
          </cell>
        </row>
        <row r="1466">
          <cell r="A1466" t="str">
            <v>71300000-30010000-15010000</v>
          </cell>
          <cell r="B1466" t="str">
            <v>MANT. AUTOMOVILES</v>
          </cell>
          <cell r="C1466">
            <v>3915</v>
          </cell>
          <cell r="D1466">
            <v>0</v>
          </cell>
          <cell r="E1466">
            <v>0</v>
          </cell>
          <cell r="F1466">
            <v>3915</v>
          </cell>
        </row>
        <row r="1467">
          <cell r="A1467" t="str">
            <v>71300000-30010000-15090000</v>
          </cell>
          <cell r="B1467" t="str">
            <v>MANTTO A TIENDAS</v>
          </cell>
          <cell r="C1467">
            <v>3000</v>
          </cell>
          <cell r="D1467">
            <v>3000</v>
          </cell>
          <cell r="E1467">
            <v>0</v>
          </cell>
          <cell r="F1467">
            <v>6000</v>
          </cell>
        </row>
        <row r="1468">
          <cell r="A1468" t="str">
            <v>71300000-30010000-16010000</v>
          </cell>
          <cell r="B1468" t="str">
            <v>PAPELERIA</v>
          </cell>
          <cell r="C1468">
            <v>0</v>
          </cell>
          <cell r="D1468">
            <v>140</v>
          </cell>
          <cell r="E1468">
            <v>0</v>
          </cell>
          <cell r="F1468">
            <v>140</v>
          </cell>
        </row>
        <row r="1469">
          <cell r="A1469" t="str">
            <v>71300000-30010000-18040000</v>
          </cell>
          <cell r="B1469" t="str">
            <v>GASTOS DE REPRESENTACION ALIME</v>
          </cell>
          <cell r="C1469">
            <v>985.42</v>
          </cell>
          <cell r="D1469">
            <v>1927.63</v>
          </cell>
          <cell r="E1469">
            <v>0</v>
          </cell>
          <cell r="F1469">
            <v>2913.05</v>
          </cell>
        </row>
        <row r="1470">
          <cell r="A1470" t="str">
            <v>71300000-30010000-19030000</v>
          </cell>
          <cell r="B1470" t="str">
            <v>TELEFONOS CELULARES</v>
          </cell>
          <cell r="C1470">
            <v>0</v>
          </cell>
          <cell r="D1470">
            <v>1285.17</v>
          </cell>
          <cell r="E1470">
            <v>0</v>
          </cell>
          <cell r="F1470">
            <v>1285.17</v>
          </cell>
        </row>
        <row r="1471">
          <cell r="A1471" t="str">
            <v>71300000-30010000-19070000</v>
          </cell>
          <cell r="B1471" t="str">
            <v>MENSAJERIA ESPECIALIZADA</v>
          </cell>
          <cell r="C1471">
            <v>133.72</v>
          </cell>
          <cell r="D1471">
            <v>0</v>
          </cell>
          <cell r="E1471">
            <v>0</v>
          </cell>
          <cell r="F1471">
            <v>133.72</v>
          </cell>
        </row>
        <row r="1472">
          <cell r="A1472" t="str">
            <v>71300000-30010000-20010000</v>
          </cell>
          <cell r="B1472" t="str">
            <v>COMBUSTIBLE AUTOMOVILES</v>
          </cell>
          <cell r="C1472">
            <v>1042.1300000000001</v>
          </cell>
          <cell r="D1472">
            <v>1041.94</v>
          </cell>
          <cell r="E1472">
            <v>0</v>
          </cell>
          <cell r="F1472">
            <v>2084.0700000000002</v>
          </cell>
        </row>
        <row r="1473">
          <cell r="A1473" t="str">
            <v>71300000-30010000-23130000</v>
          </cell>
          <cell r="B1473" t="str">
            <v>OTROS IMPUESTOS Y DERECHOS</v>
          </cell>
          <cell r="C1473">
            <v>781.33</v>
          </cell>
          <cell r="D1473">
            <v>1527.33</v>
          </cell>
          <cell r="E1473">
            <v>0</v>
          </cell>
          <cell r="F1473">
            <v>2308.66</v>
          </cell>
        </row>
        <row r="1474">
          <cell r="A1474" t="str">
            <v>71300000-30010000-35020000</v>
          </cell>
          <cell r="B1474" t="str">
            <v>DIVERSOS NO DEDUCIBLES</v>
          </cell>
          <cell r="C1474">
            <v>533.5</v>
          </cell>
          <cell r="D1474">
            <v>3306</v>
          </cell>
          <cell r="E1474">
            <v>0</v>
          </cell>
          <cell r="F1474">
            <v>3839.5</v>
          </cell>
        </row>
        <row r="1475">
          <cell r="A1475" t="str">
            <v>71300000-30010000-90030000</v>
          </cell>
          <cell r="B1475" t="str">
            <v>PROVISION AGUINALDO</v>
          </cell>
          <cell r="C1475">
            <v>624.29999999999995</v>
          </cell>
          <cell r="D1475">
            <v>624.29999999999995</v>
          </cell>
          <cell r="E1475">
            <v>0</v>
          </cell>
          <cell r="F1475">
            <v>1248.5999999999999</v>
          </cell>
        </row>
        <row r="1476">
          <cell r="A1476" t="str">
            <v>71300000-30010000-90040000</v>
          </cell>
          <cell r="B1476" t="str">
            <v>BOLETIN D-3</v>
          </cell>
          <cell r="C1476">
            <v>29.25</v>
          </cell>
          <cell r="D1476">
            <v>29.25</v>
          </cell>
          <cell r="E1476">
            <v>0</v>
          </cell>
          <cell r="F1476">
            <v>58.5</v>
          </cell>
        </row>
        <row r="1477">
          <cell r="A1477" t="str">
            <v>71300000-30011000-00000000</v>
          </cell>
          <cell r="B1477" t="str">
            <v>COSTOS/GASTOS FIJOS CONURBADA</v>
          </cell>
          <cell r="C1477">
            <v>21097.23</v>
          </cell>
          <cell r="D1477">
            <v>27963.17</v>
          </cell>
          <cell r="E1477">
            <v>0</v>
          </cell>
          <cell r="F1477">
            <v>49060.4</v>
          </cell>
        </row>
        <row r="1478">
          <cell r="A1478" t="str">
            <v>71300000-30011000-01010000</v>
          </cell>
          <cell r="B1478" t="str">
            <v>SUELDOS Y SALARIOS</v>
          </cell>
          <cell r="C1478">
            <v>8000.1</v>
          </cell>
          <cell r="D1478">
            <v>8000.1</v>
          </cell>
          <cell r="E1478">
            <v>0</v>
          </cell>
          <cell r="F1478">
            <v>16000.2</v>
          </cell>
        </row>
        <row r="1479">
          <cell r="A1479" t="str">
            <v>71300000-30011000-01030000</v>
          </cell>
          <cell r="B1479" t="str">
            <v>GRATIFICACIONES</v>
          </cell>
          <cell r="C1479">
            <v>325</v>
          </cell>
          <cell r="D1479">
            <v>79.5</v>
          </cell>
          <cell r="E1479">
            <v>0</v>
          </cell>
          <cell r="F1479">
            <v>404.5</v>
          </cell>
        </row>
        <row r="1480">
          <cell r="A1480" t="str">
            <v>71300000-30011000-03010000</v>
          </cell>
          <cell r="B1480" t="str">
            <v>FONDO DE AHORRO</v>
          </cell>
          <cell r="C1480">
            <v>640</v>
          </cell>
          <cell r="D1480">
            <v>640</v>
          </cell>
          <cell r="E1480">
            <v>0</v>
          </cell>
          <cell r="F1480">
            <v>1280</v>
          </cell>
        </row>
        <row r="1481">
          <cell r="A1481" t="str">
            <v>71300000-30011000-03020000</v>
          </cell>
          <cell r="B1481" t="str">
            <v>CUOTAS AL I.M.S.S.</v>
          </cell>
          <cell r="C1481">
            <v>2043.81</v>
          </cell>
          <cell r="D1481">
            <v>1846</v>
          </cell>
          <cell r="E1481">
            <v>0</v>
          </cell>
          <cell r="F1481">
            <v>3889.81</v>
          </cell>
        </row>
        <row r="1482">
          <cell r="A1482" t="str">
            <v>71300000-30011000-03040000</v>
          </cell>
          <cell r="B1482" t="str">
            <v>DESPENSA EN VALES</v>
          </cell>
          <cell r="C1482">
            <v>320</v>
          </cell>
          <cell r="D1482">
            <v>320</v>
          </cell>
          <cell r="E1482">
            <v>0</v>
          </cell>
          <cell r="F1482">
            <v>640</v>
          </cell>
        </row>
        <row r="1483">
          <cell r="A1483" t="str">
            <v>71300000-30011000-04010000</v>
          </cell>
          <cell r="B1483" t="str">
            <v>2.5% SOBRE NOMINAS</v>
          </cell>
          <cell r="C1483">
            <v>1675</v>
          </cell>
          <cell r="D1483">
            <v>640</v>
          </cell>
          <cell r="E1483">
            <v>0</v>
          </cell>
          <cell r="F1483">
            <v>2315</v>
          </cell>
        </row>
        <row r="1484">
          <cell r="A1484" t="str">
            <v>71300000-30011000-04020000</v>
          </cell>
          <cell r="B1484" t="str">
            <v>5% INFONAVIT</v>
          </cell>
          <cell r="C1484">
            <v>1425.57</v>
          </cell>
          <cell r="D1484">
            <v>1287.6099999999999</v>
          </cell>
          <cell r="E1484">
            <v>0</v>
          </cell>
          <cell r="F1484">
            <v>2713.18</v>
          </cell>
        </row>
        <row r="1485">
          <cell r="A1485" t="str">
            <v>71300000-30011000-04030000</v>
          </cell>
          <cell r="B1485" t="str">
            <v>2% S.A.R. / RETIRO</v>
          </cell>
          <cell r="C1485">
            <v>570.23</v>
          </cell>
          <cell r="D1485">
            <v>515.04</v>
          </cell>
          <cell r="E1485">
            <v>0</v>
          </cell>
          <cell r="F1485">
            <v>1085.27</v>
          </cell>
        </row>
        <row r="1486">
          <cell r="A1486" t="str">
            <v>71300000-30011000-04040000</v>
          </cell>
          <cell r="B1486" t="str">
            <v>CESANTIA Y VEJEZ</v>
          </cell>
          <cell r="C1486">
            <v>898.11</v>
          </cell>
          <cell r="D1486">
            <v>811.19</v>
          </cell>
          <cell r="E1486">
            <v>0</v>
          </cell>
          <cell r="F1486">
            <v>1709.3</v>
          </cell>
        </row>
        <row r="1487">
          <cell r="A1487" t="str">
            <v>71300000-30011000-15010000</v>
          </cell>
          <cell r="B1487" t="str">
            <v>MANT. AUTOMOVILES</v>
          </cell>
          <cell r="C1487">
            <v>0</v>
          </cell>
          <cell r="D1487">
            <v>587.41</v>
          </cell>
          <cell r="E1487">
            <v>0</v>
          </cell>
          <cell r="F1487">
            <v>587.41</v>
          </cell>
        </row>
        <row r="1488">
          <cell r="A1488" t="str">
            <v>71300000-30011000-16010000</v>
          </cell>
          <cell r="B1488" t="str">
            <v>PAPELERIA</v>
          </cell>
          <cell r="C1488">
            <v>0</v>
          </cell>
          <cell r="D1488">
            <v>140</v>
          </cell>
          <cell r="E1488">
            <v>0</v>
          </cell>
          <cell r="F1488">
            <v>140</v>
          </cell>
        </row>
        <row r="1489">
          <cell r="A1489" t="str">
            <v>71300000-30011000-18040000</v>
          </cell>
          <cell r="B1489" t="str">
            <v>GASTOS DE REPRESENTACION ALIME</v>
          </cell>
          <cell r="C1489">
            <v>1558.18</v>
          </cell>
          <cell r="D1489">
            <v>1727.6</v>
          </cell>
          <cell r="E1489">
            <v>0</v>
          </cell>
          <cell r="F1489">
            <v>3285.78</v>
          </cell>
        </row>
        <row r="1490">
          <cell r="A1490" t="str">
            <v>71300000-30011000-19030000</v>
          </cell>
          <cell r="B1490" t="str">
            <v>TELEFONOS CELULARES</v>
          </cell>
          <cell r="C1490">
            <v>0</v>
          </cell>
          <cell r="D1490">
            <v>1190.52</v>
          </cell>
          <cell r="E1490">
            <v>0</v>
          </cell>
          <cell r="F1490">
            <v>1190.52</v>
          </cell>
        </row>
        <row r="1491">
          <cell r="A1491" t="str">
            <v>71300000-30011000-20010000</v>
          </cell>
          <cell r="B1491" t="str">
            <v>COMBUSTIBLE AUTOMOVILES</v>
          </cell>
          <cell r="C1491">
            <v>1718.14</v>
          </cell>
          <cell r="D1491">
            <v>7388.33</v>
          </cell>
          <cell r="E1491">
            <v>0</v>
          </cell>
          <cell r="F1491">
            <v>9106.4699999999993</v>
          </cell>
        </row>
        <row r="1492">
          <cell r="A1492" t="str">
            <v>71300000-30011000-23130000</v>
          </cell>
          <cell r="B1492" t="str">
            <v>OTROS IMPUESTOS Y DERECHOS</v>
          </cell>
          <cell r="C1492">
            <v>843.39</v>
          </cell>
          <cell r="D1492">
            <v>1019.67</v>
          </cell>
          <cell r="E1492">
            <v>0</v>
          </cell>
          <cell r="F1492">
            <v>1863.06</v>
          </cell>
        </row>
        <row r="1493">
          <cell r="A1493" t="str">
            <v>71300000-30011000-35020000</v>
          </cell>
          <cell r="B1493" t="str">
            <v>DIVERSOS NO DEDUCIBLES</v>
          </cell>
          <cell r="C1493">
            <v>406</v>
          </cell>
          <cell r="D1493">
            <v>1096.5</v>
          </cell>
          <cell r="E1493">
            <v>0</v>
          </cell>
          <cell r="F1493">
            <v>1502.5</v>
          </cell>
        </row>
        <row r="1494">
          <cell r="A1494" t="str">
            <v>71300000-30011000-90030000</v>
          </cell>
          <cell r="B1494" t="str">
            <v>PROVISION AGUINALDO</v>
          </cell>
          <cell r="C1494">
            <v>644.45000000000005</v>
          </cell>
          <cell r="D1494">
            <v>644.45000000000005</v>
          </cell>
          <cell r="E1494">
            <v>0</v>
          </cell>
          <cell r="F1494">
            <v>1288.9000000000001</v>
          </cell>
        </row>
        <row r="1495">
          <cell r="A1495" t="str">
            <v>71300000-30011000-90040000</v>
          </cell>
          <cell r="B1495" t="str">
            <v>BOLETIN D-3</v>
          </cell>
          <cell r="C1495">
            <v>29.25</v>
          </cell>
          <cell r="D1495">
            <v>29.25</v>
          </cell>
          <cell r="E1495">
            <v>0</v>
          </cell>
          <cell r="F1495">
            <v>58.5</v>
          </cell>
        </row>
        <row r="1496">
          <cell r="A1496" t="str">
            <v>71300000-30012000-00000000</v>
          </cell>
          <cell r="B1496" t="str">
            <v>COSTOS/GTOS LAB FIJOS PRECOR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</row>
        <row r="1497">
          <cell r="A1497" t="str">
            <v>71300000-30013000-00000000</v>
          </cell>
          <cell r="B1497" t="str">
            <v>COSTOS/GASTOS FIJOS CANCUN</v>
          </cell>
          <cell r="C1497">
            <v>83569.149999999994</v>
          </cell>
          <cell r="D1497">
            <v>54370.11</v>
          </cell>
          <cell r="E1497">
            <v>0</v>
          </cell>
          <cell r="F1497">
            <v>137939.26</v>
          </cell>
        </row>
        <row r="1498">
          <cell r="A1498" t="str">
            <v>71300000-30013000-03040000</v>
          </cell>
          <cell r="B1498" t="str">
            <v>DESPENSAS EN VALES</v>
          </cell>
          <cell r="C1498">
            <v>0</v>
          </cell>
          <cell r="D1498">
            <v>360</v>
          </cell>
          <cell r="E1498">
            <v>0</v>
          </cell>
          <cell r="F1498">
            <v>360</v>
          </cell>
        </row>
        <row r="1499">
          <cell r="A1499" t="str">
            <v>71300000-30013000-05010000</v>
          </cell>
          <cell r="B1499" t="str">
            <v>SERV. PROFESIONALES EXTERNOS</v>
          </cell>
          <cell r="C1499">
            <v>11295.69</v>
          </cell>
          <cell r="D1499">
            <v>6186.28</v>
          </cell>
          <cell r="E1499">
            <v>0</v>
          </cell>
          <cell r="F1499">
            <v>17481.97</v>
          </cell>
        </row>
        <row r="1500">
          <cell r="A1500" t="str">
            <v>71300000-30013000-13030000</v>
          </cell>
          <cell r="B1500" t="str">
            <v>ARRENDAMIENTO INMUEBLES SOCIED</v>
          </cell>
          <cell r="C1500">
            <v>26800</v>
          </cell>
          <cell r="D1500">
            <v>26800</v>
          </cell>
          <cell r="E1500">
            <v>0</v>
          </cell>
          <cell r="F1500">
            <v>53600</v>
          </cell>
        </row>
        <row r="1501">
          <cell r="A1501" t="str">
            <v>71300000-30013000-15010000</v>
          </cell>
          <cell r="B1501" t="str">
            <v>MANT. AUTOMOVILES</v>
          </cell>
          <cell r="C1501">
            <v>644</v>
          </cell>
          <cell r="D1501">
            <v>2124.3200000000002</v>
          </cell>
          <cell r="E1501">
            <v>0</v>
          </cell>
          <cell r="F1501">
            <v>2768.32</v>
          </cell>
        </row>
        <row r="1502">
          <cell r="A1502" t="str">
            <v>71300000-30013000-15090000</v>
          </cell>
          <cell r="B1502" t="str">
            <v>MANTTO A TIENDAS</v>
          </cell>
          <cell r="C1502">
            <v>13600</v>
          </cell>
          <cell r="D1502">
            <v>8169</v>
          </cell>
          <cell r="E1502">
            <v>0</v>
          </cell>
          <cell r="F1502">
            <v>21769</v>
          </cell>
        </row>
        <row r="1503">
          <cell r="A1503" t="str">
            <v>71300000-30013000-16010000</v>
          </cell>
          <cell r="B1503" t="str">
            <v>PAPELERIA</v>
          </cell>
          <cell r="C1503">
            <v>444.14</v>
          </cell>
          <cell r="D1503">
            <v>301.26</v>
          </cell>
          <cell r="E1503">
            <v>0</v>
          </cell>
          <cell r="F1503">
            <v>745.4</v>
          </cell>
        </row>
        <row r="1504">
          <cell r="A1504" t="str">
            <v>71300000-30013000-18030000</v>
          </cell>
          <cell r="B1504" t="str">
            <v>GASTOS DE REPRESENTACION TRANS</v>
          </cell>
          <cell r="C1504">
            <v>1446.65</v>
          </cell>
          <cell r="D1504">
            <v>0</v>
          </cell>
          <cell r="E1504">
            <v>0</v>
          </cell>
          <cell r="F1504">
            <v>1446.65</v>
          </cell>
        </row>
        <row r="1505">
          <cell r="A1505" t="str">
            <v>71300000-30013000-18040000</v>
          </cell>
          <cell r="B1505" t="str">
            <v>GASTOS DE REPRESENTACION ALIME</v>
          </cell>
          <cell r="C1505">
            <v>5150.74</v>
          </cell>
          <cell r="D1505">
            <v>0</v>
          </cell>
          <cell r="E1505">
            <v>0</v>
          </cell>
          <cell r="F1505">
            <v>5150.74</v>
          </cell>
        </row>
        <row r="1506">
          <cell r="A1506" t="str">
            <v>71300000-30013000-19030000</v>
          </cell>
          <cell r="B1506" t="str">
            <v>TELEFONOS CELULARES</v>
          </cell>
          <cell r="C1506">
            <v>0</v>
          </cell>
          <cell r="D1506">
            <v>2016.07</v>
          </cell>
          <cell r="E1506">
            <v>0</v>
          </cell>
          <cell r="F1506">
            <v>2016.07</v>
          </cell>
        </row>
        <row r="1507">
          <cell r="A1507" t="str">
            <v>71300000-30013000-19070000</v>
          </cell>
          <cell r="B1507" t="str">
            <v>MENSAJERIA ESPECIALIZADA</v>
          </cell>
          <cell r="C1507">
            <v>143.25</v>
          </cell>
          <cell r="D1507">
            <v>285.82</v>
          </cell>
          <cell r="E1507">
            <v>0</v>
          </cell>
          <cell r="F1507">
            <v>429.07</v>
          </cell>
        </row>
        <row r="1508">
          <cell r="A1508" t="str">
            <v>71300000-30013000-20010000</v>
          </cell>
          <cell r="B1508" t="str">
            <v>COMBUSTIBLE AUTOMOVILES</v>
          </cell>
          <cell r="C1508">
            <v>1076.3</v>
          </cell>
          <cell r="D1508">
            <v>1244.07</v>
          </cell>
          <cell r="E1508">
            <v>0</v>
          </cell>
          <cell r="F1508">
            <v>2320.37</v>
          </cell>
        </row>
        <row r="1509">
          <cell r="A1509" t="str">
            <v>71300000-30013000-23010000</v>
          </cell>
          <cell r="B1509" t="str">
            <v>RECOLECCION DE BASURA</v>
          </cell>
          <cell r="C1509">
            <v>6040</v>
          </cell>
          <cell r="D1509">
            <v>0</v>
          </cell>
          <cell r="E1509">
            <v>0</v>
          </cell>
          <cell r="F1509">
            <v>6040</v>
          </cell>
        </row>
        <row r="1510">
          <cell r="A1510" t="str">
            <v>71300000-30013000-23120000</v>
          </cell>
          <cell r="B1510" t="str">
            <v>DIVERSOS</v>
          </cell>
          <cell r="C1510">
            <v>4539.1499999999996</v>
          </cell>
          <cell r="D1510">
            <v>558.5</v>
          </cell>
          <cell r="E1510">
            <v>0</v>
          </cell>
          <cell r="F1510">
            <v>5097.6499999999996</v>
          </cell>
        </row>
        <row r="1511">
          <cell r="A1511" t="str">
            <v>71300000-30013000-23130000</v>
          </cell>
          <cell r="B1511" t="str">
            <v>OTROS IMPUESTOS Y DERECHOS</v>
          </cell>
          <cell r="C1511">
            <v>1291.8499999999999</v>
          </cell>
          <cell r="D1511">
            <v>1138</v>
          </cell>
          <cell r="E1511">
            <v>0</v>
          </cell>
          <cell r="F1511">
            <v>2429.85</v>
          </cell>
        </row>
        <row r="1512">
          <cell r="A1512" t="str">
            <v>71300000-30013000-23140000</v>
          </cell>
          <cell r="B1512" t="str">
            <v>FLETES Y ACARREOS</v>
          </cell>
          <cell r="C1512">
            <v>9215.6200000000008</v>
          </cell>
          <cell r="D1512">
            <v>4746.79</v>
          </cell>
          <cell r="E1512">
            <v>0</v>
          </cell>
          <cell r="F1512">
            <v>13962.41</v>
          </cell>
        </row>
        <row r="1513">
          <cell r="A1513" t="str">
            <v>71300000-30013000-23150000</v>
          </cell>
          <cell r="B1513" t="str">
            <v>ASEO LIMPIEZA E IMPLEMENTOS</v>
          </cell>
          <cell r="C1513">
            <v>260.76</v>
          </cell>
          <cell r="D1513">
            <v>0</v>
          </cell>
          <cell r="E1513">
            <v>0</v>
          </cell>
          <cell r="F1513">
            <v>260.76</v>
          </cell>
        </row>
        <row r="1514">
          <cell r="A1514" t="str">
            <v>71300000-30013000-35020000</v>
          </cell>
          <cell r="B1514" t="str">
            <v>DIVERSOS NO DEDUCIBLES</v>
          </cell>
          <cell r="C1514">
            <v>1621</v>
          </cell>
          <cell r="D1514">
            <v>440</v>
          </cell>
          <cell r="E1514">
            <v>0</v>
          </cell>
          <cell r="F1514">
            <v>2061</v>
          </cell>
        </row>
        <row r="1515">
          <cell r="A1515" t="str">
            <v>71300000-30014000-00000000</v>
          </cell>
          <cell r="B1515" t="str">
            <v>COSTOS/GASTOS FIJOS G. FORANEA</v>
          </cell>
          <cell r="C1515">
            <v>814.8</v>
          </cell>
          <cell r="D1515">
            <v>0</v>
          </cell>
          <cell r="E1515">
            <v>0</v>
          </cell>
          <cell r="F1515">
            <v>814.8</v>
          </cell>
        </row>
        <row r="1516">
          <cell r="A1516" t="str">
            <v>71300000-30014000-05010000</v>
          </cell>
          <cell r="B1516" t="str">
            <v>SERV. PROFESIONALES EXTERNOS</v>
          </cell>
          <cell r="C1516">
            <v>814.8</v>
          </cell>
          <cell r="D1516">
            <v>0</v>
          </cell>
          <cell r="E1516">
            <v>0</v>
          </cell>
          <cell r="F1516">
            <v>814.8</v>
          </cell>
        </row>
        <row r="1517">
          <cell r="A1517" t="str">
            <v>71300000-30015000-00000000</v>
          </cell>
          <cell r="B1517" t="str">
            <v>COSTOS/GASTOS FIJOS T AGRICULT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</row>
        <row r="1518">
          <cell r="A1518" t="str">
            <v>71300000-30016000-00000000</v>
          </cell>
          <cell r="B1518" t="str">
            <v>COSTOS/GASTOS FIJOS T IZTAPALA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</row>
        <row r="1519">
          <cell r="A1519" t="str">
            <v>71300000-30017000-00000000</v>
          </cell>
          <cell r="B1519" t="str">
            <v>COSTOS/GASTOS FIJOS T JALISCO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</row>
        <row r="1520">
          <cell r="A1520" t="str">
            <v>71300000-30018000-00000000</v>
          </cell>
          <cell r="B1520" t="str">
            <v>COSTOS/GASTOS FIJOS T ACOXPA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</row>
        <row r="1521">
          <cell r="A1521" t="str">
            <v>71300000-30019000-00000000</v>
          </cell>
          <cell r="B1521" t="str">
            <v>COSTOS/GASTOS FIJOS T DIV NTE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</row>
        <row r="1522">
          <cell r="A1522" t="str">
            <v>71300000-30020000-00000000</v>
          </cell>
          <cell r="B1522" t="str">
            <v>COSTOS/GASTOS FIJOS T PORTALES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</row>
        <row r="1523">
          <cell r="A1523" t="str">
            <v>71300000-30021000-00000000</v>
          </cell>
          <cell r="B1523" t="str">
            <v>COSTOS/GASTOS FIJOS T CUAJIMAL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</row>
        <row r="1524">
          <cell r="A1524" t="str">
            <v>71300000-30022000-00000000</v>
          </cell>
          <cell r="B1524" t="str">
            <v>COSTOS/GASTOS FIJOS T ECATEPEC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</row>
        <row r="1525">
          <cell r="A1525" t="str">
            <v>71300000-30023000-00000000</v>
          </cell>
          <cell r="B1525" t="str">
            <v>COSTOS/GASTOS FIJOS COACALCO 1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</row>
        <row r="1526">
          <cell r="A1526" t="str">
            <v>71300000-30024000-00000000</v>
          </cell>
          <cell r="B1526" t="str">
            <v>COSTOS/GASTOS FIJOS COACALCO 2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</row>
        <row r="1527">
          <cell r="A1527" t="str">
            <v>71300000-30025000-00000000</v>
          </cell>
          <cell r="B1527" t="str">
            <v>COSTOS/GASTOS FIJOS OCCIDENT 2</v>
          </cell>
          <cell r="C1527">
            <v>18672.669999999998</v>
          </cell>
          <cell r="D1527">
            <v>23206.46</v>
          </cell>
          <cell r="E1527">
            <v>0</v>
          </cell>
          <cell r="F1527">
            <v>41879.129999999997</v>
          </cell>
        </row>
        <row r="1528">
          <cell r="A1528" t="str">
            <v>71300000-30025000-05010000</v>
          </cell>
          <cell r="B1528" t="str">
            <v>SERV. PROFESIONALES EXTERNOS</v>
          </cell>
          <cell r="C1528">
            <v>10796.73</v>
          </cell>
          <cell r="D1528">
            <v>6410.14</v>
          </cell>
          <cell r="E1528">
            <v>0</v>
          </cell>
          <cell r="F1528">
            <v>17206.87</v>
          </cell>
        </row>
        <row r="1529">
          <cell r="A1529" t="str">
            <v>71300000-30025000-12010000</v>
          </cell>
          <cell r="B1529" t="str">
            <v>ARREND. AUTOMOVILES</v>
          </cell>
          <cell r="C1529">
            <v>2053.69</v>
          </cell>
          <cell r="D1529">
            <v>2053.69</v>
          </cell>
          <cell r="E1529">
            <v>0</v>
          </cell>
          <cell r="F1529">
            <v>4107.38</v>
          </cell>
        </row>
        <row r="1530">
          <cell r="A1530" t="str">
            <v>71300000-30025000-15010000</v>
          </cell>
          <cell r="B1530" t="str">
            <v>MANT. AUTOMOVILES</v>
          </cell>
          <cell r="C1530">
            <v>3217.03</v>
          </cell>
          <cell r="D1530">
            <v>0</v>
          </cell>
          <cell r="E1530">
            <v>0</v>
          </cell>
          <cell r="F1530">
            <v>3217.03</v>
          </cell>
        </row>
        <row r="1531">
          <cell r="A1531" t="str">
            <v>71300000-30025000-16010000</v>
          </cell>
          <cell r="B1531" t="str">
            <v>PAPELERIA</v>
          </cell>
          <cell r="C1531">
            <v>0</v>
          </cell>
          <cell r="D1531">
            <v>140</v>
          </cell>
          <cell r="E1531">
            <v>0</v>
          </cell>
          <cell r="F1531">
            <v>140</v>
          </cell>
        </row>
        <row r="1532">
          <cell r="A1532" t="str">
            <v>71300000-30025000-18040000</v>
          </cell>
          <cell r="B1532" t="str">
            <v>GASTOS DE REPRESENTACION ALIME</v>
          </cell>
          <cell r="C1532">
            <v>0</v>
          </cell>
          <cell r="D1532">
            <v>4622.8999999999996</v>
          </cell>
          <cell r="E1532">
            <v>0</v>
          </cell>
          <cell r="F1532">
            <v>4622.8999999999996</v>
          </cell>
        </row>
        <row r="1533">
          <cell r="A1533" t="str">
            <v>71300000-30025000-19030000</v>
          </cell>
          <cell r="B1533" t="str">
            <v>TELEFONOS CELULARES</v>
          </cell>
          <cell r="C1533">
            <v>0</v>
          </cell>
          <cell r="D1533">
            <v>1262.06</v>
          </cell>
          <cell r="E1533">
            <v>0</v>
          </cell>
          <cell r="F1533">
            <v>1262.06</v>
          </cell>
        </row>
        <row r="1534">
          <cell r="A1534" t="str">
            <v>71300000-30025000-19070000</v>
          </cell>
          <cell r="B1534" t="str">
            <v>MENSAJERIA ESPECIALIZADA</v>
          </cell>
          <cell r="C1534">
            <v>0</v>
          </cell>
          <cell r="D1534">
            <v>267.81</v>
          </cell>
          <cell r="E1534">
            <v>0</v>
          </cell>
          <cell r="F1534">
            <v>267.81</v>
          </cell>
        </row>
        <row r="1535">
          <cell r="A1535" t="str">
            <v>71300000-30025000-20010000</v>
          </cell>
          <cell r="B1535" t="str">
            <v>COMBUSTIBLE AUTOMOVILES</v>
          </cell>
          <cell r="C1535">
            <v>2605.2199999999998</v>
          </cell>
          <cell r="D1535">
            <v>3293.49</v>
          </cell>
          <cell r="E1535">
            <v>0</v>
          </cell>
          <cell r="F1535">
            <v>5898.71</v>
          </cell>
        </row>
        <row r="1536">
          <cell r="A1536" t="str">
            <v>71300000-30025000-23120000</v>
          </cell>
          <cell r="B1536" t="str">
            <v>DIVERSOS</v>
          </cell>
          <cell r="C1536">
            <v>0</v>
          </cell>
          <cell r="D1536">
            <v>48.15</v>
          </cell>
          <cell r="E1536">
            <v>0</v>
          </cell>
          <cell r="F1536">
            <v>48.15</v>
          </cell>
        </row>
        <row r="1537">
          <cell r="A1537" t="str">
            <v>71300000-30025000-23130000</v>
          </cell>
          <cell r="B1537" t="str">
            <v>OTROS IMPUESTOS Y DERECHOS</v>
          </cell>
          <cell r="C1537">
            <v>0</v>
          </cell>
          <cell r="D1537">
            <v>2386.7199999999998</v>
          </cell>
          <cell r="E1537">
            <v>0</v>
          </cell>
          <cell r="F1537">
            <v>2386.7199999999998</v>
          </cell>
        </row>
        <row r="1538">
          <cell r="A1538" t="str">
            <v>71300000-30025000-35020000</v>
          </cell>
          <cell r="B1538" t="str">
            <v>DIVERSOS NO DEDUCIBLES</v>
          </cell>
          <cell r="C1538">
            <v>0</v>
          </cell>
          <cell r="D1538">
            <v>2721.5</v>
          </cell>
          <cell r="E1538">
            <v>0</v>
          </cell>
          <cell r="F1538">
            <v>2721.5</v>
          </cell>
        </row>
        <row r="1539">
          <cell r="A1539" t="str">
            <v>71300000-30026000-00000000</v>
          </cell>
          <cell r="B1539" t="str">
            <v>COSTOS/GASTOS FIJOS DF 2</v>
          </cell>
          <cell r="C1539">
            <v>15215.33</v>
          </cell>
          <cell r="D1539">
            <v>14982.87</v>
          </cell>
          <cell r="E1539">
            <v>0</v>
          </cell>
          <cell r="F1539">
            <v>30198.199999999997</v>
          </cell>
        </row>
        <row r="1540">
          <cell r="A1540" t="str">
            <v>71300000-30026000-05010000</v>
          </cell>
          <cell r="B1540" t="str">
            <v>SERV. PROFESIONALES EXTERNOS</v>
          </cell>
          <cell r="C1540">
            <v>12293.28</v>
          </cell>
          <cell r="D1540">
            <v>8453.07</v>
          </cell>
          <cell r="E1540">
            <v>0</v>
          </cell>
          <cell r="F1540">
            <v>20746.349999999999</v>
          </cell>
        </row>
        <row r="1541">
          <cell r="A1541" t="str">
            <v>71300000-30026000-12010000</v>
          </cell>
          <cell r="B1541" t="str">
            <v>ARREND. AUTOMOVILES</v>
          </cell>
          <cell r="C1541">
            <v>2053.7199999999998</v>
          </cell>
          <cell r="D1541">
            <v>2053.7199999999998</v>
          </cell>
          <cell r="E1541">
            <v>0</v>
          </cell>
          <cell r="F1541">
            <v>4107.4399999999996</v>
          </cell>
        </row>
        <row r="1542">
          <cell r="A1542" t="str">
            <v>71300000-30026000-15010000</v>
          </cell>
          <cell r="B1542" t="str">
            <v>MANT. AUTOMOVILES</v>
          </cell>
          <cell r="C1542">
            <v>0</v>
          </cell>
          <cell r="D1542">
            <v>2525.5700000000002</v>
          </cell>
          <cell r="E1542">
            <v>0</v>
          </cell>
          <cell r="F1542">
            <v>2525.5700000000002</v>
          </cell>
        </row>
        <row r="1543">
          <cell r="A1543" t="str">
            <v>71300000-30026000-19030000</v>
          </cell>
          <cell r="B1543" t="str">
            <v>TELEFONOS CELULARES</v>
          </cell>
          <cell r="C1543">
            <v>0</v>
          </cell>
          <cell r="D1543">
            <v>929.27</v>
          </cell>
          <cell r="E1543">
            <v>0</v>
          </cell>
          <cell r="F1543">
            <v>929.27</v>
          </cell>
        </row>
        <row r="1544">
          <cell r="A1544" t="str">
            <v>71300000-30026000-20010000</v>
          </cell>
          <cell r="B1544" t="str">
            <v>COMBUSTIBLE AUTOMOVILES</v>
          </cell>
          <cell r="C1544">
            <v>868.33</v>
          </cell>
          <cell r="D1544">
            <v>1021.24</v>
          </cell>
          <cell r="E1544">
            <v>0</v>
          </cell>
          <cell r="F1544">
            <v>1889.57</v>
          </cell>
        </row>
        <row r="1545">
          <cell r="A1545" t="str">
            <v>71300000-30027000-00000000</v>
          </cell>
          <cell r="B1545" t="str">
            <v>COSTOS/GASTOS FIJOS DF 3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</row>
        <row r="1546">
          <cell r="A1546" t="str">
            <v>71300000-30028000-00000000</v>
          </cell>
          <cell r="B1546" t="str">
            <v>COSTOS/GASTOS FIJOS DF 4</v>
          </cell>
          <cell r="C1546">
            <v>8416.4599999999991</v>
          </cell>
          <cell r="D1546">
            <v>5601.34</v>
          </cell>
          <cell r="E1546">
            <v>0</v>
          </cell>
          <cell r="F1546">
            <v>14017.8</v>
          </cell>
        </row>
        <row r="1547">
          <cell r="A1547" t="str">
            <v>71300000-30028000-03010000</v>
          </cell>
          <cell r="B1547" t="str">
            <v>FONDO DE AHORRO</v>
          </cell>
          <cell r="C1547">
            <v>512</v>
          </cell>
          <cell r="D1547">
            <v>454.08</v>
          </cell>
          <cell r="E1547">
            <v>0</v>
          </cell>
          <cell r="F1547">
            <v>966.08</v>
          </cell>
        </row>
        <row r="1548">
          <cell r="A1548" t="str">
            <v>71300000-30028000-03020000</v>
          </cell>
          <cell r="B1548" t="str">
            <v>CUOTAS AL I.M.S.S.</v>
          </cell>
          <cell r="C1548">
            <v>1195.83</v>
          </cell>
          <cell r="D1548">
            <v>1092.28</v>
          </cell>
          <cell r="E1548">
            <v>0</v>
          </cell>
          <cell r="F1548">
            <v>2288.11</v>
          </cell>
        </row>
        <row r="1549">
          <cell r="A1549" t="str">
            <v>71300000-30028000-03040000</v>
          </cell>
          <cell r="B1549" t="str">
            <v>DESPENSA EN VALES</v>
          </cell>
          <cell r="C1549">
            <v>248</v>
          </cell>
          <cell r="D1549">
            <v>264</v>
          </cell>
          <cell r="E1549">
            <v>0</v>
          </cell>
          <cell r="F1549">
            <v>512</v>
          </cell>
        </row>
        <row r="1550">
          <cell r="A1550" t="str">
            <v>71300000-30028000-04010000</v>
          </cell>
          <cell r="B1550" t="str">
            <v>2.5% SOBRE NOMINAS</v>
          </cell>
          <cell r="C1550">
            <v>1048</v>
          </cell>
          <cell r="D1550">
            <v>281</v>
          </cell>
          <cell r="E1550">
            <v>0</v>
          </cell>
          <cell r="F1550">
            <v>1329</v>
          </cell>
        </row>
        <row r="1551">
          <cell r="A1551" t="str">
            <v>71300000-30028000-04020000</v>
          </cell>
          <cell r="B1551" t="str">
            <v>5% INFONAVIT</v>
          </cell>
          <cell r="C1551">
            <v>730.52</v>
          </cell>
          <cell r="D1551">
            <v>669.79</v>
          </cell>
          <cell r="E1551">
            <v>0</v>
          </cell>
          <cell r="F1551">
            <v>1400.31</v>
          </cell>
        </row>
        <row r="1552">
          <cell r="A1552" t="str">
            <v>71300000-30028000-04030000</v>
          </cell>
          <cell r="B1552" t="str">
            <v>2% S.A.R. / RETIRO</v>
          </cell>
          <cell r="C1552">
            <v>292.2</v>
          </cell>
          <cell r="D1552">
            <v>267.92</v>
          </cell>
          <cell r="E1552">
            <v>0</v>
          </cell>
          <cell r="F1552">
            <v>560.12</v>
          </cell>
        </row>
        <row r="1553">
          <cell r="A1553" t="str">
            <v>71300000-30028000-04040000</v>
          </cell>
          <cell r="B1553" t="str">
            <v>CESANTIA Y VEJEZ</v>
          </cell>
          <cell r="C1553">
            <v>460.22</v>
          </cell>
          <cell r="D1553">
            <v>421.97</v>
          </cell>
          <cell r="E1553">
            <v>0</v>
          </cell>
          <cell r="F1553">
            <v>882.19</v>
          </cell>
        </row>
        <row r="1554">
          <cell r="A1554" t="str">
            <v>71300000-30028000-15090000</v>
          </cell>
          <cell r="B1554" t="str">
            <v>MANTTO A TIENDAS</v>
          </cell>
          <cell r="C1554">
            <v>1800</v>
          </cell>
          <cell r="D1554">
            <v>0</v>
          </cell>
          <cell r="E1554">
            <v>0</v>
          </cell>
          <cell r="F1554">
            <v>1800</v>
          </cell>
        </row>
        <row r="1555">
          <cell r="A1555" t="str">
            <v>71300000-30028000-19030000</v>
          </cell>
          <cell r="B1555" t="str">
            <v>TELEFONOS CELULARES</v>
          </cell>
          <cell r="C1555">
            <v>0</v>
          </cell>
          <cell r="D1555">
            <v>444.66</v>
          </cell>
          <cell r="E1555">
            <v>0</v>
          </cell>
          <cell r="F1555">
            <v>444.66</v>
          </cell>
        </row>
        <row r="1556">
          <cell r="A1556" t="str">
            <v>71300000-30028000-20010000</v>
          </cell>
          <cell r="B1556" t="str">
            <v>COMBUSTIBLE AUTOMOVILES</v>
          </cell>
          <cell r="C1556">
            <v>1225.52</v>
          </cell>
          <cell r="D1556">
            <v>1115.47</v>
          </cell>
          <cell r="E1556">
            <v>0</v>
          </cell>
          <cell r="F1556">
            <v>2340.9899999999998</v>
          </cell>
        </row>
        <row r="1557">
          <cell r="A1557" t="str">
            <v>71300000-30028000-35020000</v>
          </cell>
          <cell r="B1557" t="str">
            <v>DIVERSOS NO DEDUCIBLES</v>
          </cell>
          <cell r="C1557">
            <v>314</v>
          </cell>
          <cell r="D1557">
            <v>0</v>
          </cell>
          <cell r="E1557">
            <v>0</v>
          </cell>
          <cell r="F1557">
            <v>314</v>
          </cell>
        </row>
        <row r="1558">
          <cell r="A1558" t="str">
            <v>71300000-30028000-90030000</v>
          </cell>
          <cell r="B1558" t="str">
            <v>PROVISION AGUINALDO</v>
          </cell>
          <cell r="C1558">
            <v>531.66999999999996</v>
          </cell>
          <cell r="D1558">
            <v>531.66999999999996</v>
          </cell>
          <cell r="E1558">
            <v>0</v>
          </cell>
          <cell r="F1558">
            <v>1063.3399999999999</v>
          </cell>
        </row>
        <row r="1559">
          <cell r="A1559" t="str">
            <v>71300000-30028000-90040000</v>
          </cell>
          <cell r="B1559" t="str">
            <v>BOLETIN D-3</v>
          </cell>
          <cell r="C1559">
            <v>58.5</v>
          </cell>
          <cell r="D1559">
            <v>58.5</v>
          </cell>
          <cell r="E1559">
            <v>0</v>
          </cell>
          <cell r="F1559">
            <v>117</v>
          </cell>
        </row>
        <row r="1560">
          <cell r="A1560" t="str">
            <v>71300000-30029000-00000000</v>
          </cell>
          <cell r="B1560" t="str">
            <v>COSTOS/GASTOS FIJOS DF 5</v>
          </cell>
          <cell r="C1560">
            <v>11661.39</v>
          </cell>
          <cell r="D1560">
            <v>8710.44</v>
          </cell>
          <cell r="E1560">
            <v>0</v>
          </cell>
          <cell r="F1560">
            <v>20371.830000000002</v>
          </cell>
        </row>
        <row r="1561">
          <cell r="A1561" t="str">
            <v>71300000-30029000-05010000</v>
          </cell>
          <cell r="B1561" t="str">
            <v>SERV. PROFESIONALES EXTERNOS</v>
          </cell>
          <cell r="C1561">
            <v>9001.4</v>
          </cell>
          <cell r="D1561">
            <v>7652.17</v>
          </cell>
          <cell r="E1561">
            <v>0</v>
          </cell>
          <cell r="F1561">
            <v>16653.57</v>
          </cell>
        </row>
        <row r="1562">
          <cell r="A1562" t="str">
            <v>71300000-30029000-15010000</v>
          </cell>
          <cell r="B1562" t="str">
            <v>MANT. AUTOMOVILES</v>
          </cell>
          <cell r="C1562">
            <v>1637.93</v>
          </cell>
          <cell r="D1562">
            <v>0</v>
          </cell>
          <cell r="E1562">
            <v>0</v>
          </cell>
          <cell r="F1562">
            <v>1637.93</v>
          </cell>
        </row>
        <row r="1563">
          <cell r="A1563" t="str">
            <v>71300000-30029000-20010000</v>
          </cell>
          <cell r="B1563" t="str">
            <v>COMBUSTIBLE AUTOMOVILES</v>
          </cell>
          <cell r="C1563">
            <v>1022.06</v>
          </cell>
          <cell r="D1563">
            <v>1058.27</v>
          </cell>
          <cell r="E1563">
            <v>0</v>
          </cell>
          <cell r="F1563">
            <v>2080.33</v>
          </cell>
        </row>
        <row r="1564">
          <cell r="A1564" t="str">
            <v>71400000-00000000-00000000</v>
          </cell>
          <cell r="B1564" t="str">
            <v>COSTOS/GASTOS FIJOS MKT</v>
          </cell>
          <cell r="C1564">
            <v>251215.93</v>
          </cell>
          <cell r="D1564">
            <v>273063.06</v>
          </cell>
          <cell r="E1564">
            <v>0</v>
          </cell>
          <cell r="F1564">
            <v>524278.99</v>
          </cell>
        </row>
        <row r="1565">
          <cell r="F1565">
            <v>524278.99</v>
          </cell>
        </row>
        <row r="1566">
          <cell r="A1566" t="str">
            <v>71400000-40000000-00000000</v>
          </cell>
          <cell r="B1566" t="str">
            <v>COSTOS/GASTOS FIJOS MKT GRAL.</v>
          </cell>
          <cell r="C1566">
            <v>251215.93</v>
          </cell>
          <cell r="D1566">
            <v>273063.06</v>
          </cell>
          <cell r="E1566">
            <v>0</v>
          </cell>
        </row>
        <row r="1567">
          <cell r="A1567" t="str">
            <v>71400000-40001000-00000000</v>
          </cell>
          <cell r="B1567" t="str">
            <v>COSTOS/GASTOS FIJOS MKT GRAL</v>
          </cell>
          <cell r="C1567">
            <v>76084.210000000006</v>
          </cell>
          <cell r="D1567">
            <v>77017.94</v>
          </cell>
          <cell r="E1567">
            <v>0</v>
          </cell>
          <cell r="F1567">
            <v>153102.15</v>
          </cell>
        </row>
        <row r="1568">
          <cell r="A1568" t="str">
            <v>71400000-40001000-01010000</v>
          </cell>
          <cell r="B1568" t="str">
            <v>SUELDOS Y SALARIOS</v>
          </cell>
          <cell r="C1568">
            <v>32160</v>
          </cell>
          <cell r="D1568">
            <v>31160</v>
          </cell>
          <cell r="E1568">
            <v>0</v>
          </cell>
          <cell r="F1568">
            <v>63320</v>
          </cell>
        </row>
        <row r="1569">
          <cell r="A1569" t="str">
            <v>71400000-40001000-01030000</v>
          </cell>
          <cell r="B1569" t="str">
            <v>GRATIFICACIONES</v>
          </cell>
          <cell r="C1569">
            <v>1440</v>
          </cell>
          <cell r="D1569">
            <v>2040</v>
          </cell>
          <cell r="E1569">
            <v>0</v>
          </cell>
          <cell r="F1569">
            <v>3480</v>
          </cell>
        </row>
        <row r="1570">
          <cell r="A1570" t="str">
            <v>71400000-40001000-01040000</v>
          </cell>
          <cell r="B1570" t="str">
            <v>VACACIONES</v>
          </cell>
          <cell r="C1570">
            <v>1072</v>
          </cell>
          <cell r="D1570">
            <v>0</v>
          </cell>
          <cell r="E1570">
            <v>0</v>
          </cell>
          <cell r="F1570">
            <v>1072</v>
          </cell>
        </row>
        <row r="1571">
          <cell r="A1571" t="str">
            <v>71400000-40001000-01050000</v>
          </cell>
          <cell r="B1571" t="str">
            <v>PRIMA VACACIONAL</v>
          </cell>
          <cell r="C1571">
            <v>696.8</v>
          </cell>
          <cell r="D1571">
            <v>0</v>
          </cell>
          <cell r="E1571">
            <v>0</v>
          </cell>
          <cell r="F1571">
            <v>696.8</v>
          </cell>
        </row>
        <row r="1572">
          <cell r="A1572" t="str">
            <v>71400000-40001000-03010000</v>
          </cell>
          <cell r="B1572" t="str">
            <v>FONDO DE AHORRO</v>
          </cell>
          <cell r="C1572">
            <v>2240.9699999999998</v>
          </cell>
          <cell r="D1572">
            <v>2091.54</v>
          </cell>
          <cell r="E1572">
            <v>0</v>
          </cell>
          <cell r="F1572">
            <v>4332.51</v>
          </cell>
        </row>
        <row r="1573">
          <cell r="A1573" t="str">
            <v>71400000-40001000-03020000</v>
          </cell>
          <cell r="B1573" t="str">
            <v>CUOTAS AL I.M.S.S.</v>
          </cell>
          <cell r="C1573">
            <v>3021.02</v>
          </cell>
          <cell r="D1573">
            <v>2728.66</v>
          </cell>
          <cell r="E1573">
            <v>0</v>
          </cell>
          <cell r="F1573">
            <v>5749.68</v>
          </cell>
        </row>
        <row r="1574">
          <cell r="A1574" t="str">
            <v>71400000-40001000-03040000</v>
          </cell>
          <cell r="B1574" t="str">
            <v>DESPENSA EN VALES</v>
          </cell>
          <cell r="C1574">
            <v>1608</v>
          </cell>
          <cell r="D1574">
            <v>1608</v>
          </cell>
          <cell r="E1574">
            <v>0</v>
          </cell>
          <cell r="F1574">
            <v>3216</v>
          </cell>
        </row>
        <row r="1575">
          <cell r="A1575" t="str">
            <v>71400000-40001000-04010000</v>
          </cell>
          <cell r="B1575" t="str">
            <v>2.5% SOBRE NOMINAS</v>
          </cell>
          <cell r="C1575">
            <v>1171</v>
          </cell>
          <cell r="D1575">
            <v>1099</v>
          </cell>
          <cell r="E1575">
            <v>0</v>
          </cell>
          <cell r="F1575">
            <v>2270</v>
          </cell>
        </row>
        <row r="1576">
          <cell r="A1576" t="str">
            <v>71400000-40001000-04020000</v>
          </cell>
          <cell r="B1576" t="str">
            <v>5% INFONAVIT</v>
          </cell>
          <cell r="C1576">
            <v>2226.58</v>
          </cell>
          <cell r="D1576">
            <v>2011.11</v>
          </cell>
          <cell r="E1576">
            <v>0</v>
          </cell>
          <cell r="F1576">
            <v>4237.6899999999996</v>
          </cell>
        </row>
        <row r="1577">
          <cell r="A1577" t="str">
            <v>71400000-40001000-04030000</v>
          </cell>
          <cell r="B1577" t="str">
            <v>2% S.A.R. / RETIRO</v>
          </cell>
          <cell r="C1577">
            <v>890.63</v>
          </cell>
          <cell r="D1577">
            <v>804.44</v>
          </cell>
          <cell r="E1577">
            <v>0</v>
          </cell>
          <cell r="F1577">
            <v>1695.07</v>
          </cell>
        </row>
        <row r="1578">
          <cell r="A1578" t="str">
            <v>71400000-40001000-04040000</v>
          </cell>
          <cell r="B1578" t="str">
            <v>CESANTIA Y VEJEZ</v>
          </cell>
          <cell r="C1578">
            <v>1402.74</v>
          </cell>
          <cell r="D1578">
            <v>1267</v>
          </cell>
          <cell r="E1578">
            <v>0</v>
          </cell>
          <cell r="F1578">
            <v>2669.74</v>
          </cell>
        </row>
        <row r="1579">
          <cell r="A1579" t="str">
            <v>71400000-40001000-14010000</v>
          </cell>
          <cell r="B1579" t="str">
            <v>SEG. AUTOMOVILES</v>
          </cell>
          <cell r="C1579">
            <v>2332.39</v>
          </cell>
          <cell r="D1579">
            <v>582.71</v>
          </cell>
          <cell r="E1579">
            <v>0</v>
          </cell>
          <cell r="F1579">
            <v>2915.1</v>
          </cell>
        </row>
        <row r="1580">
          <cell r="A1580" t="str">
            <v>71400000-40001000-14040000</v>
          </cell>
          <cell r="B1580" t="str">
            <v>VIDA</v>
          </cell>
          <cell r="C1580">
            <v>393.76</v>
          </cell>
          <cell r="D1580">
            <v>355.66</v>
          </cell>
          <cell r="E1580">
            <v>0</v>
          </cell>
          <cell r="F1580">
            <v>749.42</v>
          </cell>
        </row>
        <row r="1581">
          <cell r="A1581" t="str">
            <v>71400000-40001000-16010000</v>
          </cell>
          <cell r="B1581" t="str">
            <v>PAPELERIA</v>
          </cell>
          <cell r="C1581">
            <v>0</v>
          </cell>
          <cell r="D1581">
            <v>155.69999999999999</v>
          </cell>
          <cell r="E1581">
            <v>0</v>
          </cell>
          <cell r="F1581">
            <v>155.69999999999999</v>
          </cell>
        </row>
        <row r="1582">
          <cell r="A1582" t="str">
            <v>71400000-40001000-17010000</v>
          </cell>
          <cell r="B1582" t="str">
            <v>ENERGIA ELECTRICA</v>
          </cell>
          <cell r="C1582">
            <v>0</v>
          </cell>
          <cell r="D1582">
            <v>2444.75</v>
          </cell>
          <cell r="E1582">
            <v>0</v>
          </cell>
          <cell r="F1582">
            <v>2444.75</v>
          </cell>
        </row>
        <row r="1583">
          <cell r="A1583" t="str">
            <v>71400000-40001000-18010000</v>
          </cell>
          <cell r="B1583" t="str">
            <v>CAPACITACION Y ADIESTRAMIENTO</v>
          </cell>
          <cell r="C1583">
            <v>3279.57</v>
          </cell>
          <cell r="D1583">
            <v>0</v>
          </cell>
          <cell r="E1583">
            <v>0</v>
          </cell>
          <cell r="F1583">
            <v>3279.57</v>
          </cell>
        </row>
        <row r="1584">
          <cell r="A1584" t="str">
            <v>71400000-40001000-18020000</v>
          </cell>
          <cell r="B1584" t="str">
            <v>PASAJES Y TRANSPORTES LOCALES</v>
          </cell>
          <cell r="C1584">
            <v>550</v>
          </cell>
          <cell r="D1584">
            <v>750</v>
          </cell>
          <cell r="E1584">
            <v>0</v>
          </cell>
          <cell r="F1584">
            <v>1300</v>
          </cell>
        </row>
        <row r="1585">
          <cell r="A1585" t="str">
            <v>71400000-40001000-18110000</v>
          </cell>
          <cell r="B1585" t="str">
            <v>CONSUMOS RESTAURANT</v>
          </cell>
          <cell r="C1585">
            <v>143.75</v>
          </cell>
          <cell r="D1585">
            <v>79.959999999999994</v>
          </cell>
          <cell r="E1585">
            <v>0</v>
          </cell>
          <cell r="F1585">
            <v>223.71</v>
          </cell>
        </row>
        <row r="1586">
          <cell r="A1586" t="str">
            <v>71400000-40001000-19010000</v>
          </cell>
          <cell r="B1586" t="str">
            <v>TELEFONOS</v>
          </cell>
          <cell r="C1586">
            <v>3908.82</v>
          </cell>
          <cell r="D1586">
            <v>6386.48</v>
          </cell>
          <cell r="E1586">
            <v>0</v>
          </cell>
          <cell r="F1586">
            <v>10295.299999999999</v>
          </cell>
        </row>
        <row r="1587">
          <cell r="A1587" t="str">
            <v>71400000-40001000-19030000</v>
          </cell>
          <cell r="B1587" t="str">
            <v>TELEFONOS CELULARES</v>
          </cell>
          <cell r="C1587">
            <v>0</v>
          </cell>
          <cell r="D1587">
            <v>2412.96</v>
          </cell>
          <cell r="E1587">
            <v>0</v>
          </cell>
          <cell r="F1587">
            <v>2412.96</v>
          </cell>
        </row>
        <row r="1588">
          <cell r="A1588" t="str">
            <v>71400000-40001000-19050000</v>
          </cell>
          <cell r="B1588" t="str">
            <v>INTERNET</v>
          </cell>
          <cell r="C1588">
            <v>1581.53</v>
          </cell>
          <cell r="D1588">
            <v>1539.6</v>
          </cell>
          <cell r="E1588">
            <v>0</v>
          </cell>
          <cell r="F1588">
            <v>3121.13</v>
          </cell>
        </row>
        <row r="1589">
          <cell r="A1589" t="str">
            <v>71400000-40001000-20010000</v>
          </cell>
          <cell r="B1589" t="str">
            <v>COMBUSTIBLE AUTOMOVILES</v>
          </cell>
          <cell r="C1589">
            <v>1346.16</v>
          </cell>
          <cell r="D1589">
            <v>1359.16</v>
          </cell>
          <cell r="E1589">
            <v>0</v>
          </cell>
          <cell r="F1589">
            <v>2705.32</v>
          </cell>
        </row>
        <row r="1590">
          <cell r="A1590" t="str">
            <v>71400000-40001000-22050000</v>
          </cell>
          <cell r="B1590" t="str">
            <v>COMISIONES Y ASESORIAS EXTERNA</v>
          </cell>
          <cell r="C1590">
            <v>186.3</v>
          </cell>
          <cell r="D1590">
            <v>211.2</v>
          </cell>
          <cell r="E1590">
            <v>0</v>
          </cell>
          <cell r="F1590">
            <v>397.5</v>
          </cell>
        </row>
        <row r="1591">
          <cell r="A1591" t="str">
            <v>71400000-40001000-23120000</v>
          </cell>
          <cell r="B1591" t="str">
            <v>DIVERSOS</v>
          </cell>
          <cell r="C1591">
            <v>284.26</v>
          </cell>
          <cell r="D1591">
            <v>0</v>
          </cell>
          <cell r="E1591">
            <v>0</v>
          </cell>
          <cell r="F1591">
            <v>284.26</v>
          </cell>
        </row>
        <row r="1592">
          <cell r="A1592" t="str">
            <v>71400000-40001000-23130000</v>
          </cell>
          <cell r="B1592" t="str">
            <v>OTROS IMPUESTOS Y DERECHOS</v>
          </cell>
          <cell r="C1592">
            <v>174</v>
          </cell>
          <cell r="D1592">
            <v>2220</v>
          </cell>
          <cell r="E1592">
            <v>0</v>
          </cell>
          <cell r="F1592">
            <v>2394</v>
          </cell>
        </row>
        <row r="1593">
          <cell r="A1593" t="str">
            <v>71400000-40001000-23200000</v>
          </cell>
          <cell r="B1593" t="str">
            <v>EVENTOS INTERNOS COREV</v>
          </cell>
          <cell r="C1593">
            <v>459</v>
          </cell>
          <cell r="D1593">
            <v>341.3</v>
          </cell>
          <cell r="E1593">
            <v>0</v>
          </cell>
          <cell r="F1593">
            <v>800.3</v>
          </cell>
        </row>
        <row r="1594">
          <cell r="A1594" t="str">
            <v>71400000-40001000-27140000</v>
          </cell>
          <cell r="B1594" t="str">
            <v>INVESTIGACION DE MERCADOS</v>
          </cell>
          <cell r="C1594">
            <v>5691</v>
          </cell>
          <cell r="D1594">
            <v>6357</v>
          </cell>
          <cell r="E1594">
            <v>0</v>
          </cell>
          <cell r="F1594">
            <v>12048</v>
          </cell>
        </row>
        <row r="1595">
          <cell r="A1595" t="str">
            <v>71400000-40001000-35020000</v>
          </cell>
          <cell r="B1595" t="str">
            <v>DIVERSOS NO DEDUCIBLES</v>
          </cell>
          <cell r="C1595">
            <v>2704.95</v>
          </cell>
          <cell r="D1595">
            <v>1892.73</v>
          </cell>
          <cell r="E1595">
            <v>0</v>
          </cell>
          <cell r="F1595">
            <v>4597.68</v>
          </cell>
        </row>
        <row r="1596">
          <cell r="A1596" t="str">
            <v>71400000-40001000-90010000</v>
          </cell>
          <cell r="B1596" t="str">
            <v>PRIMA DE ANTIGUEDAD</v>
          </cell>
          <cell r="C1596">
            <v>395.2</v>
          </cell>
          <cell r="D1596">
            <v>395.2</v>
          </cell>
          <cell r="E1596">
            <v>0</v>
          </cell>
          <cell r="F1596">
            <v>790.4</v>
          </cell>
        </row>
        <row r="1597">
          <cell r="A1597" t="str">
            <v>71400000-40001000-90020000</v>
          </cell>
          <cell r="B1597" t="str">
            <v>PLAN DE PENSIONES</v>
          </cell>
          <cell r="C1597">
            <v>1456.2</v>
          </cell>
          <cell r="D1597">
            <v>1456.2</v>
          </cell>
          <cell r="E1597">
            <v>0</v>
          </cell>
          <cell r="F1597">
            <v>2912.4</v>
          </cell>
        </row>
        <row r="1598">
          <cell r="A1598" t="str">
            <v>71400000-40001000-90030000</v>
          </cell>
          <cell r="B1598" t="str">
            <v>PROVISION AGUINALDO</v>
          </cell>
          <cell r="C1598">
            <v>3238.33</v>
          </cell>
          <cell r="D1598">
            <v>3238.33</v>
          </cell>
          <cell r="E1598">
            <v>0</v>
          </cell>
          <cell r="F1598">
            <v>6476.66</v>
          </cell>
        </row>
        <row r="1599">
          <cell r="A1599" t="str">
            <v>71400000-40001000-90040000</v>
          </cell>
          <cell r="B1599" t="str">
            <v>BOLETIN D-3</v>
          </cell>
          <cell r="C1599">
            <v>29.25</v>
          </cell>
          <cell r="D1599">
            <v>29.25</v>
          </cell>
          <cell r="E1599">
            <v>0</v>
          </cell>
          <cell r="F1599">
            <v>58.5</v>
          </cell>
        </row>
        <row r="1600">
          <cell r="A1600" t="str">
            <v>71400000-40002000-00000000</v>
          </cell>
          <cell r="B1600" t="str">
            <v>COSTOS/GASTOS FIJOS CAPACITACI</v>
          </cell>
          <cell r="C1600">
            <v>106966.95</v>
          </cell>
          <cell r="D1600">
            <v>141065.01</v>
          </cell>
          <cell r="E1600">
            <v>0</v>
          </cell>
          <cell r="F1600">
            <v>248031.96</v>
          </cell>
        </row>
        <row r="1601">
          <cell r="A1601" t="str">
            <v>71400000-40002000-01010000</v>
          </cell>
          <cell r="B1601" t="str">
            <v>SUELDOS Y SALARIOS</v>
          </cell>
          <cell r="C1601">
            <v>17194.580000000002</v>
          </cell>
          <cell r="D1601">
            <v>19310.240000000002</v>
          </cell>
          <cell r="E1601">
            <v>0</v>
          </cell>
          <cell r="F1601">
            <v>36504.82</v>
          </cell>
        </row>
        <row r="1602">
          <cell r="A1602" t="str">
            <v>71400000-40002000-01030000</v>
          </cell>
          <cell r="B1602" t="str">
            <v>GRATIFICACIONES</v>
          </cell>
          <cell r="C1602">
            <v>600</v>
          </cell>
          <cell r="D1602">
            <v>1215.05</v>
          </cell>
          <cell r="E1602">
            <v>0</v>
          </cell>
          <cell r="F1602">
            <v>1815.05</v>
          </cell>
        </row>
        <row r="1603">
          <cell r="A1603" t="str">
            <v>71400000-40002000-01040000</v>
          </cell>
          <cell r="B1603" t="str">
            <v>VACACIONES</v>
          </cell>
          <cell r="C1603">
            <v>3306.65</v>
          </cell>
          <cell r="D1603">
            <v>0</v>
          </cell>
          <cell r="E1603">
            <v>0</v>
          </cell>
          <cell r="F1603">
            <v>3306.65</v>
          </cell>
        </row>
        <row r="1604">
          <cell r="A1604" t="str">
            <v>71400000-40002000-01050000</v>
          </cell>
          <cell r="B1604" t="str">
            <v>PRIMA VACACIONAL</v>
          </cell>
          <cell r="C1604">
            <v>2149.3200000000002</v>
          </cell>
          <cell r="D1604">
            <v>0</v>
          </cell>
          <cell r="E1604">
            <v>0</v>
          </cell>
          <cell r="F1604">
            <v>2149.3200000000002</v>
          </cell>
        </row>
        <row r="1605">
          <cell r="A1605" t="str">
            <v>71400000-40002000-01080000</v>
          </cell>
          <cell r="B1605" t="str">
            <v>COMISIONES</v>
          </cell>
          <cell r="C1605">
            <v>10900</v>
          </cell>
          <cell r="D1605">
            <v>4000</v>
          </cell>
          <cell r="E1605">
            <v>0</v>
          </cell>
          <cell r="F1605">
            <v>14900</v>
          </cell>
        </row>
        <row r="1606">
          <cell r="A1606" t="str">
            <v>71400000-40002000-03010000</v>
          </cell>
          <cell r="B1606" t="str">
            <v>FONDO DE AHORRO</v>
          </cell>
          <cell r="C1606">
            <v>1375.56</v>
          </cell>
          <cell r="D1606">
            <v>1544.82</v>
          </cell>
          <cell r="E1606">
            <v>0</v>
          </cell>
          <cell r="F1606">
            <v>2920.38</v>
          </cell>
        </row>
        <row r="1607">
          <cell r="A1607" t="str">
            <v>71400000-40002000-03020000</v>
          </cell>
          <cell r="B1607" t="str">
            <v>CUOTAS AL I.M.S.S.</v>
          </cell>
          <cell r="C1607">
            <v>2418.89</v>
          </cell>
          <cell r="D1607">
            <v>2238.4</v>
          </cell>
          <cell r="E1607">
            <v>0</v>
          </cell>
          <cell r="F1607">
            <v>4657.29</v>
          </cell>
        </row>
        <row r="1608">
          <cell r="A1608" t="str">
            <v>71400000-40002000-03040000</v>
          </cell>
          <cell r="B1608" t="str">
            <v>DESPENSA EN VALES</v>
          </cell>
          <cell r="C1608">
            <v>794</v>
          </cell>
          <cell r="D1608">
            <v>794</v>
          </cell>
          <cell r="E1608">
            <v>0</v>
          </cell>
          <cell r="F1608">
            <v>1588</v>
          </cell>
        </row>
        <row r="1609">
          <cell r="A1609" t="str">
            <v>71400000-40002000-04010000</v>
          </cell>
          <cell r="B1609" t="str">
            <v>2.5% SOBRE NOMINAS</v>
          </cell>
          <cell r="C1609">
            <v>888</v>
          </cell>
          <cell r="D1609">
            <v>652</v>
          </cell>
          <cell r="E1609">
            <v>0</v>
          </cell>
          <cell r="F1609">
            <v>1540</v>
          </cell>
        </row>
        <row r="1610">
          <cell r="A1610" t="str">
            <v>71400000-40002000-04020000</v>
          </cell>
          <cell r="B1610" t="str">
            <v>5% INFONAVIT</v>
          </cell>
          <cell r="C1610">
            <v>1733.02</v>
          </cell>
          <cell r="D1610">
            <v>1609.25</v>
          </cell>
          <cell r="E1610">
            <v>0</v>
          </cell>
          <cell r="F1610">
            <v>3342.27</v>
          </cell>
        </row>
        <row r="1611">
          <cell r="A1611" t="str">
            <v>71400000-40002000-04030000</v>
          </cell>
          <cell r="B1611" t="str">
            <v>2% S.A.R. / RETIRO</v>
          </cell>
          <cell r="C1611">
            <v>693.21</v>
          </cell>
          <cell r="D1611">
            <v>643.69000000000005</v>
          </cell>
          <cell r="E1611">
            <v>0</v>
          </cell>
          <cell r="F1611">
            <v>1336.9</v>
          </cell>
        </row>
        <row r="1612">
          <cell r="A1612" t="str">
            <v>71400000-40002000-04040000</v>
          </cell>
          <cell r="B1612" t="str">
            <v>CESANTIA Y VEJEZ</v>
          </cell>
          <cell r="C1612">
            <v>1091.81</v>
          </cell>
          <cell r="D1612">
            <v>1013.82</v>
          </cell>
          <cell r="E1612">
            <v>0</v>
          </cell>
          <cell r="F1612">
            <v>2105.63</v>
          </cell>
        </row>
        <row r="1613">
          <cell r="A1613" t="str">
            <v>71400000-40002000-05010000</v>
          </cell>
          <cell r="B1613" t="str">
            <v>SERV. PROFESIONALES EXTERNOS</v>
          </cell>
          <cell r="C1613">
            <v>19509.2</v>
          </cell>
          <cell r="D1613">
            <v>13203.21</v>
          </cell>
          <cell r="E1613">
            <v>0</v>
          </cell>
          <cell r="F1613">
            <v>32712.41</v>
          </cell>
        </row>
        <row r="1614">
          <cell r="A1614" t="str">
            <v>71400000-40002000-12010000</v>
          </cell>
          <cell r="B1614" t="str">
            <v>ARREND. AUTOMOVILES</v>
          </cell>
          <cell r="C1614">
            <v>2053.7199999999998</v>
          </cell>
          <cell r="D1614">
            <v>2053.7199999999998</v>
          </cell>
          <cell r="E1614">
            <v>0</v>
          </cell>
          <cell r="F1614">
            <v>4107.4399999999996</v>
          </cell>
        </row>
        <row r="1615">
          <cell r="A1615" t="str">
            <v>71400000-40002000-13020000</v>
          </cell>
          <cell r="B1615" t="str">
            <v>ARRENDAMIENTO DE INMUEBLES PER</v>
          </cell>
          <cell r="C1615">
            <v>0</v>
          </cell>
          <cell r="D1615">
            <v>17805</v>
          </cell>
          <cell r="E1615">
            <v>0</v>
          </cell>
          <cell r="F1615">
            <v>17805</v>
          </cell>
        </row>
        <row r="1616">
          <cell r="A1616" t="str">
            <v>71400000-40002000-15020000</v>
          </cell>
          <cell r="B1616" t="str">
            <v>CAMIONES Y CAMIONETAS</v>
          </cell>
          <cell r="C1616">
            <v>5821.02</v>
          </cell>
          <cell r="D1616">
            <v>17242.09</v>
          </cell>
          <cell r="E1616">
            <v>0</v>
          </cell>
          <cell r="F1616">
            <v>23063.11</v>
          </cell>
        </row>
        <row r="1617">
          <cell r="A1617" t="str">
            <v>71400000-40002000-15070000</v>
          </cell>
          <cell r="B1617" t="str">
            <v>MANTTO A INMUEBLES ARRENDADOS</v>
          </cell>
          <cell r="C1617">
            <v>0</v>
          </cell>
          <cell r="D1617">
            <v>7750</v>
          </cell>
          <cell r="E1617">
            <v>0</v>
          </cell>
          <cell r="F1617">
            <v>7750</v>
          </cell>
        </row>
        <row r="1618">
          <cell r="A1618" t="str">
            <v>71400000-40002000-16010000</v>
          </cell>
          <cell r="B1618" t="str">
            <v>PAPELERIA</v>
          </cell>
          <cell r="C1618">
            <v>605.96</v>
          </cell>
          <cell r="D1618">
            <v>670.9</v>
          </cell>
          <cell r="E1618">
            <v>0</v>
          </cell>
          <cell r="F1618">
            <v>1276.8599999999999</v>
          </cell>
        </row>
        <row r="1619">
          <cell r="A1619" t="str">
            <v>71400000-40002000-16040000</v>
          </cell>
          <cell r="B1619" t="str">
            <v>IMPLEMENTOS DE OFICINA</v>
          </cell>
          <cell r="C1619">
            <v>0</v>
          </cell>
          <cell r="D1619">
            <v>2000</v>
          </cell>
          <cell r="E1619">
            <v>0</v>
          </cell>
          <cell r="F1619">
            <v>2000</v>
          </cell>
        </row>
        <row r="1620">
          <cell r="A1620" t="str">
            <v>71400000-40002000-18020000</v>
          </cell>
          <cell r="B1620" t="str">
            <v>PASAJES Y TRANSPORTES LOCALES</v>
          </cell>
          <cell r="C1620">
            <v>805</v>
          </cell>
          <cell r="D1620">
            <v>360</v>
          </cell>
          <cell r="E1620">
            <v>0</v>
          </cell>
          <cell r="F1620">
            <v>1165</v>
          </cell>
        </row>
        <row r="1621">
          <cell r="A1621" t="str">
            <v>71400000-40002000-19030000</v>
          </cell>
          <cell r="B1621" t="str">
            <v>TELEFONOS CELULARES</v>
          </cell>
          <cell r="C1621">
            <v>0</v>
          </cell>
          <cell r="D1621">
            <v>1330.7</v>
          </cell>
          <cell r="E1621">
            <v>0</v>
          </cell>
          <cell r="F1621">
            <v>1330.7</v>
          </cell>
        </row>
        <row r="1622">
          <cell r="A1622" t="str">
            <v>71400000-40002000-20010000</v>
          </cell>
          <cell r="B1622" t="str">
            <v>COMBUSTIBLE AUTOMOVILES</v>
          </cell>
          <cell r="C1622">
            <v>3560.31</v>
          </cell>
          <cell r="D1622">
            <v>2613.79</v>
          </cell>
          <cell r="E1622">
            <v>0</v>
          </cell>
          <cell r="F1622">
            <v>6174.1</v>
          </cell>
        </row>
        <row r="1623">
          <cell r="A1623" t="str">
            <v>71400000-40002000-20020000</v>
          </cell>
          <cell r="B1623" t="str">
            <v>CAMIONES Y CAMIONETAS</v>
          </cell>
          <cell r="C1623">
            <v>6798.68</v>
          </cell>
          <cell r="D1623">
            <v>7294.56</v>
          </cell>
          <cell r="E1623">
            <v>0</v>
          </cell>
          <cell r="F1623">
            <v>14093.24</v>
          </cell>
        </row>
        <row r="1624">
          <cell r="A1624" t="str">
            <v>71400000-40002000-21010000</v>
          </cell>
          <cell r="B1624" t="str">
            <v>HONORARIOS PERSONAS FISICAS</v>
          </cell>
          <cell r="C1624">
            <v>17805</v>
          </cell>
          <cell r="D1624">
            <v>0</v>
          </cell>
          <cell r="E1624">
            <v>0</v>
          </cell>
          <cell r="F1624">
            <v>17805</v>
          </cell>
        </row>
        <row r="1625">
          <cell r="A1625" t="str">
            <v>71400000-40002000-23100000</v>
          </cell>
          <cell r="B1625" t="str">
            <v>ETIQUETAS Y CODIGOS</v>
          </cell>
          <cell r="C1625">
            <v>0</v>
          </cell>
          <cell r="D1625">
            <v>408.4</v>
          </cell>
          <cell r="E1625">
            <v>0</v>
          </cell>
          <cell r="F1625">
            <v>408.4</v>
          </cell>
        </row>
        <row r="1626">
          <cell r="A1626" t="str">
            <v>71400000-40002000-23120000</v>
          </cell>
          <cell r="B1626" t="str">
            <v>DIVERSOS</v>
          </cell>
          <cell r="C1626">
            <v>0</v>
          </cell>
          <cell r="D1626">
            <v>204.72</v>
          </cell>
          <cell r="E1626">
            <v>0</v>
          </cell>
          <cell r="F1626">
            <v>204.72</v>
          </cell>
        </row>
        <row r="1627">
          <cell r="A1627" t="str">
            <v>71400000-40002000-23130000</v>
          </cell>
          <cell r="B1627" t="str">
            <v>OTROS IMPUESTOS Y DERECHOS</v>
          </cell>
          <cell r="C1627">
            <v>413.79</v>
          </cell>
          <cell r="D1627">
            <v>479.72</v>
          </cell>
          <cell r="E1627">
            <v>0</v>
          </cell>
          <cell r="F1627">
            <v>893.51</v>
          </cell>
        </row>
        <row r="1628">
          <cell r="A1628" t="str">
            <v>71400000-40002000-24010000</v>
          </cell>
          <cell r="B1628" t="str">
            <v>MATERIAL DE APOYO</v>
          </cell>
          <cell r="C1628">
            <v>0</v>
          </cell>
          <cell r="D1628">
            <v>118.97</v>
          </cell>
          <cell r="E1628">
            <v>0</v>
          </cell>
          <cell r="F1628">
            <v>118.97</v>
          </cell>
        </row>
        <row r="1629">
          <cell r="A1629" t="str">
            <v>71400000-40002000-24020000</v>
          </cell>
          <cell r="B1629" t="str">
            <v>CAFETERIA</v>
          </cell>
          <cell r="C1629">
            <v>1008.62</v>
          </cell>
          <cell r="D1629">
            <v>5040.3100000000004</v>
          </cell>
          <cell r="E1629">
            <v>0</v>
          </cell>
          <cell r="F1629">
            <v>6048.93</v>
          </cell>
        </row>
        <row r="1630">
          <cell r="A1630" t="str">
            <v>71400000-40002000-24070000</v>
          </cell>
          <cell r="B1630" t="str">
            <v>GTS DE REPRESENTACION TRANSPOR</v>
          </cell>
          <cell r="C1630">
            <v>0</v>
          </cell>
          <cell r="D1630">
            <v>1796.2</v>
          </cell>
          <cell r="E1630">
            <v>0</v>
          </cell>
          <cell r="F1630">
            <v>1796.2</v>
          </cell>
        </row>
        <row r="1631">
          <cell r="A1631" t="str">
            <v>71400000-40002000-24080000</v>
          </cell>
          <cell r="B1631" t="str">
            <v>GTS DE REPRESENTACION ALIMENTO</v>
          </cell>
          <cell r="C1631">
            <v>68.900000000000006</v>
          </cell>
          <cell r="D1631">
            <v>21207.24</v>
          </cell>
          <cell r="E1631">
            <v>0</v>
          </cell>
          <cell r="F1631">
            <v>21276.14</v>
          </cell>
        </row>
        <row r="1632">
          <cell r="A1632" t="str">
            <v>71400000-40002000-35020000</v>
          </cell>
          <cell r="B1632" t="str">
            <v>DIVERSOS NO DEDUCIBLES</v>
          </cell>
          <cell r="C1632">
            <v>3715</v>
          </cell>
          <cell r="D1632">
            <v>4807.5</v>
          </cell>
          <cell r="E1632">
            <v>0</v>
          </cell>
          <cell r="F1632">
            <v>8522.5</v>
          </cell>
        </row>
        <row r="1633">
          <cell r="A1633" t="str">
            <v>71400000-40002000-90030000</v>
          </cell>
          <cell r="B1633" t="str">
            <v>PROVISION AGUINALDO</v>
          </cell>
          <cell r="C1633">
            <v>1598.21</v>
          </cell>
          <cell r="D1633">
            <v>1598.21</v>
          </cell>
          <cell r="E1633">
            <v>0</v>
          </cell>
          <cell r="F1633">
            <v>3196.42</v>
          </cell>
        </row>
        <row r="1634">
          <cell r="A1634" t="str">
            <v>71400000-40002000-90040000</v>
          </cell>
          <cell r="B1634" t="str">
            <v>BOLETIN D-3</v>
          </cell>
          <cell r="C1634">
            <v>58.5</v>
          </cell>
          <cell r="D1634">
            <v>58.5</v>
          </cell>
          <cell r="E1634">
            <v>0</v>
          </cell>
          <cell r="F1634">
            <v>117</v>
          </cell>
        </row>
        <row r="1635">
          <cell r="A1635" t="str">
            <v>71400000-40003000-00000000</v>
          </cell>
          <cell r="B1635" t="str">
            <v>COSTOS/GASTOS FIJOS PUB Y MKT</v>
          </cell>
          <cell r="C1635">
            <v>54441.16</v>
          </cell>
          <cell r="D1635">
            <v>39839.03</v>
          </cell>
          <cell r="E1635">
            <v>0</v>
          </cell>
          <cell r="F1635">
            <v>94280.19</v>
          </cell>
        </row>
        <row r="1636">
          <cell r="A1636" t="str">
            <v>71400000-40003000-05010000</v>
          </cell>
          <cell r="B1636" t="str">
            <v>SERV. PROFESIONALES EXTERNOS</v>
          </cell>
          <cell r="C1636">
            <v>37624.15</v>
          </cell>
          <cell r="D1636">
            <v>32877.550000000003</v>
          </cell>
          <cell r="E1636">
            <v>0</v>
          </cell>
          <cell r="F1636">
            <v>70501.7</v>
          </cell>
        </row>
        <row r="1637">
          <cell r="A1637" t="str">
            <v>71400000-40003000-13010000</v>
          </cell>
          <cell r="B1637" t="str">
            <v>ARRENDAMIENTO DE EQUIPO DE OFI</v>
          </cell>
          <cell r="C1637">
            <v>0</v>
          </cell>
          <cell r="D1637">
            <v>1800</v>
          </cell>
          <cell r="E1637">
            <v>0</v>
          </cell>
          <cell r="F1637">
            <v>1800</v>
          </cell>
        </row>
        <row r="1638">
          <cell r="A1638" t="str">
            <v>71400000-40003000-16010000</v>
          </cell>
          <cell r="B1638" t="str">
            <v>PAPELERIA</v>
          </cell>
          <cell r="C1638">
            <v>12525.65</v>
          </cell>
          <cell r="D1638">
            <v>50.56</v>
          </cell>
          <cell r="E1638">
            <v>0</v>
          </cell>
          <cell r="F1638">
            <v>12576.21</v>
          </cell>
        </row>
        <row r="1639">
          <cell r="A1639" t="str">
            <v>71400000-40003000-16040000</v>
          </cell>
          <cell r="B1639" t="str">
            <v>IMPLEMENTOS DE OFICINA</v>
          </cell>
          <cell r="C1639">
            <v>2000</v>
          </cell>
          <cell r="D1639">
            <v>0</v>
          </cell>
          <cell r="E1639">
            <v>0</v>
          </cell>
          <cell r="F1639">
            <v>2000</v>
          </cell>
        </row>
        <row r="1640">
          <cell r="A1640" t="str">
            <v>71400000-40003000-18020000</v>
          </cell>
          <cell r="B1640" t="str">
            <v>PASAJES Y TRANSPORTES LOCALES</v>
          </cell>
          <cell r="C1640">
            <v>224</v>
          </cell>
          <cell r="D1640">
            <v>153</v>
          </cell>
          <cell r="E1640">
            <v>0</v>
          </cell>
          <cell r="F1640">
            <v>377</v>
          </cell>
        </row>
        <row r="1641">
          <cell r="A1641" t="str">
            <v>71400000-40003000-19010000</v>
          </cell>
          <cell r="B1641" t="str">
            <v>TELEFONOS</v>
          </cell>
          <cell r="C1641">
            <v>0</v>
          </cell>
          <cell r="D1641">
            <v>330.43</v>
          </cell>
          <cell r="E1641">
            <v>0</v>
          </cell>
          <cell r="F1641">
            <v>330.43</v>
          </cell>
        </row>
        <row r="1642">
          <cell r="A1642" t="str">
            <v>71400000-40003000-19030000</v>
          </cell>
          <cell r="B1642" t="str">
            <v>TELEFONOS CELULARES</v>
          </cell>
          <cell r="C1642">
            <v>0</v>
          </cell>
          <cell r="D1642">
            <v>2706.9</v>
          </cell>
          <cell r="E1642">
            <v>0</v>
          </cell>
          <cell r="F1642">
            <v>2706.9</v>
          </cell>
        </row>
        <row r="1643">
          <cell r="A1643" t="str">
            <v>71400000-40003000-20010000</v>
          </cell>
          <cell r="B1643" t="str">
            <v>COMBUSTIBLE AUTOMOVILES</v>
          </cell>
          <cell r="C1643">
            <v>434.17</v>
          </cell>
          <cell r="D1643">
            <v>477.59</v>
          </cell>
          <cell r="E1643">
            <v>0</v>
          </cell>
          <cell r="F1643">
            <v>911.76</v>
          </cell>
        </row>
        <row r="1644">
          <cell r="A1644" t="str">
            <v>71400000-40003000-23120000</v>
          </cell>
          <cell r="B1644" t="str">
            <v>DIVERSOS</v>
          </cell>
          <cell r="C1644">
            <v>601.29</v>
          </cell>
          <cell r="D1644">
            <v>0</v>
          </cell>
          <cell r="E1644">
            <v>0</v>
          </cell>
          <cell r="F1644">
            <v>601.29</v>
          </cell>
        </row>
        <row r="1645">
          <cell r="A1645" t="str">
            <v>71400000-40003000-27060000</v>
          </cell>
          <cell r="B1645" t="str">
            <v>ROTULACION MANTAS</v>
          </cell>
          <cell r="C1645">
            <v>0</v>
          </cell>
          <cell r="D1645">
            <v>405</v>
          </cell>
          <cell r="E1645">
            <v>0</v>
          </cell>
          <cell r="F1645">
            <v>405</v>
          </cell>
        </row>
        <row r="1646">
          <cell r="A1646" t="str">
            <v>71400000-40003000-35020000</v>
          </cell>
          <cell r="B1646" t="str">
            <v>DIVERSOS NO DEDUCIBLES</v>
          </cell>
          <cell r="C1646">
            <v>1031.9000000000001</v>
          </cell>
          <cell r="D1646">
            <v>1038</v>
          </cell>
          <cell r="E1646">
            <v>0</v>
          </cell>
          <cell r="F1646">
            <v>2069.9</v>
          </cell>
        </row>
        <row r="1647">
          <cell r="A1647" t="str">
            <v>71400000-40004000-00000000</v>
          </cell>
          <cell r="B1647" t="str">
            <v>COSTOS/GASTOS FIJOS EXPORT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</row>
        <row r="1648">
          <cell r="A1648" t="str">
            <v>71400000-40005000-00000000</v>
          </cell>
          <cell r="B1648" t="str">
            <v>COSTOS/GASTOS FIJOS ESPECIFIC.</v>
          </cell>
          <cell r="C1648">
            <v>13723.61</v>
          </cell>
          <cell r="D1648">
            <v>15141.08</v>
          </cell>
          <cell r="E1648">
            <v>0</v>
          </cell>
          <cell r="F1648">
            <v>28864.69</v>
          </cell>
        </row>
        <row r="1649">
          <cell r="A1649" t="str">
            <v>71400000-40005000-05010000</v>
          </cell>
          <cell r="B1649" t="str">
            <v>SERV. PROFESIONALES EXTERNOS</v>
          </cell>
          <cell r="C1649">
            <v>13563.78</v>
          </cell>
          <cell r="D1649">
            <v>11252.57</v>
          </cell>
          <cell r="E1649">
            <v>0</v>
          </cell>
          <cell r="F1649">
            <v>24816.35</v>
          </cell>
        </row>
        <row r="1650">
          <cell r="A1650" t="str">
            <v>71400000-40005000-16010000</v>
          </cell>
          <cell r="B1650" t="str">
            <v>PAPELERIA</v>
          </cell>
          <cell r="C1650">
            <v>140</v>
          </cell>
          <cell r="D1650">
            <v>0</v>
          </cell>
          <cell r="E1650">
            <v>0</v>
          </cell>
          <cell r="F1650">
            <v>140</v>
          </cell>
        </row>
        <row r="1651">
          <cell r="A1651" t="str">
            <v>71400000-40005000-18020000</v>
          </cell>
          <cell r="B1651" t="str">
            <v>PASAJES Y TRANSPORTES LOCALES</v>
          </cell>
          <cell r="C1651">
            <v>0</v>
          </cell>
          <cell r="D1651">
            <v>1338</v>
          </cell>
          <cell r="E1651">
            <v>0</v>
          </cell>
          <cell r="F1651">
            <v>1338</v>
          </cell>
        </row>
        <row r="1652">
          <cell r="A1652" t="str">
            <v>71400000-40005000-19030000</v>
          </cell>
          <cell r="B1652" t="str">
            <v>TELEFONOS CELULARES</v>
          </cell>
          <cell r="C1652">
            <v>19.829999999999998</v>
          </cell>
          <cell r="D1652">
            <v>90.23</v>
          </cell>
          <cell r="E1652">
            <v>0</v>
          </cell>
          <cell r="F1652">
            <v>110.06</v>
          </cell>
        </row>
        <row r="1653">
          <cell r="A1653" t="str">
            <v>71400000-40005000-20010000</v>
          </cell>
          <cell r="B1653" t="str">
            <v>COMBUSTIBLE AUTOMOVILES</v>
          </cell>
          <cell r="C1653">
            <v>0</v>
          </cell>
          <cell r="D1653">
            <v>1328.16</v>
          </cell>
          <cell r="E1653">
            <v>0</v>
          </cell>
          <cell r="F1653">
            <v>1328.16</v>
          </cell>
        </row>
        <row r="1654">
          <cell r="A1654" t="str">
            <v>71400000-40005000-23120000</v>
          </cell>
          <cell r="B1654" t="str">
            <v>DIVERSOS</v>
          </cell>
          <cell r="C1654">
            <v>0</v>
          </cell>
          <cell r="D1654">
            <v>291.38</v>
          </cell>
          <cell r="E1654">
            <v>0</v>
          </cell>
          <cell r="F1654">
            <v>291.38</v>
          </cell>
        </row>
        <row r="1655">
          <cell r="A1655" t="str">
            <v>71400000-40005000-23130000</v>
          </cell>
          <cell r="B1655" t="str">
            <v>OTROS IMPUESTOS Y DERECHOS</v>
          </cell>
          <cell r="C1655">
            <v>0</v>
          </cell>
          <cell r="D1655">
            <v>220.34</v>
          </cell>
          <cell r="E1655">
            <v>0</v>
          </cell>
          <cell r="F1655">
            <v>220.34</v>
          </cell>
        </row>
        <row r="1656">
          <cell r="A1656" t="str">
            <v>71400000-40005000-35020000</v>
          </cell>
          <cell r="B1656" t="str">
            <v>DIVERSOS NO DEDUCIBLES</v>
          </cell>
          <cell r="C1656">
            <v>0</v>
          </cell>
          <cell r="D1656">
            <v>620.4</v>
          </cell>
          <cell r="E1656">
            <v>0</v>
          </cell>
          <cell r="F1656">
            <v>620.4</v>
          </cell>
        </row>
        <row r="1657">
          <cell r="A1657" t="str">
            <v>71500000-00000000-00000000</v>
          </cell>
          <cell r="B1657" t="str">
            <v>COSTOS/GASTOS FIJOS EXPORTACIO</v>
          </cell>
          <cell r="C1657">
            <v>111849.15</v>
          </cell>
          <cell r="D1657">
            <v>64409.68</v>
          </cell>
          <cell r="E1657">
            <v>0</v>
          </cell>
          <cell r="F1657">
            <v>176258.83</v>
          </cell>
        </row>
        <row r="1658">
          <cell r="F1658">
            <v>176258.83</v>
          </cell>
        </row>
        <row r="1659">
          <cell r="A1659" t="str">
            <v>71500000-50000000-00000000</v>
          </cell>
          <cell r="B1659" t="str">
            <v>COSTOS/GASTOS FIJOS EXPORTACIO</v>
          </cell>
          <cell r="C1659">
            <v>111849.15</v>
          </cell>
          <cell r="D1659">
            <v>64409.68</v>
          </cell>
          <cell r="E1659">
            <v>0</v>
          </cell>
        </row>
        <row r="1660">
          <cell r="A1660" t="str">
            <v>71500000-50001000-00000000</v>
          </cell>
          <cell r="B1660" t="str">
            <v>COSTOS/GASTOS FIJOS EXPORTACIO</v>
          </cell>
          <cell r="C1660">
            <v>111849.15</v>
          </cell>
          <cell r="D1660">
            <v>64409.68</v>
          </cell>
          <cell r="E1660">
            <v>0</v>
          </cell>
          <cell r="F1660">
            <v>176258.83</v>
          </cell>
        </row>
        <row r="1661">
          <cell r="A1661" t="str">
            <v>71500000-50001000-01010000</v>
          </cell>
          <cell r="B1661" t="str">
            <v>SUELDOS Y SALARIOS</v>
          </cell>
          <cell r="C1661">
            <v>13723.23</v>
          </cell>
          <cell r="D1661">
            <v>13087.95</v>
          </cell>
          <cell r="E1661">
            <v>0</v>
          </cell>
          <cell r="F1661">
            <v>26811.18</v>
          </cell>
        </row>
        <row r="1662">
          <cell r="A1662" t="str">
            <v>71500000-50001000-01030000</v>
          </cell>
          <cell r="B1662" t="str">
            <v>GRATIFICACIONES</v>
          </cell>
          <cell r="C1662">
            <v>539.5</v>
          </cell>
          <cell r="D1662">
            <v>1094.55</v>
          </cell>
          <cell r="E1662">
            <v>0</v>
          </cell>
          <cell r="F1662">
            <v>1634.05</v>
          </cell>
        </row>
        <row r="1663">
          <cell r="A1663" t="str">
            <v>71500000-50001000-01040000</v>
          </cell>
          <cell r="B1663" t="str">
            <v>VACACIONES</v>
          </cell>
          <cell r="C1663">
            <v>268</v>
          </cell>
          <cell r="D1663">
            <v>0</v>
          </cell>
          <cell r="E1663">
            <v>0</v>
          </cell>
          <cell r="F1663">
            <v>268</v>
          </cell>
        </row>
        <row r="1664">
          <cell r="A1664" t="str">
            <v>71500000-50001000-01050000</v>
          </cell>
          <cell r="B1664" t="str">
            <v>PRIMA VACACIONAL</v>
          </cell>
          <cell r="C1664">
            <v>174.2</v>
          </cell>
          <cell r="D1664">
            <v>0</v>
          </cell>
          <cell r="E1664">
            <v>0</v>
          </cell>
          <cell r="F1664">
            <v>174.2</v>
          </cell>
        </row>
        <row r="1665">
          <cell r="A1665" t="str">
            <v>71500000-50001000-03010000</v>
          </cell>
          <cell r="B1665" t="str">
            <v>FONDO DE AHORRO</v>
          </cell>
          <cell r="C1665">
            <v>454.66</v>
          </cell>
          <cell r="D1665">
            <v>423.84</v>
          </cell>
          <cell r="E1665">
            <v>0</v>
          </cell>
          <cell r="F1665">
            <v>878.5</v>
          </cell>
        </row>
        <row r="1666">
          <cell r="A1666" t="str">
            <v>71500000-50001000-03020000</v>
          </cell>
          <cell r="B1666" t="str">
            <v>CUOTAS AL I.M.S.S.</v>
          </cell>
          <cell r="C1666">
            <v>879.39</v>
          </cell>
          <cell r="D1666">
            <v>805.4</v>
          </cell>
          <cell r="E1666">
            <v>0</v>
          </cell>
          <cell r="F1666">
            <v>1684.79</v>
          </cell>
        </row>
        <row r="1667">
          <cell r="A1667" t="str">
            <v>71500000-50001000-03040000</v>
          </cell>
          <cell r="B1667" t="str">
            <v>DESPENSA EN VALES</v>
          </cell>
          <cell r="C1667">
            <v>220</v>
          </cell>
          <cell r="D1667">
            <v>220</v>
          </cell>
          <cell r="E1667">
            <v>0</v>
          </cell>
          <cell r="F1667">
            <v>440</v>
          </cell>
        </row>
        <row r="1668">
          <cell r="A1668" t="str">
            <v>71500000-50001000-04010000</v>
          </cell>
          <cell r="B1668" t="str">
            <v>2% SOBRE NOMINAS</v>
          </cell>
          <cell r="C1668">
            <v>158</v>
          </cell>
          <cell r="D1668">
            <v>158</v>
          </cell>
          <cell r="E1668">
            <v>0</v>
          </cell>
          <cell r="F1668">
            <v>316</v>
          </cell>
        </row>
        <row r="1669">
          <cell r="A1669" t="str">
            <v>71500000-50001000-04020000</v>
          </cell>
          <cell r="B1669" t="str">
            <v>5% INFONAVIT</v>
          </cell>
          <cell r="C1669">
            <v>471.15</v>
          </cell>
          <cell r="D1669">
            <v>434.65</v>
          </cell>
          <cell r="E1669">
            <v>0</v>
          </cell>
          <cell r="F1669">
            <v>905.8</v>
          </cell>
        </row>
        <row r="1670">
          <cell r="A1670" t="str">
            <v>71500000-50001000-04030000</v>
          </cell>
          <cell r="B1670" t="str">
            <v>2% SAR / RETIRO</v>
          </cell>
          <cell r="C1670">
            <v>188.46</v>
          </cell>
          <cell r="D1670">
            <v>173.86</v>
          </cell>
          <cell r="E1670">
            <v>0</v>
          </cell>
          <cell r="F1670">
            <v>362.32</v>
          </cell>
        </row>
        <row r="1671">
          <cell r="A1671" t="str">
            <v>71500000-50001000-04040000</v>
          </cell>
          <cell r="B1671" t="str">
            <v>CESANTIA Y VEJEZ</v>
          </cell>
          <cell r="C1671">
            <v>296.83999999999997</v>
          </cell>
          <cell r="D1671">
            <v>273.83</v>
          </cell>
          <cell r="E1671">
            <v>0</v>
          </cell>
          <cell r="F1671">
            <v>570.66999999999996</v>
          </cell>
        </row>
        <row r="1672">
          <cell r="A1672" t="str">
            <v>71500000-50001000-14080000</v>
          </cell>
          <cell r="B1672" t="str">
            <v>CARGA</v>
          </cell>
          <cell r="C1672">
            <v>4181.29</v>
          </cell>
          <cell r="D1672">
            <v>3776.65</v>
          </cell>
          <cell r="E1672">
            <v>0</v>
          </cell>
          <cell r="F1672">
            <v>7957.94</v>
          </cell>
        </row>
        <row r="1673">
          <cell r="A1673" t="str">
            <v>71500000-50001000-18020000</v>
          </cell>
          <cell r="B1673" t="str">
            <v>PASAJES Y TRANSPORTES LOCALES</v>
          </cell>
          <cell r="C1673">
            <v>0</v>
          </cell>
          <cell r="D1673">
            <v>170</v>
          </cell>
          <cell r="E1673">
            <v>0</v>
          </cell>
          <cell r="F1673">
            <v>170</v>
          </cell>
        </row>
        <row r="1674">
          <cell r="A1674" t="str">
            <v>71500000-50001000-18090000</v>
          </cell>
          <cell r="B1674" t="str">
            <v>GASTOS DE REPRESENTACION AGENT</v>
          </cell>
          <cell r="C1674">
            <v>1201.5</v>
          </cell>
          <cell r="D1674">
            <v>8232.7900000000009</v>
          </cell>
          <cell r="E1674">
            <v>0</v>
          </cell>
          <cell r="F1674">
            <v>9434.2900000000009</v>
          </cell>
        </row>
        <row r="1675">
          <cell r="A1675" t="str">
            <v>71500000-50001000-18100000</v>
          </cell>
          <cell r="B1675" t="str">
            <v>GASTOS DE REPRESENTACION DIREC</v>
          </cell>
          <cell r="C1675">
            <v>0</v>
          </cell>
          <cell r="D1675">
            <v>4236.67</v>
          </cell>
          <cell r="E1675">
            <v>0</v>
          </cell>
          <cell r="F1675">
            <v>4236.67</v>
          </cell>
        </row>
        <row r="1676">
          <cell r="A1676" t="str">
            <v>71500000-50001000-19030000</v>
          </cell>
          <cell r="B1676" t="str">
            <v>TELEFONOS CELULARES</v>
          </cell>
          <cell r="C1676">
            <v>922.42</v>
          </cell>
          <cell r="D1676">
            <v>1749.6</v>
          </cell>
          <cell r="E1676">
            <v>0</v>
          </cell>
          <cell r="F1676">
            <v>2672.02</v>
          </cell>
        </row>
        <row r="1677">
          <cell r="A1677" t="str">
            <v>71500000-50001000-19070000</v>
          </cell>
          <cell r="B1677" t="str">
            <v>MENSAJERIA ESPECIALIZADA</v>
          </cell>
          <cell r="C1677">
            <v>1644</v>
          </cell>
          <cell r="D1677">
            <v>661</v>
          </cell>
          <cell r="E1677">
            <v>0</v>
          </cell>
          <cell r="F1677">
            <v>2305</v>
          </cell>
        </row>
        <row r="1678">
          <cell r="A1678" t="str">
            <v>71500000-50001000-22050000</v>
          </cell>
          <cell r="B1678" t="str">
            <v>COMISIONES Y ASESORIAS EXTERNA</v>
          </cell>
          <cell r="C1678">
            <v>12000</v>
          </cell>
          <cell r="D1678">
            <v>12000</v>
          </cell>
          <cell r="E1678">
            <v>0</v>
          </cell>
          <cell r="F1678">
            <v>24000</v>
          </cell>
        </row>
        <row r="1679">
          <cell r="A1679" t="str">
            <v>71500000-50001000-23070000</v>
          </cell>
          <cell r="B1679" t="str">
            <v>TARIMAS</v>
          </cell>
          <cell r="C1679">
            <v>74053.2</v>
          </cell>
          <cell r="D1679">
            <v>14559.84</v>
          </cell>
          <cell r="E1679">
            <v>0</v>
          </cell>
          <cell r="F1679">
            <v>88613.04</v>
          </cell>
        </row>
        <row r="1680">
          <cell r="A1680" t="str">
            <v>71500000-50001000-23130000</v>
          </cell>
          <cell r="B1680" t="str">
            <v>OTROS IMPUESTOS Y DERECHOS</v>
          </cell>
          <cell r="C1680">
            <v>30.26</v>
          </cell>
          <cell r="D1680">
            <v>0</v>
          </cell>
          <cell r="E1680">
            <v>0</v>
          </cell>
          <cell r="F1680">
            <v>30.26</v>
          </cell>
        </row>
        <row r="1681">
          <cell r="A1681" t="str">
            <v>71500000-50001000-35020000</v>
          </cell>
          <cell r="B1681" t="str">
            <v>DIVERSOS NO DEDUCIBLES</v>
          </cell>
          <cell r="C1681">
            <v>0</v>
          </cell>
          <cell r="D1681">
            <v>1908</v>
          </cell>
          <cell r="E1681">
            <v>0</v>
          </cell>
          <cell r="F1681">
            <v>1908</v>
          </cell>
        </row>
        <row r="1682">
          <cell r="A1682" t="str">
            <v>71500000-50001000-90030000</v>
          </cell>
          <cell r="B1682" t="str">
            <v>PROVISION AGUINALDO</v>
          </cell>
          <cell r="C1682">
            <v>443.05</v>
          </cell>
          <cell r="D1682">
            <v>443.05</v>
          </cell>
          <cell r="E1682">
            <v>0</v>
          </cell>
          <cell r="F1682">
            <v>886.1</v>
          </cell>
        </row>
        <row r="1683">
          <cell r="A1683" t="str">
            <v>72000000-00000000-00000000</v>
          </cell>
          <cell r="B1683" t="str">
            <v>COSTOS/GASTOS VARIABLES</v>
          </cell>
          <cell r="C1683">
            <v>495141.46</v>
          </cell>
          <cell r="D1683">
            <v>403813.16</v>
          </cell>
          <cell r="E1683">
            <v>450</v>
          </cell>
          <cell r="F1683">
            <v>898504.62</v>
          </cell>
        </row>
        <row r="1686">
          <cell r="A1686" t="str">
            <v>72100000-00000000-00000000</v>
          </cell>
          <cell r="B1686" t="str">
            <v>COSTOS/GASTOS VAR OPERACIONES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</row>
        <row r="1687">
          <cell r="F1687">
            <v>0</v>
          </cell>
        </row>
        <row r="1688">
          <cell r="A1688" t="str">
            <v>72100000-10000000-00000000</v>
          </cell>
          <cell r="C1688">
            <v>0</v>
          </cell>
          <cell r="D1688">
            <v>0</v>
          </cell>
          <cell r="E1688">
            <v>0</v>
          </cell>
        </row>
        <row r="1689">
          <cell r="A1689" t="str">
            <v>72100000-10001000-00000000</v>
          </cell>
          <cell r="B1689" t="str">
            <v>COSTOS/GASTOS VAR OPERACIONES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</row>
        <row r="1690">
          <cell r="A1690" t="str">
            <v>72100000-10002000-00000000</v>
          </cell>
          <cell r="B1690" t="str">
            <v>COSTOS/GASTOS VAR EMBARQUES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</row>
        <row r="1691">
          <cell r="A1691" t="str">
            <v>72100000-10003000-00000000</v>
          </cell>
          <cell r="B1691" t="str">
            <v>COSTOS/GASTOS VAR MAT PRIMAS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</row>
        <row r="1692">
          <cell r="A1692" t="str">
            <v>72100000-10004000-00000000</v>
          </cell>
          <cell r="B1692" t="str">
            <v>COSTOS/GASTOS VAR PRODUCCION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</row>
        <row r="1693">
          <cell r="A1693" t="str">
            <v>72100000-10005000-00000000</v>
          </cell>
          <cell r="B1693" t="str">
            <v>COSTOS/GASTOS VAR LABORATORIO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</row>
        <row r="1694">
          <cell r="A1694" t="str">
            <v>72200000-00000000-00000000</v>
          </cell>
          <cell r="B1694" t="str">
            <v>COSTOS/GASTOS VAR ADMON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</row>
        <row r="1695">
          <cell r="F1695">
            <v>0</v>
          </cell>
        </row>
        <row r="1696">
          <cell r="A1696" t="str">
            <v>72200000-20000000-00000000</v>
          </cell>
          <cell r="C1696">
            <v>0</v>
          </cell>
          <cell r="D1696">
            <v>0</v>
          </cell>
          <cell r="E1696">
            <v>0</v>
          </cell>
        </row>
        <row r="1697">
          <cell r="A1697" t="str">
            <v>72200000-20001000-00000000</v>
          </cell>
          <cell r="B1697" t="str">
            <v>COSTOS/GASTOS VAR ADMON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</row>
        <row r="1698">
          <cell r="A1698" t="str">
            <v>72200000-20002000-00000000</v>
          </cell>
          <cell r="B1698" t="str">
            <v>COSTOS/GASTOS VAR LEGAL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</row>
        <row r="1699">
          <cell r="A1699" t="str">
            <v>72200000-20003000-00000000</v>
          </cell>
          <cell r="B1699" t="str">
            <v>COSTOS/GASTOS DIR GRAL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</row>
        <row r="1700">
          <cell r="A1700" t="str">
            <v>72200000-20004000-00000000</v>
          </cell>
          <cell r="B1700" t="str">
            <v>COSTOS/GASTOS VAR REC HUM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</row>
        <row r="1701">
          <cell r="A1701" t="str">
            <v>72300000-00000000-00000000</v>
          </cell>
          <cell r="B1701" t="str">
            <v>COSTOS/GASTOS VAR VENTAS</v>
          </cell>
          <cell r="C1701">
            <v>342479.64</v>
          </cell>
          <cell r="D1701">
            <v>97838.32</v>
          </cell>
          <cell r="E1701">
            <v>0</v>
          </cell>
          <cell r="F1701">
            <v>440317.96</v>
          </cell>
        </row>
        <row r="1702">
          <cell r="F1702">
            <v>440317.96</v>
          </cell>
        </row>
        <row r="1703">
          <cell r="A1703" t="str">
            <v>72300000-30000000-00000000</v>
          </cell>
          <cell r="B1703" t="str">
            <v>COSTOS/GASTOS VAR VENTAS</v>
          </cell>
          <cell r="C1703">
            <v>342479.64</v>
          </cell>
          <cell r="D1703">
            <v>97838.32</v>
          </cell>
          <cell r="E1703">
            <v>0</v>
          </cell>
        </row>
        <row r="1704">
          <cell r="A1704" t="str">
            <v>72300000-30001000-00000000</v>
          </cell>
          <cell r="B1704" t="str">
            <v>COSTOS/GASTOS VAR VTAS NAL</v>
          </cell>
          <cell r="C1704">
            <v>9415.89</v>
          </cell>
          <cell r="D1704">
            <v>7781.65</v>
          </cell>
          <cell r="E1704">
            <v>0</v>
          </cell>
          <cell r="F1704">
            <v>17197.54</v>
          </cell>
        </row>
        <row r="1705">
          <cell r="A1705" t="str">
            <v>72300000-30001000-01080000</v>
          </cell>
          <cell r="B1705" t="str">
            <v>COMISIONES</v>
          </cell>
          <cell r="C1705">
            <v>0</v>
          </cell>
          <cell r="D1705">
            <v>50</v>
          </cell>
          <cell r="E1705">
            <v>0</v>
          </cell>
          <cell r="F1705">
            <v>50</v>
          </cell>
        </row>
        <row r="1706">
          <cell r="A1706" t="str">
            <v>72300000-30001000-05010000</v>
          </cell>
          <cell r="B1706" t="str">
            <v>SERV. PROFESIONALES EXTERNOS</v>
          </cell>
          <cell r="C1706">
            <v>9415.89</v>
          </cell>
          <cell r="D1706">
            <v>7731.65</v>
          </cell>
          <cell r="E1706">
            <v>0</v>
          </cell>
          <cell r="F1706">
            <v>17147.54</v>
          </cell>
        </row>
        <row r="1707">
          <cell r="A1707" t="str">
            <v>72300000-30002000-00000000</v>
          </cell>
          <cell r="B1707" t="str">
            <v>COSTOS/GASTOS VAR DF 1</v>
          </cell>
          <cell r="C1707">
            <v>63021.21</v>
          </cell>
          <cell r="D1707">
            <v>14025.29</v>
          </cell>
          <cell r="E1707">
            <v>0</v>
          </cell>
          <cell r="F1707">
            <v>77046.5</v>
          </cell>
        </row>
        <row r="1708">
          <cell r="A1708" t="str">
            <v>72300000-30002000-01080000</v>
          </cell>
          <cell r="B1708" t="str">
            <v>COMISIONES</v>
          </cell>
          <cell r="C1708">
            <v>10474</v>
          </cell>
          <cell r="D1708">
            <v>4884</v>
          </cell>
          <cell r="E1708">
            <v>0</v>
          </cell>
          <cell r="F1708">
            <v>15358</v>
          </cell>
        </row>
        <row r="1709">
          <cell r="A1709" t="str">
            <v>72300000-30002000-01090000</v>
          </cell>
          <cell r="B1709" t="str">
            <v>BONOS Y PREMIOS POR LOGROS</v>
          </cell>
          <cell r="C1709">
            <v>24000</v>
          </cell>
          <cell r="D1709">
            <v>0</v>
          </cell>
          <cell r="E1709">
            <v>0</v>
          </cell>
          <cell r="F1709">
            <v>24000</v>
          </cell>
        </row>
        <row r="1710">
          <cell r="A1710" t="str">
            <v>72300000-30002000-05010000</v>
          </cell>
          <cell r="B1710" t="str">
            <v>SERV. PROFESIONALES EXTERNOS</v>
          </cell>
          <cell r="C1710">
            <v>28547.21</v>
          </cell>
          <cell r="D1710">
            <v>9141.2900000000009</v>
          </cell>
          <cell r="E1710">
            <v>0</v>
          </cell>
          <cell r="F1710">
            <v>37688.5</v>
          </cell>
        </row>
        <row r="1711">
          <cell r="A1711" t="str">
            <v>72300000-30003000-00000000</v>
          </cell>
          <cell r="B1711" t="str">
            <v>COSTOS/GASTOS VAR SUR</v>
          </cell>
          <cell r="C1711">
            <v>16566</v>
          </cell>
          <cell r="D1711">
            <v>2108</v>
          </cell>
          <cell r="E1711">
            <v>0</v>
          </cell>
          <cell r="F1711">
            <v>18674</v>
          </cell>
        </row>
        <row r="1712">
          <cell r="A1712" t="str">
            <v>72300000-30003000-01080000</v>
          </cell>
          <cell r="B1712" t="str">
            <v>COMISIONES</v>
          </cell>
          <cell r="C1712">
            <v>8566</v>
          </cell>
          <cell r="D1712">
            <v>2108</v>
          </cell>
          <cell r="E1712">
            <v>0</v>
          </cell>
          <cell r="F1712">
            <v>10674</v>
          </cell>
        </row>
        <row r="1713">
          <cell r="A1713" t="str">
            <v>72300000-30003000-01090000</v>
          </cell>
          <cell r="B1713" t="str">
            <v>BONOS Y PREMIOS POR LOGROS</v>
          </cell>
          <cell r="C1713">
            <v>8000</v>
          </cell>
          <cell r="D1713">
            <v>0</v>
          </cell>
          <cell r="E1713">
            <v>0</v>
          </cell>
          <cell r="F1713">
            <v>8000</v>
          </cell>
        </row>
        <row r="1714">
          <cell r="A1714" t="str">
            <v>72300000-30004000-00000000</v>
          </cell>
          <cell r="B1714" t="str">
            <v>COSTOS/GASTOS VAR GOLFO</v>
          </cell>
          <cell r="C1714">
            <v>23718</v>
          </cell>
          <cell r="D1714">
            <v>7296</v>
          </cell>
          <cell r="E1714">
            <v>0</v>
          </cell>
          <cell r="F1714">
            <v>31014</v>
          </cell>
        </row>
        <row r="1715">
          <cell r="A1715" t="str">
            <v>72300000-30004000-01080000</v>
          </cell>
          <cell r="B1715" t="str">
            <v>COMISIONES</v>
          </cell>
          <cell r="C1715">
            <v>15468</v>
          </cell>
          <cell r="D1715">
            <v>7296</v>
          </cell>
          <cell r="E1715">
            <v>0</v>
          </cell>
          <cell r="F1715">
            <v>22764</v>
          </cell>
        </row>
        <row r="1716">
          <cell r="A1716" t="str">
            <v>72300000-30004000-01090000</v>
          </cell>
          <cell r="B1716" t="str">
            <v>BONOS Y PREMIOS POR LOGROS</v>
          </cell>
          <cell r="C1716">
            <v>8250</v>
          </cell>
          <cell r="D1716">
            <v>0</v>
          </cell>
          <cell r="E1716">
            <v>0</v>
          </cell>
          <cell r="F1716">
            <v>8250</v>
          </cell>
        </row>
        <row r="1717">
          <cell r="A1717" t="str">
            <v>72300000-30005000-00000000</v>
          </cell>
          <cell r="B1717" t="str">
            <v>COSTOS/GASTOS VAR TIENDAS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</row>
        <row r="1718">
          <cell r="A1718" t="str">
            <v>72300000-30006000-00000000</v>
          </cell>
          <cell r="B1718" t="str">
            <v>COSTOS/GASTOS VAR NTE</v>
          </cell>
          <cell r="C1718">
            <v>33257.65</v>
          </cell>
          <cell r="D1718">
            <v>10004.969999999999</v>
          </cell>
          <cell r="E1718">
            <v>0</v>
          </cell>
          <cell r="F1718">
            <v>43262.62</v>
          </cell>
        </row>
        <row r="1719">
          <cell r="A1719" t="str">
            <v>72300000-30006000-05010000</v>
          </cell>
          <cell r="B1719" t="str">
            <v>SERV. PROFESIONALES EXTERNOS</v>
          </cell>
          <cell r="C1719">
            <v>33257.65</v>
          </cell>
          <cell r="D1719">
            <v>10004.969999999999</v>
          </cell>
          <cell r="E1719">
            <v>0</v>
          </cell>
          <cell r="F1719">
            <v>43262.62</v>
          </cell>
        </row>
        <row r="1720">
          <cell r="A1720" t="str">
            <v>72300000-30007000-00000000</v>
          </cell>
          <cell r="B1720" t="str">
            <v>COSTOS/GASTOS VAR PAC NTE</v>
          </cell>
          <cell r="C1720">
            <v>12070</v>
          </cell>
          <cell r="D1720">
            <v>8652</v>
          </cell>
          <cell r="E1720">
            <v>0</v>
          </cell>
          <cell r="F1720">
            <v>20722</v>
          </cell>
        </row>
        <row r="1721">
          <cell r="A1721" t="str">
            <v>72300000-30007000-01080000</v>
          </cell>
          <cell r="B1721" t="str">
            <v>COMISIONES</v>
          </cell>
          <cell r="C1721">
            <v>12070</v>
          </cell>
          <cell r="D1721">
            <v>8652</v>
          </cell>
          <cell r="E1721">
            <v>0</v>
          </cell>
          <cell r="F1721">
            <v>20722</v>
          </cell>
        </row>
        <row r="1722">
          <cell r="A1722" t="str">
            <v>72300000-30008000-00000000</v>
          </cell>
          <cell r="B1722" t="str">
            <v>COSTOS/GASTOS VAR PAC CTRO</v>
          </cell>
          <cell r="C1722">
            <v>12278</v>
          </cell>
          <cell r="D1722">
            <v>9750</v>
          </cell>
          <cell r="E1722">
            <v>0</v>
          </cell>
          <cell r="F1722">
            <v>22028</v>
          </cell>
        </row>
        <row r="1723">
          <cell r="A1723" t="str">
            <v>72300000-30008000-01080000</v>
          </cell>
          <cell r="B1723" t="str">
            <v>COMISIONES</v>
          </cell>
          <cell r="C1723">
            <v>12278</v>
          </cell>
          <cell r="D1723">
            <v>9750</v>
          </cell>
          <cell r="E1723">
            <v>0</v>
          </cell>
          <cell r="F1723">
            <v>22028</v>
          </cell>
        </row>
        <row r="1724">
          <cell r="A1724" t="str">
            <v>72300000-30009000-00000000</v>
          </cell>
          <cell r="B1724" t="str">
            <v>COSTOS/GASTOS VAR GDL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</row>
        <row r="1725">
          <cell r="A1725" t="str">
            <v>72300000-30010000-00000000</v>
          </cell>
          <cell r="B1725" t="str">
            <v>COSTOS/GASTOS VAR OCCIDENTE</v>
          </cell>
          <cell r="C1725">
            <v>4702</v>
          </cell>
          <cell r="D1725">
            <v>4086</v>
          </cell>
          <cell r="E1725">
            <v>0</v>
          </cell>
          <cell r="F1725">
            <v>8788</v>
          </cell>
        </row>
        <row r="1726">
          <cell r="A1726" t="str">
            <v>72300000-30010000-01080000</v>
          </cell>
          <cell r="B1726" t="str">
            <v>COMISIONES</v>
          </cell>
          <cell r="C1726">
            <v>4702</v>
          </cell>
          <cell r="D1726">
            <v>4086</v>
          </cell>
          <cell r="E1726">
            <v>0</v>
          </cell>
          <cell r="F1726">
            <v>8788</v>
          </cell>
        </row>
        <row r="1727">
          <cell r="A1727" t="str">
            <v>72300000-30011000-00000000</v>
          </cell>
          <cell r="B1727" t="str">
            <v>COSTOS/GASTOS VAR CONURBADA</v>
          </cell>
          <cell r="C1727">
            <v>58016</v>
          </cell>
          <cell r="D1727">
            <v>16876</v>
          </cell>
          <cell r="E1727">
            <v>0</v>
          </cell>
          <cell r="F1727">
            <v>74892</v>
          </cell>
        </row>
        <row r="1728">
          <cell r="A1728" t="str">
            <v>72300000-30011000-01080000</v>
          </cell>
          <cell r="B1728" t="str">
            <v>COMISIONES</v>
          </cell>
          <cell r="C1728">
            <v>27336</v>
          </cell>
          <cell r="D1728">
            <v>16876</v>
          </cell>
          <cell r="E1728">
            <v>0</v>
          </cell>
          <cell r="F1728">
            <v>44212</v>
          </cell>
        </row>
        <row r="1729">
          <cell r="A1729" t="str">
            <v>72300000-30011000-01090000</v>
          </cell>
          <cell r="B1729" t="str">
            <v>BONOS Y PREMIOS POR LOGROS</v>
          </cell>
          <cell r="C1729">
            <v>30680</v>
          </cell>
          <cell r="D1729">
            <v>0</v>
          </cell>
          <cell r="E1729">
            <v>0</v>
          </cell>
          <cell r="F1729">
            <v>30680</v>
          </cell>
        </row>
        <row r="1730">
          <cell r="A1730" t="str">
            <v>72300000-30012000-00000000</v>
          </cell>
          <cell r="B1730" t="str">
            <v>COSTOS/GASTOS VAR PRECOR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</row>
        <row r="1731">
          <cell r="A1731" t="str">
            <v>72300000-30013000-00000000</v>
          </cell>
          <cell r="B1731" t="str">
            <v>COSTOS/GASTOS VAR CANCUN</v>
          </cell>
          <cell r="C1731">
            <v>18996.77</v>
          </cell>
          <cell r="D1731">
            <v>819.38</v>
          </cell>
          <cell r="E1731">
            <v>0</v>
          </cell>
          <cell r="F1731">
            <v>19816.150000000001</v>
          </cell>
        </row>
        <row r="1732">
          <cell r="A1732" t="str">
            <v>72300000-30013000-05010000</v>
          </cell>
          <cell r="B1732" t="str">
            <v>SERV. PROFESIONALES EXTERNOS</v>
          </cell>
          <cell r="C1732">
            <v>18996.77</v>
          </cell>
          <cell r="D1732">
            <v>819.38</v>
          </cell>
          <cell r="E1732">
            <v>0</v>
          </cell>
          <cell r="F1732">
            <v>19816.150000000001</v>
          </cell>
        </row>
        <row r="1733">
          <cell r="A1733" t="str">
            <v>72300000-30014000-00000000</v>
          </cell>
          <cell r="B1733" t="str">
            <v>COSTOS/GASTOS VAR G. FORANEA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</row>
        <row r="1734">
          <cell r="A1734" t="str">
            <v>72300000-30015000-00000000</v>
          </cell>
          <cell r="B1734" t="str">
            <v>COSTOS/GASTOS VAR T AGRICULTUR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</row>
        <row r="1735">
          <cell r="A1735" t="str">
            <v>72300000-30016000-00000000</v>
          </cell>
          <cell r="B1735" t="str">
            <v>COSTOS/GASTOS VAR T IZTAPALAPA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</row>
        <row r="1736">
          <cell r="A1736" t="str">
            <v>72300000-30017000-00000000</v>
          </cell>
          <cell r="B1736" t="str">
            <v>COSTOS/GASTOS VAR T JALISCO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</row>
        <row r="1737">
          <cell r="A1737" t="str">
            <v>72300000-30018000-00000000</v>
          </cell>
          <cell r="B1737" t="str">
            <v>COSTOS/GASTOS VAR T ACOXPA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</row>
        <row r="1738">
          <cell r="A1738" t="str">
            <v>72300000-30019000-00000000</v>
          </cell>
          <cell r="B1738" t="str">
            <v>COSTOS/GASTOS VAR T DIV NORTE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</row>
        <row r="1739">
          <cell r="A1739" t="str">
            <v>72300000-30020000-00000000</v>
          </cell>
          <cell r="B1739" t="str">
            <v>COSTOS/GASTOS VAR T PORTALES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</row>
        <row r="1740">
          <cell r="A1740" t="str">
            <v>72300000-30021000-00000000</v>
          </cell>
          <cell r="B1740" t="str">
            <v>COSTOS/GASTOS VAR T CUAJIMALPA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</row>
        <row r="1741">
          <cell r="A1741" t="str">
            <v>72300000-30022000-00000000</v>
          </cell>
          <cell r="B1741" t="str">
            <v>COSTOS/GASTOS VAR T ECATEPEC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</row>
        <row r="1742">
          <cell r="A1742" t="str">
            <v>72300000-30023000-00000000</v>
          </cell>
          <cell r="B1742" t="str">
            <v>COSTOS/GASTOS FIJOS COACALCO 1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</row>
        <row r="1743">
          <cell r="A1743" t="str">
            <v>72300000-30024000-00000000</v>
          </cell>
          <cell r="B1743" t="str">
            <v>COSTOS/GASTOS FIJOS COACALCO 2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</row>
        <row r="1744">
          <cell r="A1744" t="str">
            <v>72300000-30025000-00000000</v>
          </cell>
          <cell r="B1744" t="str">
            <v>COSTOS/GASTOS VAR OCCIDENTE 2</v>
          </cell>
          <cell r="C1744">
            <v>28530.720000000001</v>
          </cell>
          <cell r="D1744">
            <v>2758.29</v>
          </cell>
          <cell r="E1744">
            <v>0</v>
          </cell>
          <cell r="F1744">
            <v>31289.01</v>
          </cell>
        </row>
        <row r="1745">
          <cell r="A1745" t="str">
            <v>72300000-30025000-05010000</v>
          </cell>
          <cell r="B1745" t="str">
            <v>SERV. PROFESIONALES EXTERNOS</v>
          </cell>
          <cell r="C1745">
            <v>28530.720000000001</v>
          </cell>
          <cell r="D1745">
            <v>2758.29</v>
          </cell>
          <cell r="E1745">
            <v>0</v>
          </cell>
          <cell r="F1745">
            <v>31289.01</v>
          </cell>
        </row>
        <row r="1746">
          <cell r="A1746" t="str">
            <v>72300000-30026000-00000000</v>
          </cell>
          <cell r="B1746" t="str">
            <v>COSTOS/GASTOS FIJOS DF 2</v>
          </cell>
          <cell r="C1746">
            <v>45809.84</v>
          </cell>
          <cell r="D1746">
            <v>9212.3799999999992</v>
          </cell>
          <cell r="E1746">
            <v>0</v>
          </cell>
          <cell r="F1746">
            <v>55022.22</v>
          </cell>
        </row>
        <row r="1747">
          <cell r="A1747" t="str">
            <v>72300000-30026000-05010000</v>
          </cell>
          <cell r="B1747" t="str">
            <v>SERV. PROFESIONALES EXTERNOS</v>
          </cell>
          <cell r="C1747">
            <v>45809.84</v>
          </cell>
          <cell r="D1747">
            <v>9212.3799999999992</v>
          </cell>
          <cell r="E1747">
            <v>0</v>
          </cell>
          <cell r="F1747">
            <v>55022.22</v>
          </cell>
        </row>
        <row r="1748">
          <cell r="A1748" t="str">
            <v>72300000-30027000-00000000</v>
          </cell>
          <cell r="B1748" t="str">
            <v>COSTOS/GASTOS FIJOS DF 3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</row>
        <row r="1749">
          <cell r="A1749" t="str">
            <v>72300000-30028000-00000000</v>
          </cell>
          <cell r="B1749" t="str">
            <v>COSTOS/GASTOS FIJOS DF 4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</row>
        <row r="1750">
          <cell r="A1750" t="str">
            <v>72300000-30029000-00000000</v>
          </cell>
          <cell r="B1750" t="str">
            <v>COSTOS/GASTOS FIJOS DF 5</v>
          </cell>
          <cell r="C1750">
            <v>16097.56</v>
          </cell>
          <cell r="D1750">
            <v>4468.3599999999997</v>
          </cell>
          <cell r="E1750">
            <v>0</v>
          </cell>
          <cell r="F1750">
            <v>20565.919999999998</v>
          </cell>
        </row>
        <row r="1751">
          <cell r="A1751" t="str">
            <v>72300000-30029000-05010000</v>
          </cell>
          <cell r="B1751" t="str">
            <v>SERV. PROFESIONALES EXTERNOS</v>
          </cell>
          <cell r="C1751">
            <v>16097.56</v>
          </cell>
          <cell r="D1751">
            <v>4468.3599999999997</v>
          </cell>
          <cell r="E1751">
            <v>0</v>
          </cell>
          <cell r="F1751">
            <v>20565.919999999998</v>
          </cell>
        </row>
        <row r="1752">
          <cell r="A1752" t="str">
            <v>72400000-00000000-00000000</v>
          </cell>
          <cell r="B1752" t="str">
            <v>COSTOS/GASTOS VAR MKT</v>
          </cell>
          <cell r="C1752">
            <v>140966.87</v>
          </cell>
          <cell r="D1752">
            <v>234136.2</v>
          </cell>
          <cell r="E1752">
            <v>450</v>
          </cell>
          <cell r="F1752">
            <v>374653.07</v>
          </cell>
        </row>
        <row r="1753">
          <cell r="F1753">
            <v>374653.07</v>
          </cell>
        </row>
        <row r="1754">
          <cell r="A1754" t="str">
            <v>72400000-40000000-00000000</v>
          </cell>
          <cell r="B1754" t="str">
            <v>COSTOS/GASTOS VAR MKT</v>
          </cell>
          <cell r="C1754">
            <v>140966.87</v>
          </cell>
          <cell r="D1754">
            <v>234136.2</v>
          </cell>
          <cell r="E1754">
            <v>450</v>
          </cell>
        </row>
        <row r="1755">
          <cell r="A1755" t="str">
            <v>72400000-40001000-00000000</v>
          </cell>
          <cell r="B1755" t="str">
            <v>COSTOS/GASTOS VAR MKT GRAL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</row>
        <row r="1756">
          <cell r="A1756" t="str">
            <v>72400000-40002000-00000000</v>
          </cell>
          <cell r="B1756" t="str">
            <v>COSTOS/GASTOS VAR CAPACITACION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</row>
        <row r="1757">
          <cell r="A1757" t="str">
            <v>72400000-40003000-00000000</v>
          </cell>
          <cell r="B1757" t="str">
            <v>COSTOS/GASTOS VAR PUB Y MKT</v>
          </cell>
          <cell r="C1757">
            <v>140966.87</v>
          </cell>
          <cell r="D1757">
            <v>234136.2</v>
          </cell>
          <cell r="E1757">
            <v>450</v>
          </cell>
          <cell r="F1757">
            <v>374653.07</v>
          </cell>
        </row>
        <row r="1758">
          <cell r="A1758" t="str">
            <v>72400000-40003000-24010000</v>
          </cell>
          <cell r="B1758" t="str">
            <v>MATERIAL DE APOYO</v>
          </cell>
          <cell r="C1758">
            <v>1431.4</v>
          </cell>
          <cell r="D1758">
            <v>0</v>
          </cell>
          <cell r="E1758">
            <v>0</v>
          </cell>
          <cell r="F1758">
            <v>1431.4</v>
          </cell>
        </row>
        <row r="1759">
          <cell r="A1759" t="str">
            <v>72400000-40003000-27010000</v>
          </cell>
          <cell r="B1759" t="str">
            <v>EXPOSICIONES Y EVENTOS PROFESI</v>
          </cell>
          <cell r="C1759">
            <v>10582.97</v>
          </cell>
          <cell r="D1759">
            <v>112792</v>
          </cell>
          <cell r="E1759">
            <v>0</v>
          </cell>
          <cell r="F1759">
            <v>123374.97</v>
          </cell>
        </row>
        <row r="1760">
          <cell r="A1760" t="str">
            <v>72400000-40003000-27050000</v>
          </cell>
          <cell r="B1760" t="str">
            <v>ROTULACION DE VEHICULOS</v>
          </cell>
          <cell r="C1760">
            <v>800</v>
          </cell>
          <cell r="D1760">
            <v>9500</v>
          </cell>
          <cell r="E1760">
            <v>0</v>
          </cell>
          <cell r="F1760">
            <v>10300</v>
          </cell>
        </row>
        <row r="1761">
          <cell r="A1761" t="str">
            <v>72400000-40003000-27060000</v>
          </cell>
          <cell r="B1761" t="str">
            <v>ROTULACION MANTAS</v>
          </cell>
          <cell r="C1761">
            <v>300</v>
          </cell>
          <cell r="D1761">
            <v>450</v>
          </cell>
          <cell r="E1761">
            <v>450</v>
          </cell>
          <cell r="F1761">
            <v>300</v>
          </cell>
        </row>
        <row r="1762">
          <cell r="A1762" t="str">
            <v>72400000-40003000-27070000</v>
          </cell>
          <cell r="B1762" t="str">
            <v>ARTICULOS PROMOCIONALES</v>
          </cell>
          <cell r="C1762">
            <v>43159.73</v>
          </cell>
          <cell r="D1762">
            <v>25020</v>
          </cell>
          <cell r="E1762">
            <v>0</v>
          </cell>
          <cell r="F1762">
            <v>68179.73</v>
          </cell>
        </row>
        <row r="1763">
          <cell r="A1763" t="str">
            <v>72400000-40003000-27080000</v>
          </cell>
          <cell r="B1763" t="str">
            <v>FOLLETERIA CARTA DE COLORES</v>
          </cell>
          <cell r="C1763">
            <v>46450</v>
          </cell>
          <cell r="D1763">
            <v>62455</v>
          </cell>
          <cell r="E1763">
            <v>0</v>
          </cell>
          <cell r="F1763">
            <v>108905</v>
          </cell>
        </row>
        <row r="1764">
          <cell r="A1764" t="str">
            <v>72400000-40003000-27120000</v>
          </cell>
          <cell r="B1764" t="str">
            <v>AGENCIAS PUBLICITARIAS</v>
          </cell>
          <cell r="C1764">
            <v>20000</v>
          </cell>
          <cell r="D1764">
            <v>20000</v>
          </cell>
          <cell r="E1764">
            <v>0</v>
          </cell>
          <cell r="F1764">
            <v>40000</v>
          </cell>
        </row>
        <row r="1765">
          <cell r="A1765" t="str">
            <v>72400000-40003000-27180000</v>
          </cell>
          <cell r="B1765" t="str">
            <v>REMODELA DISEÑO</v>
          </cell>
          <cell r="C1765">
            <v>6465.52</v>
          </cell>
          <cell r="D1765">
            <v>0</v>
          </cell>
          <cell r="E1765">
            <v>0</v>
          </cell>
          <cell r="F1765">
            <v>6465.52</v>
          </cell>
        </row>
        <row r="1766">
          <cell r="A1766" t="str">
            <v>72400000-40003000-27190000</v>
          </cell>
          <cell r="B1766" t="str">
            <v>REMODELA ROTULACION</v>
          </cell>
          <cell r="C1766">
            <v>1200</v>
          </cell>
          <cell r="D1766">
            <v>3919.2</v>
          </cell>
          <cell r="E1766">
            <v>0</v>
          </cell>
          <cell r="F1766">
            <v>5119.2</v>
          </cell>
        </row>
        <row r="1767">
          <cell r="A1767" t="str">
            <v>72400000-40003000-27200000</v>
          </cell>
          <cell r="B1767" t="str">
            <v>EXPOSICIONES CON DISTRIBUIDOR</v>
          </cell>
          <cell r="C1767">
            <v>6642.25</v>
          </cell>
          <cell r="D1767">
            <v>0</v>
          </cell>
          <cell r="E1767">
            <v>0</v>
          </cell>
          <cell r="F1767">
            <v>6642.25</v>
          </cell>
        </row>
        <row r="1768">
          <cell r="A1768" t="str">
            <v>72400000-40003000-27210000</v>
          </cell>
          <cell r="B1768" t="str">
            <v>PUBLICIDAD CON DISTRIBUIDORES</v>
          </cell>
          <cell r="C1768">
            <v>3935</v>
          </cell>
          <cell r="D1768">
            <v>0</v>
          </cell>
          <cell r="E1768">
            <v>0</v>
          </cell>
          <cell r="F1768">
            <v>3935</v>
          </cell>
        </row>
        <row r="1769">
          <cell r="A1769" t="str">
            <v>72400000-40004000-00000000</v>
          </cell>
          <cell r="B1769" t="str">
            <v>COSTOS/GASTOS VAR EXPORT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</row>
        <row r="1770">
          <cell r="A1770" t="str">
            <v>72400000-40005000-00000000</v>
          </cell>
          <cell r="B1770" t="str">
            <v>COSTOS/GASTOS FIJOS ESPECIFIC.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</row>
        <row r="1771">
          <cell r="A1771" t="str">
            <v>72400000-40013000-00000000</v>
          </cell>
          <cell r="B1771" t="str">
            <v>COSTOS/GASTOS VAR CANCUN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</row>
        <row r="1772">
          <cell r="A1772" t="str">
            <v>72500000-00000000-00000000</v>
          </cell>
          <cell r="B1772" t="str">
            <v>COSTOS/GASTOS VAR EXPORTACION</v>
          </cell>
          <cell r="C1772">
            <v>11694.95</v>
          </cell>
          <cell r="D1772">
            <v>71838.64</v>
          </cell>
          <cell r="E1772">
            <v>0</v>
          </cell>
          <cell r="F1772">
            <v>83533.59</v>
          </cell>
        </row>
        <row r="1773">
          <cell r="F1773">
            <v>83533.59</v>
          </cell>
        </row>
        <row r="1774">
          <cell r="A1774" t="str">
            <v>72500000-20000000-00000000</v>
          </cell>
          <cell r="C1774">
            <v>0</v>
          </cell>
          <cell r="D1774">
            <v>0</v>
          </cell>
          <cell r="E1774">
            <v>0</v>
          </cell>
        </row>
        <row r="1775">
          <cell r="A1775" t="str">
            <v>72500000-20001000-00000000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</row>
        <row r="1776">
          <cell r="A1776" t="str">
            <v>72500000-50000000-00000000</v>
          </cell>
          <cell r="B1776" t="str">
            <v>COSTOS/GASTOS VAR EXPORTACION</v>
          </cell>
          <cell r="C1776">
            <v>11694.95</v>
          </cell>
          <cell r="D1776">
            <v>71838.64</v>
          </cell>
          <cell r="E1776">
            <v>0</v>
          </cell>
        </row>
        <row r="1777">
          <cell r="A1777" t="str">
            <v>72500000-50001000-00000000</v>
          </cell>
          <cell r="B1777" t="str">
            <v>COSTOS/GASTOS VAR ESPORT</v>
          </cell>
          <cell r="C1777">
            <v>11694.95</v>
          </cell>
          <cell r="D1777">
            <v>71838.64</v>
          </cell>
          <cell r="E1777">
            <v>0</v>
          </cell>
          <cell r="F1777">
            <v>83533.59</v>
          </cell>
        </row>
        <row r="1778">
          <cell r="A1778" t="str">
            <v>72500000-50001000-22050000</v>
          </cell>
          <cell r="B1778" t="str">
            <v>COMISIONES Y ASESORIAS EXTERNA</v>
          </cell>
          <cell r="C1778">
            <v>11694.95</v>
          </cell>
          <cell r="D1778">
            <v>71838.64</v>
          </cell>
          <cell r="E1778">
            <v>0</v>
          </cell>
          <cell r="F1778">
            <v>83533.59</v>
          </cell>
        </row>
        <row r="1779">
          <cell r="A1779" t="str">
            <v>80000000-00000000-00000000</v>
          </cell>
          <cell r="C1779">
            <v>111446.43</v>
          </cell>
          <cell r="D1779">
            <v>111446.43</v>
          </cell>
          <cell r="E1779">
            <v>0</v>
          </cell>
          <cell r="F1779">
            <v>222892.86</v>
          </cell>
        </row>
      </sheetData>
      <sheetData sheetId="2">
        <row r="1179">
          <cell r="A1179" t="str">
            <v>71100000-10004000-23100000</v>
          </cell>
          <cell r="B1179" t="str">
            <v>ETIQUETAS Y CODIGOS</v>
          </cell>
          <cell r="C1179">
            <v>9385</v>
          </cell>
          <cell r="D1179">
            <v>0</v>
          </cell>
          <cell r="E1179">
            <v>0</v>
          </cell>
          <cell r="F1179">
            <v>9385</v>
          </cell>
        </row>
        <row r="1180">
          <cell r="A1180" t="str">
            <v>71100000-10004000-23120000</v>
          </cell>
          <cell r="B1180" t="str">
            <v>DIVERSOS</v>
          </cell>
          <cell r="C1180">
            <v>20676.57</v>
          </cell>
          <cell r="D1180">
            <v>6874.27</v>
          </cell>
          <cell r="E1180">
            <v>0</v>
          </cell>
          <cell r="F1180">
            <v>27550.84</v>
          </cell>
        </row>
        <row r="1181">
          <cell r="A1181" t="str">
            <v>71100000-10004000-23150000</v>
          </cell>
          <cell r="B1181" t="str">
            <v>ASEO LIMPIEZA E IMPLEMENTOS</v>
          </cell>
          <cell r="C1181">
            <v>0</v>
          </cell>
          <cell r="D1181">
            <v>196.5</v>
          </cell>
          <cell r="E1181">
            <v>0</v>
          </cell>
          <cell r="F1181">
            <v>196.5</v>
          </cell>
        </row>
        <row r="1182">
          <cell r="A1182" t="str">
            <v>71100000-10004000-23160000</v>
          </cell>
          <cell r="B1182" t="str">
            <v>ENFERMERIA</v>
          </cell>
          <cell r="C1182">
            <v>8484</v>
          </cell>
          <cell r="D1182">
            <v>3352</v>
          </cell>
          <cell r="E1182">
            <v>0</v>
          </cell>
          <cell r="F1182">
            <v>11836</v>
          </cell>
        </row>
        <row r="1183">
          <cell r="A1183" t="str">
            <v>71100000-10004000-35020000</v>
          </cell>
          <cell r="B1183" t="str">
            <v>DIVERSOS NO DEDUCIBLES</v>
          </cell>
          <cell r="C1183">
            <v>300</v>
          </cell>
          <cell r="D1183">
            <v>225</v>
          </cell>
          <cell r="E1183">
            <v>0</v>
          </cell>
          <cell r="F1183">
            <v>525</v>
          </cell>
        </row>
        <row r="1184">
          <cell r="A1184" t="str">
            <v>71100000-10004000-90030000</v>
          </cell>
          <cell r="B1184" t="str">
            <v>PROVISION AGUINALDO</v>
          </cell>
          <cell r="C1184">
            <v>22723.32</v>
          </cell>
          <cell r="D1184">
            <v>11361.66</v>
          </cell>
          <cell r="E1184">
            <v>0</v>
          </cell>
          <cell r="F1184">
            <v>34084.980000000003</v>
          </cell>
        </row>
        <row r="1185">
          <cell r="A1185" t="str">
            <v>71100000-10004000-90040000</v>
          </cell>
          <cell r="B1185" t="str">
            <v>BOLETIN D-3</v>
          </cell>
          <cell r="C1185">
            <v>1638</v>
          </cell>
          <cell r="D1185">
            <v>819</v>
          </cell>
          <cell r="E1185">
            <v>0</v>
          </cell>
          <cell r="F1185">
            <v>2457</v>
          </cell>
        </row>
        <row r="1186">
          <cell r="A1186" t="str">
            <v>71100000-10005000-00000000</v>
          </cell>
          <cell r="B1186" t="str">
            <v>COSTOS/GASTOS FIJOS LABORATORI</v>
          </cell>
          <cell r="C1186">
            <v>411505.33</v>
          </cell>
          <cell r="D1186">
            <v>209423.64</v>
          </cell>
          <cell r="E1186">
            <v>2346.96</v>
          </cell>
          <cell r="F1186">
            <v>618582.01</v>
          </cell>
        </row>
        <row r="1187">
          <cell r="A1187" t="str">
            <v>71100000-10005000-01010000</v>
          </cell>
          <cell r="B1187" t="str">
            <v>SUELDOS Y SALARIOS</v>
          </cell>
          <cell r="C1187">
            <v>143169.16</v>
          </cell>
          <cell r="D1187">
            <v>82696.28</v>
          </cell>
          <cell r="E1187">
            <v>0</v>
          </cell>
          <cell r="F1187">
            <v>225865.44</v>
          </cell>
        </row>
        <row r="1188">
          <cell r="A1188" t="str">
            <v>71100000-10005000-01030000</v>
          </cell>
          <cell r="B1188" t="str">
            <v>GRATIFICACIONES</v>
          </cell>
          <cell r="C1188">
            <v>24743.84</v>
          </cell>
          <cell r="D1188">
            <v>6135.12</v>
          </cell>
          <cell r="E1188">
            <v>0</v>
          </cell>
          <cell r="F1188">
            <v>30878.959999999999</v>
          </cell>
        </row>
        <row r="1189">
          <cell r="A1189" t="str">
            <v>71100000-10005000-01040000</v>
          </cell>
          <cell r="B1189" t="str">
            <v>VACACIONES</v>
          </cell>
          <cell r="C1189">
            <v>8152</v>
          </cell>
          <cell r="D1189">
            <v>5012.6400000000003</v>
          </cell>
          <cell r="E1189">
            <v>0</v>
          </cell>
          <cell r="F1189">
            <v>13164.64</v>
          </cell>
        </row>
        <row r="1190">
          <cell r="A1190" t="str">
            <v>71100000-10005000-01050000</v>
          </cell>
          <cell r="B1190" t="str">
            <v>PRIMA VACACIONAL</v>
          </cell>
          <cell r="C1190">
            <v>5298.8</v>
          </cell>
          <cell r="D1190">
            <v>3258.21</v>
          </cell>
          <cell r="E1190">
            <v>0</v>
          </cell>
          <cell r="F1190">
            <v>8557.01</v>
          </cell>
        </row>
        <row r="1191">
          <cell r="A1191" t="str">
            <v>71100000-10005000-03010000</v>
          </cell>
          <cell r="B1191" t="str">
            <v>FONDO DE AHORRO</v>
          </cell>
          <cell r="C1191">
            <v>11453.52</v>
          </cell>
          <cell r="D1191">
            <v>6615.72</v>
          </cell>
          <cell r="E1191">
            <v>0</v>
          </cell>
          <cell r="F1191">
            <v>18069.240000000002</v>
          </cell>
        </row>
        <row r="1192">
          <cell r="A1192" t="str">
            <v>71100000-10005000-03020000</v>
          </cell>
          <cell r="B1192" t="str">
            <v>CUOTAS AL I.M.S.S.</v>
          </cell>
          <cell r="C1192">
            <v>19663.099999999999</v>
          </cell>
          <cell r="D1192">
            <v>9182.57</v>
          </cell>
          <cell r="E1192">
            <v>0</v>
          </cell>
          <cell r="F1192">
            <v>28845.67</v>
          </cell>
        </row>
        <row r="1193">
          <cell r="A1193" t="str">
            <v>71100000-10005000-03030000</v>
          </cell>
          <cell r="B1193" t="str">
            <v>UNIFORMES Y EQUIPO</v>
          </cell>
          <cell r="C1193">
            <v>5208</v>
          </cell>
          <cell r="D1193">
            <v>0</v>
          </cell>
          <cell r="E1193">
            <v>0</v>
          </cell>
          <cell r="F1193">
            <v>5208</v>
          </cell>
        </row>
        <row r="1194">
          <cell r="A1194" t="str">
            <v>71100000-10005000-03040000</v>
          </cell>
          <cell r="B1194" t="str">
            <v>DESPENSA EN VALES</v>
          </cell>
          <cell r="C1194">
            <v>5976</v>
          </cell>
          <cell r="D1194">
            <v>3598</v>
          </cell>
          <cell r="E1194">
            <v>0</v>
          </cell>
          <cell r="F1194">
            <v>9574</v>
          </cell>
        </row>
        <row r="1195">
          <cell r="A1195" t="str">
            <v>71100000-10005000-04010000</v>
          </cell>
          <cell r="B1195" t="str">
            <v>2.5% SOBRE NOMINAS</v>
          </cell>
          <cell r="C1195">
            <v>4820</v>
          </cell>
          <cell r="D1195">
            <v>2593</v>
          </cell>
          <cell r="E1195">
            <v>0</v>
          </cell>
          <cell r="F1195">
            <v>7413</v>
          </cell>
        </row>
        <row r="1196">
          <cell r="A1196" t="str">
            <v>71100000-10005000-04020000</v>
          </cell>
          <cell r="B1196" t="str">
            <v>5% INFONAVIT</v>
          </cell>
          <cell r="C1196">
            <v>12315.89</v>
          </cell>
          <cell r="D1196">
            <v>5529.37</v>
          </cell>
          <cell r="E1196">
            <v>0</v>
          </cell>
          <cell r="F1196">
            <v>17845.259999999998</v>
          </cell>
        </row>
        <row r="1197">
          <cell r="A1197" t="str">
            <v>71100000-10005000-04030000</v>
          </cell>
          <cell r="B1197" t="str">
            <v>2% S.A.R. / RETIRO</v>
          </cell>
          <cell r="C1197">
            <v>4926.3500000000004</v>
          </cell>
          <cell r="D1197">
            <v>2211.75</v>
          </cell>
          <cell r="E1197">
            <v>0</v>
          </cell>
          <cell r="F1197">
            <v>7138.1</v>
          </cell>
        </row>
        <row r="1198">
          <cell r="A1198" t="str">
            <v>71100000-10005000-04040000</v>
          </cell>
          <cell r="B1198" t="str">
            <v>CESANTIA Y VEJEZ</v>
          </cell>
          <cell r="C1198">
            <v>7759.01</v>
          </cell>
          <cell r="D1198">
            <v>3483.49</v>
          </cell>
          <cell r="E1198">
            <v>0</v>
          </cell>
          <cell r="F1198">
            <v>11242.5</v>
          </cell>
        </row>
        <row r="1199">
          <cell r="A1199" t="str">
            <v>71100000-10005000-05010000</v>
          </cell>
          <cell r="B1199" t="str">
            <v>SERV. PROFESIONALES EXTERNOS</v>
          </cell>
          <cell r="C1199">
            <v>52025.21</v>
          </cell>
          <cell r="D1199">
            <v>29846.1</v>
          </cell>
          <cell r="E1199">
            <v>0</v>
          </cell>
          <cell r="F1199">
            <v>81871.31</v>
          </cell>
        </row>
        <row r="1200">
          <cell r="A1200" t="str">
            <v>71100000-10005000-12010000</v>
          </cell>
          <cell r="B1200" t="str">
            <v>ARREND. AUTOMOVILES</v>
          </cell>
          <cell r="C1200">
            <v>5338.42</v>
          </cell>
          <cell r="D1200">
            <v>2669.21</v>
          </cell>
          <cell r="E1200">
            <v>0</v>
          </cell>
          <cell r="F1200">
            <v>8007.63</v>
          </cell>
        </row>
        <row r="1201">
          <cell r="A1201" t="str">
            <v>71100000-10005000-15010000</v>
          </cell>
          <cell r="B1201" t="str">
            <v>MANT. AUTOMOVILES</v>
          </cell>
          <cell r="C1201">
            <v>2074.14</v>
          </cell>
          <cell r="D1201">
            <v>0</v>
          </cell>
          <cell r="E1201">
            <v>0</v>
          </cell>
          <cell r="F1201">
            <v>2074.14</v>
          </cell>
        </row>
        <row r="1202">
          <cell r="A1202" t="str">
            <v>71100000-10005000-15040000</v>
          </cell>
          <cell r="B1202" t="str">
            <v>MANTTO A EQUIPOS DE PRODUCCION</v>
          </cell>
          <cell r="C1202">
            <v>3136.93</v>
          </cell>
          <cell r="D1202">
            <v>0</v>
          </cell>
          <cell r="E1202">
            <v>0</v>
          </cell>
          <cell r="F1202">
            <v>3136.93</v>
          </cell>
        </row>
        <row r="1203">
          <cell r="A1203" t="str">
            <v>71100000-10005000-15060000</v>
          </cell>
          <cell r="B1203" t="str">
            <v>MANTTO A EQUIPOS DE COMPUTO</v>
          </cell>
          <cell r="C1203">
            <v>1762.6</v>
          </cell>
          <cell r="D1203">
            <v>2555.16</v>
          </cell>
          <cell r="E1203">
            <v>0</v>
          </cell>
          <cell r="F1203">
            <v>4317.76</v>
          </cell>
        </row>
        <row r="1204">
          <cell r="A1204" t="str">
            <v>71100000-10005000-16010000</v>
          </cell>
          <cell r="B1204" t="str">
            <v>PAPELERIA</v>
          </cell>
          <cell r="C1204">
            <v>5121.1499999999996</v>
          </cell>
          <cell r="D1204">
            <v>0</v>
          </cell>
          <cell r="E1204">
            <v>0</v>
          </cell>
          <cell r="F1204">
            <v>5121.1499999999996</v>
          </cell>
        </row>
        <row r="1205">
          <cell r="A1205" t="str">
            <v>71100000-10005000-16040000</v>
          </cell>
          <cell r="B1205" t="str">
            <v>IMPLEMENTOS DE OFICINA</v>
          </cell>
          <cell r="C1205">
            <v>16620.68</v>
          </cell>
          <cell r="D1205">
            <v>0</v>
          </cell>
          <cell r="E1205">
            <v>0</v>
          </cell>
          <cell r="F1205">
            <v>16620.68</v>
          </cell>
        </row>
        <row r="1206">
          <cell r="A1206" t="str">
            <v>71100000-10005000-16050000</v>
          </cell>
          <cell r="B1206" t="str">
            <v>HERRAMIENTAS</v>
          </cell>
          <cell r="C1206">
            <v>16494.990000000002</v>
          </cell>
          <cell r="D1206">
            <v>612.44000000000005</v>
          </cell>
          <cell r="E1206">
            <v>0</v>
          </cell>
          <cell r="F1206">
            <v>17107.43</v>
          </cell>
        </row>
        <row r="1207">
          <cell r="A1207" t="str">
            <v>71100000-10005000-18020000</v>
          </cell>
          <cell r="B1207" t="str">
            <v>PASAJES Y TRANSPORTES LOCALES</v>
          </cell>
          <cell r="C1207">
            <v>2025</v>
          </cell>
          <cell r="D1207">
            <v>2160</v>
          </cell>
          <cell r="E1207">
            <v>0</v>
          </cell>
          <cell r="F1207">
            <v>4185</v>
          </cell>
        </row>
        <row r="1208">
          <cell r="A1208" t="str">
            <v>71100000-10005000-18030000</v>
          </cell>
          <cell r="B1208" t="str">
            <v>GASTOS DE REPRESENTACION TRANS</v>
          </cell>
          <cell r="C1208">
            <v>3964</v>
          </cell>
          <cell r="D1208">
            <v>6236</v>
          </cell>
          <cell r="E1208">
            <v>0</v>
          </cell>
          <cell r="F1208">
            <v>10200</v>
          </cell>
        </row>
        <row r="1209">
          <cell r="A1209" t="str">
            <v>71100000-10005000-18040000</v>
          </cell>
          <cell r="B1209" t="str">
            <v>GASTOS DE REPRESENTACION ALIME</v>
          </cell>
          <cell r="C1209">
            <v>1329.19</v>
          </cell>
          <cell r="D1209">
            <v>1593.97</v>
          </cell>
          <cell r="E1209">
            <v>0</v>
          </cell>
          <cell r="F1209">
            <v>2923.16</v>
          </cell>
        </row>
        <row r="1210">
          <cell r="A1210" t="str">
            <v>71100000-10005000-18110000</v>
          </cell>
          <cell r="B1210" t="str">
            <v>CONSUMOS RESTAURANT</v>
          </cell>
          <cell r="C1210">
            <v>39.119999999999997</v>
          </cell>
          <cell r="D1210">
            <v>0</v>
          </cell>
          <cell r="E1210">
            <v>0</v>
          </cell>
          <cell r="F1210">
            <v>39.119999999999997</v>
          </cell>
        </row>
        <row r="1211">
          <cell r="A1211" t="str">
            <v>71100000-10005000-19030000</v>
          </cell>
          <cell r="B1211" t="str">
            <v>TELEFONOS CELULARES</v>
          </cell>
          <cell r="C1211">
            <v>1581.68</v>
          </cell>
          <cell r="D1211">
            <v>0</v>
          </cell>
          <cell r="E1211">
            <v>0</v>
          </cell>
          <cell r="F1211">
            <v>1581.68</v>
          </cell>
        </row>
        <row r="1212">
          <cell r="A1212" t="str">
            <v>71100000-10005000-20010000</v>
          </cell>
          <cell r="B1212" t="str">
            <v>COMBUSTIBLE AUTOMOVILES</v>
          </cell>
          <cell r="C1212">
            <v>7586.21</v>
          </cell>
          <cell r="D1212">
            <v>5478.26</v>
          </cell>
          <cell r="E1212">
            <v>0</v>
          </cell>
          <cell r="F1212">
            <v>13064.47</v>
          </cell>
        </row>
        <row r="1213">
          <cell r="A1213" t="str">
            <v>71100000-10005000-23060000</v>
          </cell>
          <cell r="B1213" t="str">
            <v>GASTOS DE INVESTIGACION Y DESA</v>
          </cell>
          <cell r="C1213">
            <v>18890.810000000001</v>
          </cell>
          <cell r="D1213">
            <v>7629.24</v>
          </cell>
          <cell r="E1213">
            <v>0</v>
          </cell>
          <cell r="F1213">
            <v>26520.05</v>
          </cell>
        </row>
        <row r="1214">
          <cell r="A1214" t="str">
            <v>71100000-10005000-23120000</v>
          </cell>
          <cell r="B1214" t="str">
            <v>DIVERSOS</v>
          </cell>
          <cell r="C1214">
            <v>4778.59</v>
          </cell>
          <cell r="D1214">
            <v>5633.98</v>
          </cell>
          <cell r="E1214">
            <v>0</v>
          </cell>
          <cell r="F1214">
            <v>10412.57</v>
          </cell>
        </row>
        <row r="1215">
          <cell r="A1215" t="str">
            <v>71100000-10005000-23130000</v>
          </cell>
          <cell r="B1215" t="str">
            <v>OTROS IMPUESTOS Y DERECHOS</v>
          </cell>
          <cell r="C1215">
            <v>359.32</v>
          </cell>
          <cell r="D1215">
            <v>6243.83</v>
          </cell>
          <cell r="E1215">
            <v>2346.96</v>
          </cell>
          <cell r="F1215">
            <v>4256.1899999999996</v>
          </cell>
        </row>
        <row r="1216">
          <cell r="A1216" t="str">
            <v>71100000-10005000-35020000</v>
          </cell>
          <cell r="B1216" t="str">
            <v>DIVERSOS NO DEDUCIBLES</v>
          </cell>
          <cell r="C1216">
            <v>2388.62</v>
          </cell>
          <cell r="D1216">
            <v>2197.8000000000002</v>
          </cell>
          <cell r="E1216">
            <v>0</v>
          </cell>
          <cell r="F1216">
            <v>4586.42</v>
          </cell>
        </row>
        <row r="1217">
          <cell r="A1217" t="str">
            <v>71100000-10005000-90030000</v>
          </cell>
          <cell r="B1217" t="str">
            <v>PROVISION AGUINALDO</v>
          </cell>
          <cell r="C1217">
            <v>12035</v>
          </cell>
          <cell r="D1217">
            <v>6017.5</v>
          </cell>
          <cell r="E1217">
            <v>0</v>
          </cell>
          <cell r="F1217">
            <v>18052.5</v>
          </cell>
        </row>
        <row r="1218">
          <cell r="A1218" t="str">
            <v>71100000-10005000-90040000</v>
          </cell>
          <cell r="B1218" t="str">
            <v>BOLETIN D-3</v>
          </cell>
          <cell r="C1218">
            <v>468</v>
          </cell>
          <cell r="D1218">
            <v>234</v>
          </cell>
          <cell r="E1218">
            <v>0</v>
          </cell>
          <cell r="F1218">
            <v>702</v>
          </cell>
        </row>
        <row r="1219">
          <cell r="A1219" t="str">
            <v>71100000-10006000-00000000</v>
          </cell>
          <cell r="B1219" t="str">
            <v>COSTOS/GASTOS FIJOS MUESTRAS</v>
          </cell>
          <cell r="C1219">
            <v>64540.32</v>
          </cell>
          <cell r="D1219">
            <v>48109.11</v>
          </cell>
          <cell r="E1219">
            <v>0</v>
          </cell>
          <cell r="F1219">
            <v>112649.43</v>
          </cell>
        </row>
        <row r="1220">
          <cell r="A1220" t="str">
            <v>71100000-10006000-01010000</v>
          </cell>
          <cell r="B1220" t="str">
            <v>SUELDOS Y SALARIOS</v>
          </cell>
          <cell r="C1220">
            <v>35704.400000000001</v>
          </cell>
          <cell r="D1220">
            <v>19608</v>
          </cell>
          <cell r="E1220">
            <v>0</v>
          </cell>
          <cell r="F1220">
            <v>55312.4</v>
          </cell>
        </row>
        <row r="1221">
          <cell r="A1221" t="str">
            <v>71100000-10006000-01020000</v>
          </cell>
          <cell r="B1221" t="str">
            <v>AGUINALDO</v>
          </cell>
          <cell r="C1221">
            <v>116.82</v>
          </cell>
          <cell r="D1221">
            <v>0</v>
          </cell>
          <cell r="E1221">
            <v>0</v>
          </cell>
          <cell r="F1221">
            <v>116.82</v>
          </cell>
        </row>
        <row r="1222">
          <cell r="A1222" t="str">
            <v>71100000-10006000-01030000</v>
          </cell>
          <cell r="B1222" t="str">
            <v>GRATIFICACIONES</v>
          </cell>
          <cell r="C1222">
            <v>1620.01</v>
          </cell>
          <cell r="D1222">
            <v>1320</v>
          </cell>
          <cell r="E1222">
            <v>0</v>
          </cell>
          <cell r="F1222">
            <v>2940.01</v>
          </cell>
        </row>
        <row r="1223">
          <cell r="A1223" t="str">
            <v>71100000-10006000-01040000</v>
          </cell>
          <cell r="B1223" t="str">
            <v>VACACIONES</v>
          </cell>
          <cell r="C1223">
            <v>2429.58</v>
          </cell>
          <cell r="D1223">
            <v>3100</v>
          </cell>
          <cell r="E1223">
            <v>0</v>
          </cell>
          <cell r="F1223">
            <v>5529.58</v>
          </cell>
        </row>
        <row r="1224">
          <cell r="A1224" t="str">
            <v>71100000-10006000-01050000</v>
          </cell>
          <cell r="B1224" t="str">
            <v>PRIMA VACACIONAL</v>
          </cell>
          <cell r="C1224">
            <v>1541</v>
          </cell>
          <cell r="D1224">
            <v>2015</v>
          </cell>
          <cell r="E1224">
            <v>0</v>
          </cell>
          <cell r="F1224">
            <v>3556</v>
          </cell>
        </row>
        <row r="1225">
          <cell r="A1225" t="str">
            <v>71100000-10006000-02010000</v>
          </cell>
          <cell r="B1225" t="str">
            <v>A SINDICALIZADOS</v>
          </cell>
          <cell r="C1225">
            <v>591.5</v>
          </cell>
          <cell r="D1225">
            <v>0</v>
          </cell>
          <cell r="E1225">
            <v>0</v>
          </cell>
          <cell r="F1225">
            <v>591.5</v>
          </cell>
        </row>
        <row r="1226">
          <cell r="A1226" t="str">
            <v>71100000-10006000-03010000</v>
          </cell>
          <cell r="B1226" t="str">
            <v>FONDO DE AHORRO</v>
          </cell>
          <cell r="C1226">
            <v>2856.35</v>
          </cell>
          <cell r="D1226">
            <v>1568.64</v>
          </cell>
          <cell r="E1226">
            <v>0</v>
          </cell>
          <cell r="F1226">
            <v>4424.99</v>
          </cell>
        </row>
        <row r="1227">
          <cell r="A1227" t="str">
            <v>71100000-10006000-03020000</v>
          </cell>
          <cell r="B1227" t="str">
            <v>CUOTAS AL I.M.S.S.</v>
          </cell>
          <cell r="C1227">
            <v>5286.2</v>
          </cell>
          <cell r="D1227">
            <v>2626.31</v>
          </cell>
          <cell r="E1227">
            <v>0</v>
          </cell>
          <cell r="F1227">
            <v>7912.51</v>
          </cell>
        </row>
        <row r="1228">
          <cell r="A1228" t="str">
            <v>71100000-10006000-03030000</v>
          </cell>
          <cell r="B1228" t="str">
            <v>UNIFORMES Y EQUIPO</v>
          </cell>
          <cell r="C1228">
            <v>0</v>
          </cell>
          <cell r="D1228">
            <v>2728.92</v>
          </cell>
          <cell r="E1228">
            <v>0</v>
          </cell>
          <cell r="F1228">
            <v>2728.92</v>
          </cell>
        </row>
        <row r="1229">
          <cell r="A1229" t="str">
            <v>71100000-10006000-03040000</v>
          </cell>
          <cell r="B1229" t="str">
            <v>DESPENSA EN VALES</v>
          </cell>
          <cell r="C1229">
            <v>3800</v>
          </cell>
          <cell r="D1229">
            <v>2260</v>
          </cell>
          <cell r="E1229">
            <v>0</v>
          </cell>
          <cell r="F1229">
            <v>6060</v>
          </cell>
        </row>
        <row r="1230">
          <cell r="A1230" t="str">
            <v>71100000-10006000-03050000</v>
          </cell>
          <cell r="B1230" t="str">
            <v>PREMIO DE ASISTENCIA</v>
          </cell>
          <cell r="C1230">
            <v>200</v>
          </cell>
          <cell r="D1230">
            <v>120</v>
          </cell>
          <cell r="E1230">
            <v>0</v>
          </cell>
          <cell r="F1230">
            <v>320</v>
          </cell>
        </row>
        <row r="1231">
          <cell r="A1231" t="str">
            <v>71100000-10006000-04010000</v>
          </cell>
          <cell r="B1231" t="str">
            <v>2.5% SOBRE NOMINAS</v>
          </cell>
          <cell r="C1231">
            <v>1126</v>
          </cell>
          <cell r="D1231">
            <v>693</v>
          </cell>
          <cell r="E1231">
            <v>0</v>
          </cell>
          <cell r="F1231">
            <v>1819</v>
          </cell>
        </row>
        <row r="1232">
          <cell r="A1232" t="str">
            <v>71100000-10006000-04020000</v>
          </cell>
          <cell r="B1232" t="str">
            <v>5% INFONAVIT</v>
          </cell>
          <cell r="C1232">
            <v>2913.23</v>
          </cell>
          <cell r="D1232">
            <v>1371.15</v>
          </cell>
          <cell r="E1232">
            <v>0</v>
          </cell>
          <cell r="F1232">
            <v>4284.38</v>
          </cell>
        </row>
        <row r="1233">
          <cell r="A1233" t="str">
            <v>71100000-10006000-04030000</v>
          </cell>
          <cell r="B1233" t="str">
            <v>2% S.A.R. / RETIRO</v>
          </cell>
          <cell r="C1233">
            <v>1165.27</v>
          </cell>
          <cell r="D1233">
            <v>548.44000000000005</v>
          </cell>
          <cell r="E1233">
            <v>0</v>
          </cell>
          <cell r="F1233">
            <v>1713.71</v>
          </cell>
        </row>
        <row r="1234">
          <cell r="A1234" t="str">
            <v>71100000-10006000-04040000</v>
          </cell>
          <cell r="B1234" t="str">
            <v>CESANTIA Y VEJEZ</v>
          </cell>
          <cell r="C1234">
            <v>1509.12</v>
          </cell>
          <cell r="D1234">
            <v>709.56</v>
          </cell>
          <cell r="E1234">
            <v>0</v>
          </cell>
          <cell r="F1234">
            <v>2218.6799999999998</v>
          </cell>
        </row>
        <row r="1235">
          <cell r="A1235" t="str">
            <v>71100000-10006000-05010000</v>
          </cell>
          <cell r="B1235" t="str">
            <v>SERV. PROFESIONALES EXTERNOS</v>
          </cell>
          <cell r="C1235">
            <v>0</v>
          </cell>
          <cell r="D1235">
            <v>7599.67</v>
          </cell>
          <cell r="E1235">
            <v>0</v>
          </cell>
          <cell r="F1235">
            <v>7599.67</v>
          </cell>
        </row>
        <row r="1236">
          <cell r="A1236" t="str">
            <v>71100000-10006000-90030000</v>
          </cell>
          <cell r="B1236" t="str">
            <v>PROVISION AGUINALDO</v>
          </cell>
          <cell r="C1236">
            <v>3388.34</v>
          </cell>
          <cell r="D1236">
            <v>1694.17</v>
          </cell>
          <cell r="E1236">
            <v>0</v>
          </cell>
          <cell r="F1236">
            <v>5082.51</v>
          </cell>
        </row>
        <row r="1237">
          <cell r="A1237" t="str">
            <v>71100000-10006000-90040000</v>
          </cell>
          <cell r="B1237" t="str">
            <v>BOLETIN D-3</v>
          </cell>
          <cell r="C1237">
            <v>292.5</v>
          </cell>
          <cell r="D1237">
            <v>146.25</v>
          </cell>
          <cell r="E1237">
            <v>0</v>
          </cell>
          <cell r="F1237">
            <v>438.75</v>
          </cell>
        </row>
        <row r="1238">
          <cell r="A1238" t="str">
            <v>71100000-10013000-00000000</v>
          </cell>
          <cell r="B1238" t="str">
            <v>COSTOS/GASTOS FIJOS CANCUN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</row>
        <row r="1239">
          <cell r="A1239" t="str">
            <v>71100000-10090000-00000000</v>
          </cell>
          <cell r="B1239" t="str">
            <v>APLICAC A INVENT Y COSTO FABRI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</row>
        <row r="1240">
          <cell r="A1240" t="str">
            <v>71200000-00000000-00000000</v>
          </cell>
          <cell r="B1240" t="str">
            <v>COSTOS/GASTOS FIJOS ADMON</v>
          </cell>
          <cell r="C1240">
            <v>1692127.74</v>
          </cell>
          <cell r="D1240">
            <v>1008904.62</v>
          </cell>
          <cell r="E1240">
            <v>28214.34</v>
          </cell>
          <cell r="F1240">
            <v>2672818.02</v>
          </cell>
        </row>
        <row r="1241">
          <cell r="F1241">
            <v>2672818.02</v>
          </cell>
        </row>
        <row r="1242">
          <cell r="A1242" t="str">
            <v>71200000-20000000-00000000</v>
          </cell>
          <cell r="B1242" t="str">
            <v>COSTOS/GASTOS FIJOS ADMON</v>
          </cell>
          <cell r="C1242">
            <v>1692127.74</v>
          </cell>
          <cell r="D1242">
            <v>1008904.62</v>
          </cell>
          <cell r="E1242">
            <v>28214.34</v>
          </cell>
        </row>
        <row r="1243">
          <cell r="A1243" t="str">
            <v>71200000-20001000-00000000</v>
          </cell>
          <cell r="B1243" t="str">
            <v>COSTOS/GASTOS FIJOS ADMON</v>
          </cell>
          <cell r="C1243">
            <v>1461662.61</v>
          </cell>
          <cell r="D1243">
            <v>808365.08</v>
          </cell>
          <cell r="E1243">
            <v>6000</v>
          </cell>
          <cell r="F1243">
            <v>2264027.69</v>
          </cell>
        </row>
        <row r="1244">
          <cell r="A1244" t="str">
            <v>71200000-20001000-01010000</v>
          </cell>
          <cell r="B1244" t="str">
            <v>SUELDOS Y SALARIOS</v>
          </cell>
          <cell r="C1244">
            <v>598590.14</v>
          </cell>
          <cell r="D1244">
            <v>370534.14</v>
          </cell>
          <cell r="E1244">
            <v>0</v>
          </cell>
          <cell r="F1244">
            <v>969124.28</v>
          </cell>
        </row>
        <row r="1245">
          <cell r="A1245" t="str">
            <v>71200000-20001000-01030000</v>
          </cell>
          <cell r="B1245" t="str">
            <v>GRATIFICACIONES</v>
          </cell>
          <cell r="C1245">
            <v>56802.05</v>
          </cell>
          <cell r="D1245">
            <v>2817.29</v>
          </cell>
          <cell r="E1245">
            <v>0</v>
          </cell>
          <cell r="F1245">
            <v>59619.34</v>
          </cell>
        </row>
        <row r="1246">
          <cell r="A1246" t="str">
            <v>71200000-20001000-01040000</v>
          </cell>
          <cell r="B1246" t="str">
            <v>VACACIONES</v>
          </cell>
          <cell r="C1246">
            <v>21885.34</v>
          </cell>
          <cell r="D1246">
            <v>6170.37</v>
          </cell>
          <cell r="E1246">
            <v>0</v>
          </cell>
          <cell r="F1246">
            <v>28055.71</v>
          </cell>
        </row>
        <row r="1247">
          <cell r="A1247" t="str">
            <v>71200000-20001000-01050000</v>
          </cell>
          <cell r="B1247" t="str">
            <v>PRIMA VACACIONAL</v>
          </cell>
          <cell r="C1247">
            <v>14225.48</v>
          </cell>
          <cell r="D1247">
            <v>4010.75</v>
          </cell>
          <cell r="E1247">
            <v>0</v>
          </cell>
          <cell r="F1247">
            <v>18236.23</v>
          </cell>
        </row>
        <row r="1248">
          <cell r="A1248" t="str">
            <v>71200000-20001000-03010000</v>
          </cell>
          <cell r="B1248" t="str">
            <v>FONDO DE AHORRO</v>
          </cell>
          <cell r="C1248">
            <v>39683.79</v>
          </cell>
          <cell r="D1248">
            <v>22983.56</v>
          </cell>
          <cell r="E1248">
            <v>0</v>
          </cell>
          <cell r="F1248">
            <v>62667.35</v>
          </cell>
        </row>
        <row r="1249">
          <cell r="A1249" t="str">
            <v>71200000-20001000-03020000</v>
          </cell>
          <cell r="B1249" t="str">
            <v>CUOTAS AL I.M.S.S.</v>
          </cell>
          <cell r="C1249">
            <v>59774.57</v>
          </cell>
          <cell r="D1249">
            <v>30124.6</v>
          </cell>
          <cell r="E1249">
            <v>0</v>
          </cell>
          <cell r="F1249">
            <v>89899.17</v>
          </cell>
        </row>
        <row r="1250">
          <cell r="A1250" t="str">
            <v>71200000-20001000-03030000</v>
          </cell>
          <cell r="B1250" t="str">
            <v>UNIFORMES Y EQUIPO</v>
          </cell>
          <cell r="C1250">
            <v>0</v>
          </cell>
          <cell r="D1250">
            <v>1423.92</v>
          </cell>
          <cell r="E1250">
            <v>0</v>
          </cell>
          <cell r="F1250">
            <v>1423.92</v>
          </cell>
        </row>
        <row r="1251">
          <cell r="A1251" t="str">
            <v>71200000-20001000-03040000</v>
          </cell>
          <cell r="B1251" t="str">
            <v>DESPENSA EN VALES</v>
          </cell>
          <cell r="C1251">
            <v>22546</v>
          </cell>
          <cell r="D1251">
            <v>13780</v>
          </cell>
          <cell r="E1251">
            <v>0</v>
          </cell>
          <cell r="F1251">
            <v>36326</v>
          </cell>
        </row>
        <row r="1252">
          <cell r="A1252" t="str">
            <v>71200000-20001000-04010000</v>
          </cell>
          <cell r="B1252" t="str">
            <v>2.5% SOBRE NOMINAS</v>
          </cell>
          <cell r="C1252">
            <v>18455</v>
          </cell>
          <cell r="D1252">
            <v>10183</v>
          </cell>
          <cell r="E1252">
            <v>0</v>
          </cell>
          <cell r="F1252">
            <v>28638</v>
          </cell>
        </row>
        <row r="1253">
          <cell r="A1253" t="str">
            <v>71200000-20001000-04020000</v>
          </cell>
          <cell r="B1253" t="str">
            <v>5% INFONAVIT</v>
          </cell>
          <cell r="C1253">
            <v>38385.93</v>
          </cell>
          <cell r="D1253">
            <v>19098.98</v>
          </cell>
          <cell r="E1253">
            <v>0</v>
          </cell>
          <cell r="F1253">
            <v>57484.91</v>
          </cell>
        </row>
        <row r="1254">
          <cell r="A1254" t="str">
            <v>71200000-20001000-04030000</v>
          </cell>
          <cell r="B1254" t="str">
            <v>2% S.A.R. / RETIRO</v>
          </cell>
          <cell r="C1254">
            <v>15354.37</v>
          </cell>
          <cell r="D1254">
            <v>7639.57</v>
          </cell>
          <cell r="E1254">
            <v>0</v>
          </cell>
          <cell r="F1254">
            <v>22993.94</v>
          </cell>
        </row>
        <row r="1255">
          <cell r="A1255" t="str">
            <v>71200000-20001000-04040000</v>
          </cell>
          <cell r="B1255" t="str">
            <v>CESANTIA Y VEJEZ</v>
          </cell>
          <cell r="C1255">
            <v>24123.83</v>
          </cell>
          <cell r="D1255">
            <v>12008.36</v>
          </cell>
          <cell r="E1255">
            <v>0</v>
          </cell>
          <cell r="F1255">
            <v>36132.19</v>
          </cell>
        </row>
        <row r="1256">
          <cell r="A1256" t="str">
            <v>71200000-20001000-05010000</v>
          </cell>
          <cell r="B1256" t="str">
            <v>SERV. PROFESIONALES EXTERNOS</v>
          </cell>
          <cell r="C1256">
            <v>60696.2</v>
          </cell>
          <cell r="D1256">
            <v>34773.72</v>
          </cell>
          <cell r="E1256">
            <v>0</v>
          </cell>
          <cell r="F1256">
            <v>95469.92</v>
          </cell>
        </row>
        <row r="1257">
          <cell r="A1257" t="str">
            <v>71200000-20001000-12010000</v>
          </cell>
          <cell r="B1257" t="str">
            <v>ARREND. AUTOMOVILES</v>
          </cell>
          <cell r="C1257">
            <v>19307.439999999999</v>
          </cell>
          <cell r="D1257">
            <v>9653.7199999999993</v>
          </cell>
          <cell r="E1257">
            <v>0</v>
          </cell>
          <cell r="F1257">
            <v>28961.16</v>
          </cell>
        </row>
        <row r="1258">
          <cell r="A1258" t="str">
            <v>71200000-20001000-14010000</v>
          </cell>
          <cell r="B1258" t="str">
            <v>SEG. AUTOMOVILES</v>
          </cell>
          <cell r="C1258">
            <v>4938.76</v>
          </cell>
          <cell r="D1258">
            <v>1976.64</v>
          </cell>
          <cell r="E1258">
            <v>0</v>
          </cell>
          <cell r="F1258">
            <v>6915.4</v>
          </cell>
        </row>
        <row r="1259">
          <cell r="A1259" t="str">
            <v>71200000-20001000-14040000</v>
          </cell>
          <cell r="B1259" t="str">
            <v>VIDA</v>
          </cell>
          <cell r="C1259">
            <v>6994.6</v>
          </cell>
          <cell r="D1259">
            <v>829.87</v>
          </cell>
          <cell r="E1259">
            <v>0</v>
          </cell>
          <cell r="F1259">
            <v>7824.47</v>
          </cell>
        </row>
        <row r="1260">
          <cell r="A1260" t="str">
            <v>71200000-20001000-15010000</v>
          </cell>
          <cell r="B1260" t="str">
            <v>MANT. AUTOMOVILES</v>
          </cell>
          <cell r="C1260">
            <v>11833.4</v>
          </cell>
          <cell r="D1260">
            <v>5080.13</v>
          </cell>
          <cell r="E1260">
            <v>0</v>
          </cell>
          <cell r="F1260">
            <v>16913.53</v>
          </cell>
        </row>
        <row r="1261">
          <cell r="A1261" t="str">
            <v>71200000-20001000-15060000</v>
          </cell>
          <cell r="B1261" t="str">
            <v>MANTTO A EQUIPOS DE COMPUTO</v>
          </cell>
          <cell r="C1261">
            <v>29263.75</v>
          </cell>
          <cell r="D1261">
            <v>24325</v>
          </cell>
          <cell r="E1261">
            <v>0</v>
          </cell>
          <cell r="F1261">
            <v>53588.75</v>
          </cell>
        </row>
        <row r="1262">
          <cell r="A1262" t="str">
            <v>71200000-20001000-15080000</v>
          </cell>
          <cell r="B1262" t="str">
            <v>MANTTO A VARIOS</v>
          </cell>
          <cell r="C1262">
            <v>4700</v>
          </cell>
          <cell r="D1262">
            <v>1500</v>
          </cell>
          <cell r="E1262">
            <v>0</v>
          </cell>
          <cell r="F1262">
            <v>6200</v>
          </cell>
        </row>
        <row r="1263">
          <cell r="A1263" t="str">
            <v>71200000-20001000-15100000</v>
          </cell>
          <cell r="B1263" t="str">
            <v>SOFTWARE SISTEMAS</v>
          </cell>
          <cell r="C1263">
            <v>0</v>
          </cell>
          <cell r="D1263">
            <v>32673.24</v>
          </cell>
          <cell r="E1263">
            <v>0</v>
          </cell>
          <cell r="F1263">
            <v>32673.24</v>
          </cell>
        </row>
        <row r="1264">
          <cell r="A1264" t="str">
            <v>71200000-20001000-16010000</v>
          </cell>
          <cell r="B1264" t="str">
            <v>PAPELERIA</v>
          </cell>
          <cell r="C1264">
            <v>9209.1</v>
          </cell>
          <cell r="D1264">
            <v>3761.16</v>
          </cell>
          <cell r="E1264">
            <v>0</v>
          </cell>
          <cell r="F1264">
            <v>12970.26</v>
          </cell>
        </row>
        <row r="1265">
          <cell r="A1265" t="str">
            <v>71200000-20001000-16020000</v>
          </cell>
          <cell r="B1265" t="str">
            <v>FOTOCOPIAS</v>
          </cell>
          <cell r="C1265">
            <v>0</v>
          </cell>
          <cell r="D1265">
            <v>523.44000000000005</v>
          </cell>
          <cell r="E1265">
            <v>0</v>
          </cell>
          <cell r="F1265">
            <v>523.44000000000005</v>
          </cell>
        </row>
        <row r="1266">
          <cell r="A1266" t="str">
            <v>71200000-20001000-16040000</v>
          </cell>
          <cell r="B1266" t="str">
            <v>IMPLEMENTOS DE OFICINA</v>
          </cell>
          <cell r="C1266">
            <v>1300</v>
          </cell>
          <cell r="D1266">
            <v>15950.69</v>
          </cell>
          <cell r="E1266">
            <v>0</v>
          </cell>
          <cell r="F1266">
            <v>17250.689999999999</v>
          </cell>
        </row>
        <row r="1267">
          <cell r="A1267" t="str">
            <v>71200000-20001000-18010000</v>
          </cell>
          <cell r="B1267" t="str">
            <v>CAPACITACION Y ADIESTRAMIENTO</v>
          </cell>
          <cell r="C1267">
            <v>7559.13</v>
          </cell>
          <cell r="D1267">
            <v>0</v>
          </cell>
          <cell r="E1267">
            <v>0</v>
          </cell>
          <cell r="F1267">
            <v>7559.13</v>
          </cell>
        </row>
        <row r="1268">
          <cell r="A1268" t="str">
            <v>71200000-20001000-18020000</v>
          </cell>
          <cell r="B1268" t="str">
            <v>PASAJES Y TRANSPORTES LOCALES</v>
          </cell>
          <cell r="C1268">
            <v>4108</v>
          </cell>
          <cell r="D1268">
            <v>4388</v>
          </cell>
          <cell r="E1268">
            <v>0</v>
          </cell>
          <cell r="F1268">
            <v>8496</v>
          </cell>
        </row>
        <row r="1269">
          <cell r="A1269" t="str">
            <v>71200000-20001000-18080000</v>
          </cell>
          <cell r="B1269" t="str">
            <v>COMEDOR</v>
          </cell>
          <cell r="C1269">
            <v>21929.67</v>
          </cell>
          <cell r="D1269">
            <v>15086.21</v>
          </cell>
          <cell r="E1269">
            <v>0</v>
          </cell>
          <cell r="F1269">
            <v>37015.879999999997</v>
          </cell>
        </row>
        <row r="1270">
          <cell r="A1270" t="str">
            <v>71200000-20001000-18110000</v>
          </cell>
          <cell r="B1270" t="str">
            <v>CONSUMOS RESTAURANT</v>
          </cell>
          <cell r="C1270">
            <v>152.27000000000001</v>
          </cell>
          <cell r="D1270">
            <v>53.66</v>
          </cell>
          <cell r="E1270">
            <v>0</v>
          </cell>
          <cell r="F1270">
            <v>205.93</v>
          </cell>
        </row>
        <row r="1271">
          <cell r="A1271" t="str">
            <v>71200000-20001000-19010000</v>
          </cell>
          <cell r="B1271" t="str">
            <v>TELEFONOS</v>
          </cell>
          <cell r="C1271">
            <v>13727.07</v>
          </cell>
          <cell r="D1271">
            <v>8932.7199999999993</v>
          </cell>
          <cell r="E1271">
            <v>0</v>
          </cell>
          <cell r="F1271">
            <v>22659.79</v>
          </cell>
        </row>
        <row r="1272">
          <cell r="A1272" t="str">
            <v>71200000-20001000-19030000</v>
          </cell>
          <cell r="B1272" t="str">
            <v>TELEFONOS CELULARES</v>
          </cell>
          <cell r="C1272">
            <v>17022.310000000001</v>
          </cell>
          <cell r="D1272">
            <v>0</v>
          </cell>
          <cell r="E1272">
            <v>0</v>
          </cell>
          <cell r="F1272">
            <v>17022.310000000001</v>
          </cell>
        </row>
        <row r="1273">
          <cell r="A1273" t="str">
            <v>71200000-20001000-19050000</v>
          </cell>
          <cell r="B1273" t="str">
            <v>INTERNET</v>
          </cell>
          <cell r="C1273">
            <v>17136.47</v>
          </cell>
          <cell r="D1273">
            <v>10240.51</v>
          </cell>
          <cell r="E1273">
            <v>0</v>
          </cell>
          <cell r="F1273">
            <v>27376.98</v>
          </cell>
        </row>
        <row r="1274">
          <cell r="A1274" t="str">
            <v>71200000-20001000-19070000</v>
          </cell>
          <cell r="B1274" t="str">
            <v>MENSAJERIA ESPECIALIZADA</v>
          </cell>
          <cell r="C1274">
            <v>1013.91</v>
          </cell>
          <cell r="D1274">
            <v>1714.55</v>
          </cell>
          <cell r="E1274">
            <v>0</v>
          </cell>
          <cell r="F1274">
            <v>2728.46</v>
          </cell>
        </row>
        <row r="1275">
          <cell r="A1275" t="str">
            <v>71200000-20001000-20010000</v>
          </cell>
          <cell r="B1275" t="str">
            <v>COMBUSTIBLE AUTOMOVILES</v>
          </cell>
          <cell r="C1275">
            <v>22236.880000000001</v>
          </cell>
          <cell r="D1275">
            <v>12639.4</v>
          </cell>
          <cell r="E1275">
            <v>0</v>
          </cell>
          <cell r="F1275">
            <v>34876.28</v>
          </cell>
        </row>
        <row r="1276">
          <cell r="A1276" t="str">
            <v>71200000-20001000-21010000</v>
          </cell>
          <cell r="B1276" t="str">
            <v>HONORARIOS PERSONAS FISICAS</v>
          </cell>
          <cell r="C1276">
            <v>2339.19</v>
          </cell>
          <cell r="D1276">
            <v>0</v>
          </cell>
          <cell r="E1276">
            <v>0</v>
          </cell>
          <cell r="F1276">
            <v>2339.19</v>
          </cell>
        </row>
        <row r="1277">
          <cell r="A1277" t="str">
            <v>71200000-20001000-21020000</v>
          </cell>
          <cell r="B1277" t="str">
            <v>HONORARIOS A SOCIEDADES MERCAN</v>
          </cell>
          <cell r="C1277">
            <v>130201</v>
          </cell>
          <cell r="D1277">
            <v>24380</v>
          </cell>
          <cell r="E1277">
            <v>0</v>
          </cell>
          <cell r="F1277">
            <v>154581</v>
          </cell>
        </row>
        <row r="1278">
          <cell r="A1278" t="str">
            <v>71200000-20001000-22050000</v>
          </cell>
          <cell r="B1278" t="str">
            <v>COMISIONES Y ASESORIAS EXTERNA</v>
          </cell>
          <cell r="C1278">
            <v>2329.61</v>
          </cell>
          <cell r="D1278">
            <v>22777.25</v>
          </cell>
          <cell r="E1278">
            <v>0</v>
          </cell>
          <cell r="F1278">
            <v>25106.86</v>
          </cell>
        </row>
        <row r="1279">
          <cell r="A1279" t="str">
            <v>71200000-20001000-23120000</v>
          </cell>
          <cell r="B1279" t="str">
            <v>DIVERSOS</v>
          </cell>
          <cell r="C1279">
            <v>3019.28</v>
          </cell>
          <cell r="D1279">
            <v>791.03</v>
          </cell>
          <cell r="E1279">
            <v>0</v>
          </cell>
          <cell r="F1279">
            <v>3810.31</v>
          </cell>
        </row>
        <row r="1280">
          <cell r="A1280" t="str">
            <v>71200000-20001000-23130000</v>
          </cell>
          <cell r="B1280" t="str">
            <v>OTROS IMPUESTOS Y DERECHOS</v>
          </cell>
          <cell r="C1280">
            <v>6853.37</v>
          </cell>
          <cell r="D1280">
            <v>6283.9</v>
          </cell>
          <cell r="E1280">
            <v>0</v>
          </cell>
          <cell r="F1280">
            <v>13137.27</v>
          </cell>
        </row>
        <row r="1281">
          <cell r="A1281" t="str">
            <v>71200000-20001000-23150000</v>
          </cell>
          <cell r="B1281" t="str">
            <v>ASEO LIMPIEZA E IMPLEMENTOS</v>
          </cell>
          <cell r="C1281">
            <v>6034.1</v>
          </cell>
          <cell r="D1281">
            <v>3059.1</v>
          </cell>
          <cell r="E1281">
            <v>0</v>
          </cell>
          <cell r="F1281">
            <v>9093.2000000000007</v>
          </cell>
        </row>
        <row r="1282">
          <cell r="A1282" t="str">
            <v>71200000-20001000-23160000</v>
          </cell>
          <cell r="B1282" t="str">
            <v>ENFERMERIA</v>
          </cell>
          <cell r="C1282">
            <v>7356.56</v>
          </cell>
          <cell r="D1282">
            <v>0</v>
          </cell>
          <cell r="E1282">
            <v>0</v>
          </cell>
          <cell r="F1282">
            <v>7356.56</v>
          </cell>
        </row>
        <row r="1283">
          <cell r="A1283" t="str">
            <v>71200000-20001000-23200000</v>
          </cell>
          <cell r="B1283" t="str">
            <v>EVENTOS INTERNOS COREV</v>
          </cell>
          <cell r="C1283">
            <v>20163.16</v>
          </cell>
          <cell r="D1283">
            <v>352</v>
          </cell>
          <cell r="E1283">
            <v>0</v>
          </cell>
          <cell r="F1283">
            <v>20515.16</v>
          </cell>
        </row>
        <row r="1284">
          <cell r="A1284" t="str">
            <v>71200000-20001000-23220000</v>
          </cell>
          <cell r="B1284" t="str">
            <v>ALMACENAJE DE DOCUMENTOS</v>
          </cell>
          <cell r="C1284">
            <v>8516.06</v>
          </cell>
          <cell r="D1284">
            <v>4258.03</v>
          </cell>
          <cell r="E1284">
            <v>0</v>
          </cell>
          <cell r="F1284">
            <v>12774.09</v>
          </cell>
        </row>
        <row r="1285">
          <cell r="A1285" t="str">
            <v>71200000-20001000-35020000</v>
          </cell>
          <cell r="B1285" t="str">
            <v>DIVERSOS NO DEDUCIBLES</v>
          </cell>
          <cell r="C1285">
            <v>12054.88</v>
          </cell>
          <cell r="D1285">
            <v>11666.6</v>
          </cell>
          <cell r="E1285">
            <v>6000</v>
          </cell>
          <cell r="F1285">
            <v>17721.48</v>
          </cell>
        </row>
        <row r="1286">
          <cell r="A1286" t="str">
            <v>71200000-20001000-90010000</v>
          </cell>
          <cell r="B1286" t="str">
            <v>PRIMA DE ANTIGUEDAD</v>
          </cell>
          <cell r="C1286">
            <v>6059.86</v>
          </cell>
          <cell r="D1286">
            <v>3029.93</v>
          </cell>
          <cell r="E1286">
            <v>0</v>
          </cell>
          <cell r="F1286">
            <v>9089.7900000000009</v>
          </cell>
        </row>
        <row r="1287">
          <cell r="A1287" t="str">
            <v>71200000-20001000-90020000</v>
          </cell>
          <cell r="B1287" t="str">
            <v>PLAN DE PENSIONES</v>
          </cell>
          <cell r="C1287">
            <v>44656.98</v>
          </cell>
          <cell r="D1287">
            <v>22328.49</v>
          </cell>
          <cell r="E1287">
            <v>0</v>
          </cell>
          <cell r="F1287">
            <v>66985.47</v>
          </cell>
        </row>
        <row r="1288">
          <cell r="A1288" t="str">
            <v>71200000-20001000-90030000</v>
          </cell>
          <cell r="B1288" t="str">
            <v>PROVISION AGUINALDO</v>
          </cell>
          <cell r="C1288">
            <v>47602.1</v>
          </cell>
          <cell r="D1288">
            <v>23801.05</v>
          </cell>
          <cell r="E1288">
            <v>0</v>
          </cell>
          <cell r="F1288">
            <v>71403.149999999994</v>
          </cell>
        </row>
        <row r="1289">
          <cell r="A1289" t="str">
            <v>71200000-20001000-90040000</v>
          </cell>
          <cell r="B1289" t="str">
            <v>BOLETIN D-3</v>
          </cell>
          <cell r="C1289">
            <v>1521</v>
          </cell>
          <cell r="D1289">
            <v>760.5</v>
          </cell>
          <cell r="E1289">
            <v>0</v>
          </cell>
          <cell r="F1289">
            <v>2281.5</v>
          </cell>
        </row>
        <row r="1290">
          <cell r="A1290" t="str">
            <v>71200000-20002000-00000000</v>
          </cell>
          <cell r="B1290" t="str">
            <v>COSTOS/GASTOS FIJOS LEGAL</v>
          </cell>
          <cell r="C1290">
            <v>98064.22</v>
          </cell>
          <cell r="D1290">
            <v>73157.75</v>
          </cell>
          <cell r="E1290">
            <v>6503.04</v>
          </cell>
          <cell r="F1290">
            <v>164718.93</v>
          </cell>
        </row>
        <row r="1291">
          <cell r="A1291" t="str">
            <v>71200000-20002000-01010000</v>
          </cell>
          <cell r="B1291" t="str">
            <v>SUELDOS Y SALARIOS</v>
          </cell>
          <cell r="C1291">
            <v>36198</v>
          </cell>
          <cell r="D1291">
            <v>21266</v>
          </cell>
          <cell r="E1291">
            <v>0</v>
          </cell>
          <cell r="F1291">
            <v>57464</v>
          </cell>
        </row>
        <row r="1292">
          <cell r="A1292" t="str">
            <v>71200000-20002000-01030000</v>
          </cell>
          <cell r="B1292" t="str">
            <v>GRATIFICACIONES</v>
          </cell>
          <cell r="C1292">
            <v>2490</v>
          </cell>
          <cell r="D1292">
            <v>0</v>
          </cell>
          <cell r="E1292">
            <v>0</v>
          </cell>
          <cell r="F1292">
            <v>2490</v>
          </cell>
        </row>
        <row r="1293">
          <cell r="A1293" t="str">
            <v>71200000-20002000-01040000</v>
          </cell>
          <cell r="B1293" t="str">
            <v>VACACIONES</v>
          </cell>
          <cell r="C1293">
            <v>1240</v>
          </cell>
          <cell r="D1293">
            <v>0</v>
          </cell>
          <cell r="E1293">
            <v>0</v>
          </cell>
          <cell r="F1293">
            <v>1240</v>
          </cell>
        </row>
        <row r="1294">
          <cell r="A1294" t="str">
            <v>71200000-20002000-01050000</v>
          </cell>
          <cell r="B1294" t="str">
            <v>PRIMA VACACIONAL</v>
          </cell>
          <cell r="C1294">
            <v>806</v>
          </cell>
          <cell r="D1294">
            <v>0</v>
          </cell>
          <cell r="E1294">
            <v>0</v>
          </cell>
          <cell r="F1294">
            <v>806</v>
          </cell>
        </row>
        <row r="1295">
          <cell r="A1295" t="str">
            <v>71200000-20002000-03010000</v>
          </cell>
          <cell r="B1295" t="str">
            <v>FONDO DE AHORRO</v>
          </cell>
          <cell r="C1295">
            <v>2895.84</v>
          </cell>
          <cell r="D1295">
            <v>1701.28</v>
          </cell>
          <cell r="E1295">
            <v>0</v>
          </cell>
          <cell r="F1295">
            <v>4597.12</v>
          </cell>
        </row>
        <row r="1296">
          <cell r="A1296" t="str">
            <v>71200000-20002000-03020000</v>
          </cell>
          <cell r="B1296" t="str">
            <v>CUOTAS AL I.M.S.S.</v>
          </cell>
          <cell r="C1296">
            <v>3562.74</v>
          </cell>
          <cell r="D1296">
            <v>1835.1</v>
          </cell>
          <cell r="E1296">
            <v>0</v>
          </cell>
          <cell r="F1296">
            <v>5397.84</v>
          </cell>
        </row>
        <row r="1297">
          <cell r="A1297" t="str">
            <v>71200000-20002000-03040000</v>
          </cell>
          <cell r="B1297" t="str">
            <v>DESPENSA EN VALES</v>
          </cell>
          <cell r="C1297">
            <v>1488</v>
          </cell>
          <cell r="D1297">
            <v>863</v>
          </cell>
          <cell r="E1297">
            <v>0</v>
          </cell>
          <cell r="F1297">
            <v>2351</v>
          </cell>
        </row>
        <row r="1298">
          <cell r="A1298" t="str">
            <v>71200000-20002000-04010000</v>
          </cell>
          <cell r="B1298" t="str">
            <v>2.5% SOBRE NOMINAS</v>
          </cell>
          <cell r="C1298">
            <v>1097</v>
          </cell>
          <cell r="D1298">
            <v>575</v>
          </cell>
          <cell r="E1298">
            <v>0</v>
          </cell>
          <cell r="F1298">
            <v>1672</v>
          </cell>
        </row>
        <row r="1299">
          <cell r="A1299" t="str">
            <v>71200000-20002000-04020000</v>
          </cell>
          <cell r="B1299" t="str">
            <v>5% INFONAVIT</v>
          </cell>
          <cell r="C1299">
            <v>2445.12</v>
          </cell>
          <cell r="D1299">
            <v>1254.52</v>
          </cell>
          <cell r="E1299">
            <v>0</v>
          </cell>
          <cell r="F1299">
            <v>3699.64</v>
          </cell>
        </row>
        <row r="1300">
          <cell r="A1300" t="str">
            <v>71200000-20002000-04030000</v>
          </cell>
          <cell r="B1300" t="str">
            <v>2% S.A.R. / RETIRO</v>
          </cell>
          <cell r="C1300">
            <v>978.05</v>
          </cell>
          <cell r="D1300">
            <v>501.81</v>
          </cell>
          <cell r="E1300">
            <v>0</v>
          </cell>
          <cell r="F1300">
            <v>1479.86</v>
          </cell>
        </row>
        <row r="1301">
          <cell r="A1301" t="str">
            <v>71200000-20002000-04040000</v>
          </cell>
          <cell r="B1301" t="str">
            <v>CESANTIA Y VEJEZ</v>
          </cell>
          <cell r="C1301">
            <v>1540.42</v>
          </cell>
          <cell r="D1301">
            <v>790.35</v>
          </cell>
          <cell r="E1301">
            <v>0</v>
          </cell>
          <cell r="F1301">
            <v>2330.77</v>
          </cell>
        </row>
        <row r="1302">
          <cell r="A1302" t="str">
            <v>71200000-20002000-12010000</v>
          </cell>
          <cell r="B1302" t="str">
            <v>ARREND. AUTOMOVILES</v>
          </cell>
          <cell r="C1302">
            <v>0</v>
          </cell>
          <cell r="D1302">
            <v>387.94</v>
          </cell>
          <cell r="E1302">
            <v>0</v>
          </cell>
          <cell r="F1302">
            <v>387.94</v>
          </cell>
        </row>
        <row r="1303">
          <cell r="A1303" t="str">
            <v>71200000-20002000-14040000</v>
          </cell>
          <cell r="B1303" t="str">
            <v>VIDA</v>
          </cell>
          <cell r="C1303">
            <v>249.8</v>
          </cell>
          <cell r="D1303">
            <v>29.64</v>
          </cell>
          <cell r="E1303">
            <v>0</v>
          </cell>
          <cell r="F1303">
            <v>279.44</v>
          </cell>
        </row>
        <row r="1304">
          <cell r="A1304" t="str">
            <v>71200000-20002000-18040000</v>
          </cell>
          <cell r="B1304" t="str">
            <v>GASTOS DE REPRESENTACION ALIME</v>
          </cell>
          <cell r="C1304">
            <v>0</v>
          </cell>
          <cell r="D1304">
            <v>4819.8100000000004</v>
          </cell>
          <cell r="E1304">
            <v>0</v>
          </cell>
          <cell r="F1304">
            <v>4819.8100000000004</v>
          </cell>
        </row>
        <row r="1305">
          <cell r="A1305" t="str">
            <v>71200000-20002000-19070000</v>
          </cell>
          <cell r="B1305" t="str">
            <v>MENSAJERIA ESPECIALIZADA</v>
          </cell>
          <cell r="C1305">
            <v>0</v>
          </cell>
          <cell r="D1305">
            <v>163.79</v>
          </cell>
          <cell r="E1305">
            <v>0</v>
          </cell>
          <cell r="F1305">
            <v>163.79</v>
          </cell>
        </row>
        <row r="1306">
          <cell r="A1306" t="str">
            <v>71200000-20002000-20010000</v>
          </cell>
          <cell r="B1306" t="str">
            <v>COMBUSTIBLE AUTOMOVILES</v>
          </cell>
          <cell r="C1306">
            <v>2761.51</v>
          </cell>
          <cell r="D1306">
            <v>1649.72</v>
          </cell>
          <cell r="E1306">
            <v>0</v>
          </cell>
          <cell r="F1306">
            <v>4411.2299999999996</v>
          </cell>
        </row>
        <row r="1307">
          <cell r="A1307" t="str">
            <v>71200000-20002000-21010000</v>
          </cell>
          <cell r="B1307" t="str">
            <v>HONORARIOS PERSONAS FISICAS</v>
          </cell>
          <cell r="C1307">
            <v>6503.04</v>
          </cell>
          <cell r="D1307">
            <v>6503.04</v>
          </cell>
          <cell r="E1307">
            <v>0</v>
          </cell>
          <cell r="F1307">
            <v>13006.08</v>
          </cell>
        </row>
        <row r="1308">
          <cell r="A1308" t="str">
            <v>71200000-20002000-21020000</v>
          </cell>
          <cell r="B1308" t="str">
            <v>HONORARIOS A SOCIEDADES MERCAN</v>
          </cell>
          <cell r="C1308">
            <v>29519.26</v>
          </cell>
          <cell r="D1308">
            <v>19560.34</v>
          </cell>
          <cell r="E1308">
            <v>6503.04</v>
          </cell>
          <cell r="F1308">
            <v>42576.56</v>
          </cell>
        </row>
        <row r="1309">
          <cell r="A1309" t="str">
            <v>71200000-20002000-23130000</v>
          </cell>
          <cell r="B1309" t="str">
            <v>OTROS IMPUESTOS Y DERECHOS</v>
          </cell>
          <cell r="C1309">
            <v>0</v>
          </cell>
          <cell r="D1309">
            <v>455.17</v>
          </cell>
          <cell r="E1309">
            <v>0</v>
          </cell>
          <cell r="F1309">
            <v>455.17</v>
          </cell>
        </row>
        <row r="1310">
          <cell r="A1310" t="str">
            <v>71200000-20002000-35020000</v>
          </cell>
          <cell r="B1310" t="str">
            <v>DIVERSOS NO DEDUCIBLES</v>
          </cell>
          <cell r="C1310">
            <v>0</v>
          </cell>
          <cell r="D1310">
            <v>8656.52</v>
          </cell>
          <cell r="E1310">
            <v>0</v>
          </cell>
          <cell r="F1310">
            <v>8656.52</v>
          </cell>
        </row>
        <row r="1311">
          <cell r="A1311" t="str">
            <v>71200000-20002000-90010000</v>
          </cell>
          <cell r="B1311" t="str">
            <v>PRIMA DE ANTIGUEDAD</v>
          </cell>
          <cell r="C1311">
            <v>263.48</v>
          </cell>
          <cell r="D1311">
            <v>131.74</v>
          </cell>
          <cell r="E1311">
            <v>0</v>
          </cell>
          <cell r="F1311">
            <v>395.22</v>
          </cell>
        </row>
        <row r="1312">
          <cell r="A1312" t="str">
            <v>71200000-20002000-90020000</v>
          </cell>
          <cell r="B1312" t="str">
            <v>PLAN DE PENSIONES</v>
          </cell>
          <cell r="C1312">
            <v>970.8</v>
          </cell>
          <cell r="D1312">
            <v>485.4</v>
          </cell>
          <cell r="E1312">
            <v>0</v>
          </cell>
          <cell r="F1312">
            <v>1456.2</v>
          </cell>
        </row>
        <row r="1313">
          <cell r="A1313" t="str">
            <v>71200000-20002000-90030000</v>
          </cell>
          <cell r="B1313" t="str">
            <v>PROVISION AGUINALDO</v>
          </cell>
          <cell r="C1313">
            <v>2996.66</v>
          </cell>
          <cell r="D1313">
            <v>1498.33</v>
          </cell>
          <cell r="E1313">
            <v>0</v>
          </cell>
          <cell r="F1313">
            <v>4494.99</v>
          </cell>
        </row>
        <row r="1314">
          <cell r="A1314" t="str">
            <v>71200000-20002000-90040000</v>
          </cell>
          <cell r="B1314" t="str">
            <v>BOLETIN D-3</v>
          </cell>
          <cell r="C1314">
            <v>58.5</v>
          </cell>
          <cell r="D1314">
            <v>29.25</v>
          </cell>
          <cell r="E1314">
            <v>0</v>
          </cell>
          <cell r="F1314">
            <v>87.75</v>
          </cell>
        </row>
        <row r="1315">
          <cell r="A1315" t="str">
            <v>71200000-20003000-00000000</v>
          </cell>
          <cell r="B1315" t="str">
            <v>COSTOS/GASTOS DIR GRAL</v>
          </cell>
          <cell r="C1315">
            <v>127792.06</v>
          </cell>
          <cell r="D1315">
            <v>80246.789999999994</v>
          </cell>
          <cell r="E1315">
            <v>15711.3</v>
          </cell>
          <cell r="F1315">
            <v>192327.55</v>
          </cell>
        </row>
        <row r="1316">
          <cell r="A1316" t="str">
            <v>71200000-20003000-15010000</v>
          </cell>
          <cell r="B1316" t="str">
            <v>MANT. AUTOMOVILES</v>
          </cell>
          <cell r="C1316">
            <v>18067.740000000002</v>
          </cell>
          <cell r="D1316">
            <v>0</v>
          </cell>
          <cell r="E1316">
            <v>0</v>
          </cell>
          <cell r="F1316">
            <v>18067.740000000002</v>
          </cell>
        </row>
        <row r="1317">
          <cell r="A1317" t="str">
            <v>71200000-20003000-16010000</v>
          </cell>
          <cell r="B1317" t="str">
            <v>PAPELERIA</v>
          </cell>
          <cell r="C1317">
            <v>0</v>
          </cell>
          <cell r="D1317">
            <v>70.91</v>
          </cell>
          <cell r="E1317">
            <v>0</v>
          </cell>
          <cell r="F1317">
            <v>70.91</v>
          </cell>
        </row>
        <row r="1318">
          <cell r="A1318" t="str">
            <v>71200000-20003000-18020000</v>
          </cell>
          <cell r="B1318" t="str">
            <v>PASAJES Y TRANSPORTES LOCALES</v>
          </cell>
          <cell r="C1318">
            <v>1142.3</v>
          </cell>
          <cell r="D1318">
            <v>300</v>
          </cell>
          <cell r="E1318">
            <v>0</v>
          </cell>
          <cell r="F1318">
            <v>1442.3</v>
          </cell>
        </row>
        <row r="1319">
          <cell r="A1319" t="str">
            <v>71200000-20003000-18030000</v>
          </cell>
          <cell r="B1319" t="str">
            <v>GASTOS DE REPRESENTACION TRANS</v>
          </cell>
          <cell r="C1319">
            <v>14394</v>
          </cell>
          <cell r="D1319">
            <v>0</v>
          </cell>
          <cell r="E1319">
            <v>0</v>
          </cell>
          <cell r="F1319">
            <v>14394</v>
          </cell>
        </row>
        <row r="1320">
          <cell r="A1320" t="str">
            <v>71200000-20003000-18040000</v>
          </cell>
          <cell r="B1320" t="str">
            <v>GASTOS DE REPRESENTACION ALIME</v>
          </cell>
          <cell r="C1320">
            <v>3067.47</v>
          </cell>
          <cell r="D1320">
            <v>2743.43</v>
          </cell>
          <cell r="E1320">
            <v>0</v>
          </cell>
          <cell r="F1320">
            <v>5810.9</v>
          </cell>
        </row>
        <row r="1321">
          <cell r="A1321" t="str">
            <v>71200000-20003000-18110000</v>
          </cell>
          <cell r="B1321" t="str">
            <v>CONSUMOS RESTAURANT</v>
          </cell>
          <cell r="C1321">
            <v>2538.3200000000002</v>
          </cell>
          <cell r="D1321">
            <v>892.11</v>
          </cell>
          <cell r="E1321">
            <v>0</v>
          </cell>
          <cell r="F1321">
            <v>3430.43</v>
          </cell>
        </row>
        <row r="1322">
          <cell r="A1322" t="str">
            <v>71200000-20003000-19030000</v>
          </cell>
          <cell r="B1322" t="str">
            <v>TELEFONOS CELULARES</v>
          </cell>
          <cell r="C1322">
            <v>17280.5</v>
          </cell>
          <cell r="D1322">
            <v>1174.6500000000001</v>
          </cell>
          <cell r="E1322">
            <v>0</v>
          </cell>
          <cell r="F1322">
            <v>18455.150000000001</v>
          </cell>
        </row>
        <row r="1323">
          <cell r="A1323" t="str">
            <v>71200000-20003000-20010000</v>
          </cell>
          <cell r="B1323" t="str">
            <v>COMBUSTIBLE AUTOMOVILES</v>
          </cell>
          <cell r="C1323">
            <v>13779.48</v>
          </cell>
          <cell r="D1323">
            <v>6602.17</v>
          </cell>
          <cell r="E1323">
            <v>0</v>
          </cell>
          <cell r="F1323">
            <v>20381.650000000001</v>
          </cell>
        </row>
        <row r="1324">
          <cell r="A1324" t="str">
            <v>71200000-20003000-21020000</v>
          </cell>
          <cell r="B1324" t="str">
            <v>HONORARIOS A SOCIEDADES MERCAN</v>
          </cell>
          <cell r="C1324">
            <v>0</v>
          </cell>
          <cell r="D1324">
            <v>36428.300000000003</v>
          </cell>
          <cell r="E1324">
            <v>10533.3</v>
          </cell>
          <cell r="F1324">
            <v>25895</v>
          </cell>
        </row>
        <row r="1325">
          <cell r="A1325" t="str">
            <v>71200000-20003000-23120000</v>
          </cell>
          <cell r="B1325" t="str">
            <v>DIVERSOS</v>
          </cell>
          <cell r="C1325">
            <v>1540.7</v>
          </cell>
          <cell r="D1325">
            <v>920.8</v>
          </cell>
          <cell r="E1325">
            <v>0</v>
          </cell>
          <cell r="F1325">
            <v>2461.5</v>
          </cell>
        </row>
        <row r="1326">
          <cell r="A1326" t="str">
            <v>71200000-20003000-23130000</v>
          </cell>
          <cell r="B1326" t="str">
            <v>OTROS IMPUESTOS Y DERECHOS</v>
          </cell>
          <cell r="C1326">
            <v>11178.28</v>
          </cell>
          <cell r="D1326">
            <v>8858.8799999999992</v>
          </cell>
          <cell r="E1326">
            <v>4411.1400000000003</v>
          </cell>
          <cell r="F1326">
            <v>15626.02</v>
          </cell>
        </row>
        <row r="1327">
          <cell r="A1327" t="str">
            <v>71200000-20003000-35020000</v>
          </cell>
          <cell r="B1327" t="str">
            <v>DIVERSOS NO DEDUCIBLES</v>
          </cell>
          <cell r="C1327">
            <v>44803.27</v>
          </cell>
          <cell r="D1327">
            <v>22255.54</v>
          </cell>
          <cell r="E1327">
            <v>766.86</v>
          </cell>
          <cell r="F1327">
            <v>66291.95</v>
          </cell>
        </row>
        <row r="1328">
          <cell r="A1328" t="str">
            <v>71200000-20004000-00000000</v>
          </cell>
          <cell r="B1328" t="str">
            <v>COSTOS/GASTOS FIJOS REC HUM</v>
          </cell>
          <cell r="C1328">
            <v>4608.8500000000004</v>
          </cell>
          <cell r="D1328">
            <v>47135</v>
          </cell>
          <cell r="E1328">
            <v>0</v>
          </cell>
          <cell r="F1328">
            <v>51743.85</v>
          </cell>
        </row>
        <row r="1329">
          <cell r="A1329" t="str">
            <v>71200000-20004000-16010000</v>
          </cell>
          <cell r="B1329" t="str">
            <v>PAPELERIA</v>
          </cell>
          <cell r="C1329">
            <v>110</v>
          </cell>
          <cell r="D1329">
            <v>0</v>
          </cell>
          <cell r="E1329">
            <v>0</v>
          </cell>
          <cell r="F1329">
            <v>110</v>
          </cell>
        </row>
        <row r="1330">
          <cell r="A1330" t="str">
            <v>71200000-20004000-18020000</v>
          </cell>
          <cell r="B1330" t="str">
            <v>PASAJES Y TRANSPORTES LOCALES</v>
          </cell>
          <cell r="C1330">
            <v>40</v>
          </cell>
          <cell r="D1330">
            <v>185</v>
          </cell>
          <cell r="E1330">
            <v>0</v>
          </cell>
          <cell r="F1330">
            <v>225</v>
          </cell>
        </row>
        <row r="1331">
          <cell r="A1331" t="str">
            <v>71200000-20004000-22030000</v>
          </cell>
          <cell r="B1331" t="str">
            <v>CUOTAS A ASOCIACIONES</v>
          </cell>
          <cell r="C1331">
            <v>3500</v>
          </cell>
          <cell r="D1331">
            <v>0</v>
          </cell>
          <cell r="E1331">
            <v>0</v>
          </cell>
          <cell r="F1331">
            <v>3500</v>
          </cell>
        </row>
        <row r="1332">
          <cell r="A1332" t="str">
            <v>71200000-20004000-22040000</v>
          </cell>
          <cell r="B1332" t="str">
            <v>SUSCRIPCIONES A PUBLICACIONES</v>
          </cell>
          <cell r="C1332">
            <v>0</v>
          </cell>
          <cell r="D1332">
            <v>46500</v>
          </cell>
          <cell r="E1332">
            <v>0</v>
          </cell>
          <cell r="F1332">
            <v>46500</v>
          </cell>
        </row>
        <row r="1333">
          <cell r="A1333" t="str">
            <v>71200000-20004000-23120000</v>
          </cell>
          <cell r="B1333" t="str">
            <v>DIVERSOS</v>
          </cell>
          <cell r="C1333">
            <v>588.85</v>
          </cell>
          <cell r="D1333">
            <v>450</v>
          </cell>
          <cell r="E1333">
            <v>0</v>
          </cell>
          <cell r="F1333">
            <v>1038.8499999999999</v>
          </cell>
        </row>
        <row r="1334">
          <cell r="A1334" t="str">
            <v>71200000-20004000-35020000</v>
          </cell>
          <cell r="B1334" t="str">
            <v>DIVERSOS NO DEDUCIBLES</v>
          </cell>
          <cell r="C1334">
            <v>370</v>
          </cell>
          <cell r="D1334">
            <v>0</v>
          </cell>
          <cell r="E1334">
            <v>0</v>
          </cell>
          <cell r="F1334">
            <v>370</v>
          </cell>
        </row>
        <row r="1335">
          <cell r="A1335" t="str">
            <v>71200000-20013000-00000000</v>
          </cell>
          <cell r="B1335" t="str">
            <v>COSTOS/GASTOS FIJOS CANCUN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</row>
        <row r="1336">
          <cell r="A1336" t="str">
            <v>71300000-00000000-00000000</v>
          </cell>
          <cell r="B1336" t="str">
            <v>COSTOS/GASTOS FIJOS VENTAS</v>
          </cell>
          <cell r="C1336">
            <v>1177889.74</v>
          </cell>
          <cell r="D1336">
            <v>605437.81000000006</v>
          </cell>
          <cell r="E1336">
            <v>13455.41</v>
          </cell>
          <cell r="F1336">
            <v>1769872.14</v>
          </cell>
        </row>
        <row r="1337">
          <cell r="F1337">
            <v>1769872.14</v>
          </cell>
        </row>
        <row r="1338">
          <cell r="A1338" t="str">
            <v>71300000-30000000-00000000</v>
          </cell>
          <cell r="B1338" t="str">
            <v>COSTOS/GASTOS FIJOS VENTAS</v>
          </cell>
          <cell r="C1338">
            <v>1177889.74</v>
          </cell>
          <cell r="D1338">
            <v>605437.81000000006</v>
          </cell>
          <cell r="E1338">
            <v>13455.41</v>
          </cell>
        </row>
        <row r="1339">
          <cell r="A1339" t="str">
            <v>71300000-30001000-00000000</v>
          </cell>
          <cell r="B1339" t="str">
            <v>COSTOS/GASTOS FIJOS VTAS NAL</v>
          </cell>
          <cell r="C1339">
            <v>447624.33</v>
          </cell>
          <cell r="D1339">
            <v>146193.51</v>
          </cell>
          <cell r="E1339">
            <v>234.86</v>
          </cell>
          <cell r="F1339">
            <v>593582.98</v>
          </cell>
        </row>
        <row r="1340">
          <cell r="A1340" t="str">
            <v>71300000-30001000-01010000</v>
          </cell>
          <cell r="B1340" t="str">
            <v>SUELDOS Y SALARIOS</v>
          </cell>
          <cell r="C1340">
            <v>39520</v>
          </cell>
          <cell r="D1340">
            <v>18360</v>
          </cell>
          <cell r="E1340">
            <v>0</v>
          </cell>
          <cell r="F1340">
            <v>57880</v>
          </cell>
        </row>
        <row r="1341">
          <cell r="A1341" t="str">
            <v>71300000-30001000-01030000</v>
          </cell>
          <cell r="B1341" t="str">
            <v>GRATIFICACIONES</v>
          </cell>
          <cell r="C1341">
            <v>1233</v>
          </cell>
          <cell r="D1341">
            <v>212</v>
          </cell>
          <cell r="E1341">
            <v>0</v>
          </cell>
          <cell r="F1341">
            <v>1445</v>
          </cell>
        </row>
        <row r="1342">
          <cell r="A1342" t="str">
            <v>71300000-30001000-01040000</v>
          </cell>
          <cell r="B1342" t="str">
            <v>VACACIONES</v>
          </cell>
          <cell r="C1342">
            <v>0</v>
          </cell>
          <cell r="D1342">
            <v>2720</v>
          </cell>
          <cell r="E1342">
            <v>0</v>
          </cell>
          <cell r="F1342">
            <v>2720</v>
          </cell>
        </row>
        <row r="1343">
          <cell r="A1343" t="str">
            <v>71300000-30001000-01050000</v>
          </cell>
          <cell r="B1343" t="str">
            <v>PRIMA VACACIONAL</v>
          </cell>
          <cell r="C1343">
            <v>0</v>
          </cell>
          <cell r="D1343">
            <v>1768</v>
          </cell>
          <cell r="E1343">
            <v>0</v>
          </cell>
          <cell r="F1343">
            <v>1768</v>
          </cell>
        </row>
        <row r="1344">
          <cell r="A1344" t="str">
            <v>71300000-30001000-03010000</v>
          </cell>
          <cell r="B1344" t="str">
            <v>FONDO DE AHORRO</v>
          </cell>
          <cell r="C1344">
            <v>3161.6</v>
          </cell>
          <cell r="D1344">
            <v>1468.8</v>
          </cell>
          <cell r="E1344">
            <v>0</v>
          </cell>
          <cell r="F1344">
            <v>4630.3999999999996</v>
          </cell>
        </row>
        <row r="1345">
          <cell r="A1345" t="str">
            <v>71300000-30001000-03020000</v>
          </cell>
          <cell r="B1345" t="str">
            <v>CUOTAS AL I.M.S.S.</v>
          </cell>
          <cell r="C1345">
            <v>4402.33</v>
          </cell>
          <cell r="D1345">
            <v>1786.86</v>
          </cell>
          <cell r="E1345">
            <v>0</v>
          </cell>
          <cell r="F1345">
            <v>6189.19</v>
          </cell>
        </row>
        <row r="1346">
          <cell r="A1346" t="str">
            <v>71300000-30001000-03030000</v>
          </cell>
          <cell r="B1346" t="str">
            <v>UNIFORMES Y EQUIPO</v>
          </cell>
          <cell r="C1346">
            <v>0</v>
          </cell>
          <cell r="D1346">
            <v>513</v>
          </cell>
          <cell r="E1346">
            <v>0</v>
          </cell>
          <cell r="F1346">
            <v>513</v>
          </cell>
        </row>
        <row r="1347">
          <cell r="A1347" t="str">
            <v>71300000-30001000-03040000</v>
          </cell>
          <cell r="B1347" t="str">
            <v>DESPENSA EN VALES</v>
          </cell>
          <cell r="C1347">
            <v>1584</v>
          </cell>
          <cell r="D1347">
            <v>1446</v>
          </cell>
          <cell r="E1347">
            <v>0</v>
          </cell>
          <cell r="F1347">
            <v>3030</v>
          </cell>
        </row>
        <row r="1348">
          <cell r="A1348" t="str">
            <v>71300000-30001000-04010000</v>
          </cell>
          <cell r="B1348" t="str">
            <v>2.5% SOBRE NOMINAS</v>
          </cell>
          <cell r="C1348">
            <v>1242</v>
          </cell>
          <cell r="D1348">
            <v>645</v>
          </cell>
          <cell r="E1348">
            <v>0</v>
          </cell>
          <cell r="F1348">
            <v>1887</v>
          </cell>
        </row>
        <row r="1349">
          <cell r="A1349" t="str">
            <v>71300000-30001000-04020000</v>
          </cell>
          <cell r="B1349" t="str">
            <v>5% INFONAVIT</v>
          </cell>
          <cell r="C1349">
            <v>3133.3</v>
          </cell>
          <cell r="D1349">
            <v>1214.98</v>
          </cell>
          <cell r="E1349">
            <v>0</v>
          </cell>
          <cell r="F1349">
            <v>4348.28</v>
          </cell>
        </row>
        <row r="1350">
          <cell r="A1350" t="str">
            <v>71300000-30001000-04030000</v>
          </cell>
          <cell r="B1350" t="str">
            <v>2% S.A.R. / RETIRO</v>
          </cell>
          <cell r="C1350">
            <v>1253.32</v>
          </cell>
          <cell r="D1350">
            <v>485.99</v>
          </cell>
          <cell r="E1350">
            <v>0</v>
          </cell>
          <cell r="F1350">
            <v>1739.31</v>
          </cell>
        </row>
        <row r="1351">
          <cell r="A1351" t="str">
            <v>71300000-30001000-04040000</v>
          </cell>
          <cell r="B1351" t="str">
            <v>CESANTIA Y VEJEZ</v>
          </cell>
          <cell r="C1351">
            <v>1973.98</v>
          </cell>
          <cell r="D1351">
            <v>765.44</v>
          </cell>
          <cell r="E1351">
            <v>0</v>
          </cell>
          <cell r="F1351">
            <v>2739.42</v>
          </cell>
        </row>
        <row r="1352">
          <cell r="A1352" t="str">
            <v>71300000-30001000-05010000</v>
          </cell>
          <cell r="B1352" t="str">
            <v>SERV. PROFESIONALES EXTERNOS</v>
          </cell>
          <cell r="C1352">
            <v>126459.33</v>
          </cell>
          <cell r="D1352">
            <v>25588.49</v>
          </cell>
          <cell r="E1352">
            <v>0</v>
          </cell>
          <cell r="F1352">
            <v>152047.82</v>
          </cell>
        </row>
        <row r="1353">
          <cell r="A1353" t="str">
            <v>71300000-30001000-12010000</v>
          </cell>
          <cell r="B1353" t="str">
            <v>ARREND. AUTOMOVILES</v>
          </cell>
          <cell r="C1353">
            <v>6844.34</v>
          </cell>
          <cell r="D1353">
            <v>0</v>
          </cell>
          <cell r="E1353">
            <v>0</v>
          </cell>
          <cell r="F1353">
            <v>6844.34</v>
          </cell>
        </row>
        <row r="1354">
          <cell r="A1354" t="str">
            <v>71300000-30001000-14010000</v>
          </cell>
          <cell r="B1354" t="str">
            <v>SEG. AUTOMOVILES</v>
          </cell>
          <cell r="C1354">
            <v>18034.75</v>
          </cell>
          <cell r="D1354">
            <v>7123.02</v>
          </cell>
          <cell r="E1354">
            <v>234.86</v>
          </cell>
          <cell r="F1354">
            <v>24922.91</v>
          </cell>
        </row>
        <row r="1355">
          <cell r="A1355" t="str">
            <v>71300000-30001000-14040000</v>
          </cell>
          <cell r="B1355" t="str">
            <v>VIDA</v>
          </cell>
          <cell r="C1355">
            <v>5745.57</v>
          </cell>
          <cell r="D1355">
            <v>681.68</v>
          </cell>
          <cell r="E1355">
            <v>0</v>
          </cell>
          <cell r="F1355">
            <v>6427.25</v>
          </cell>
        </row>
        <row r="1356">
          <cell r="A1356" t="str">
            <v>71300000-30001000-14050000</v>
          </cell>
          <cell r="B1356" t="str">
            <v>MULTIPLE EMPRESARIAL</v>
          </cell>
          <cell r="C1356">
            <v>2738.99</v>
          </cell>
          <cell r="D1356">
            <v>1417.48</v>
          </cell>
          <cell r="E1356">
            <v>0</v>
          </cell>
          <cell r="F1356">
            <v>4156.47</v>
          </cell>
        </row>
        <row r="1357">
          <cell r="A1357" t="str">
            <v>71300000-30001000-15030000</v>
          </cell>
          <cell r="B1357" t="str">
            <v>MANTTO A EDIFICIOS Y CONSTRUCC</v>
          </cell>
          <cell r="C1357">
            <v>18550</v>
          </cell>
          <cell r="D1357">
            <v>0</v>
          </cell>
          <cell r="E1357">
            <v>0</v>
          </cell>
          <cell r="F1357">
            <v>18550</v>
          </cell>
        </row>
        <row r="1358">
          <cell r="A1358" t="str">
            <v>71300000-30001000-15050000</v>
          </cell>
          <cell r="B1358" t="str">
            <v>MANTTO A EQUIPOS DE OFICINA</v>
          </cell>
          <cell r="C1358">
            <v>600</v>
          </cell>
          <cell r="D1358">
            <v>0</v>
          </cell>
          <cell r="E1358">
            <v>0</v>
          </cell>
          <cell r="F1358">
            <v>600</v>
          </cell>
        </row>
        <row r="1359">
          <cell r="A1359" t="str">
            <v>71300000-30001000-15060000</v>
          </cell>
          <cell r="B1359" t="str">
            <v>MANTTO A EQUIPOS DE COMPUTO</v>
          </cell>
          <cell r="C1359">
            <v>0</v>
          </cell>
          <cell r="D1359">
            <v>847.5</v>
          </cell>
          <cell r="E1359">
            <v>0</v>
          </cell>
          <cell r="F1359">
            <v>847.5</v>
          </cell>
        </row>
        <row r="1360">
          <cell r="A1360" t="str">
            <v>71300000-30001000-15080000</v>
          </cell>
          <cell r="B1360" t="str">
            <v>MANTTO A VARIOS</v>
          </cell>
          <cell r="C1360">
            <v>313.22000000000003</v>
          </cell>
          <cell r="D1360">
            <v>0</v>
          </cell>
          <cell r="E1360">
            <v>0</v>
          </cell>
          <cell r="F1360">
            <v>313.22000000000003</v>
          </cell>
        </row>
        <row r="1361">
          <cell r="A1361" t="str">
            <v>71300000-30001000-16010000</v>
          </cell>
          <cell r="B1361" t="str">
            <v>PAPELERIA</v>
          </cell>
          <cell r="C1361">
            <v>6144.05</v>
          </cell>
          <cell r="D1361">
            <v>0</v>
          </cell>
          <cell r="E1361">
            <v>0</v>
          </cell>
          <cell r="F1361">
            <v>6144.05</v>
          </cell>
        </row>
        <row r="1362">
          <cell r="A1362" t="str">
            <v>71300000-30001000-17010000</v>
          </cell>
          <cell r="B1362" t="str">
            <v>ENERGIA ELECTRICA</v>
          </cell>
          <cell r="C1362">
            <v>5706.11</v>
          </cell>
          <cell r="D1362">
            <v>0</v>
          </cell>
          <cell r="E1362">
            <v>0</v>
          </cell>
          <cell r="F1362">
            <v>5706.11</v>
          </cell>
        </row>
        <row r="1363">
          <cell r="A1363" t="str">
            <v>71300000-30001000-17030000</v>
          </cell>
          <cell r="B1363" t="str">
            <v>SEGURIDAD PRIVADA</v>
          </cell>
          <cell r="C1363">
            <v>1038</v>
          </cell>
          <cell r="D1363">
            <v>519</v>
          </cell>
          <cell r="E1363">
            <v>0</v>
          </cell>
          <cell r="F1363">
            <v>1557</v>
          </cell>
        </row>
        <row r="1364">
          <cell r="A1364" t="str">
            <v>71300000-30001000-18010000</v>
          </cell>
          <cell r="B1364" t="str">
            <v>CAPACITACION Y ADIESTRAMIENTO</v>
          </cell>
          <cell r="C1364">
            <v>19677.419999999998</v>
          </cell>
          <cell r="D1364">
            <v>0</v>
          </cell>
          <cell r="E1364">
            <v>0</v>
          </cell>
          <cell r="F1364">
            <v>19677.419999999998</v>
          </cell>
        </row>
        <row r="1365">
          <cell r="A1365" t="str">
            <v>71300000-30001000-18020000</v>
          </cell>
          <cell r="B1365" t="str">
            <v>PASAJES Y TRANSPORTES LOCALES</v>
          </cell>
          <cell r="C1365">
            <v>590</v>
          </cell>
          <cell r="D1365">
            <v>0</v>
          </cell>
          <cell r="E1365">
            <v>0</v>
          </cell>
          <cell r="F1365">
            <v>590</v>
          </cell>
        </row>
        <row r="1366">
          <cell r="A1366" t="str">
            <v>71300000-30001000-18050000</v>
          </cell>
          <cell r="B1366" t="str">
            <v>AGUA ELECTROPURA</v>
          </cell>
          <cell r="C1366">
            <v>588</v>
          </cell>
          <cell r="D1366">
            <v>336</v>
          </cell>
          <cell r="E1366">
            <v>0</v>
          </cell>
          <cell r="F1366">
            <v>924</v>
          </cell>
        </row>
        <row r="1367">
          <cell r="A1367" t="str">
            <v>71300000-30001000-18110000</v>
          </cell>
          <cell r="B1367" t="str">
            <v>CONSUMOS RESTAURANT</v>
          </cell>
          <cell r="C1367">
            <v>17.350000000000001</v>
          </cell>
          <cell r="D1367">
            <v>0</v>
          </cell>
          <cell r="E1367">
            <v>0</v>
          </cell>
          <cell r="F1367">
            <v>17.350000000000001</v>
          </cell>
        </row>
        <row r="1368">
          <cell r="A1368" t="str">
            <v>71300000-30001000-19010000</v>
          </cell>
          <cell r="B1368" t="str">
            <v>TELEFONOS</v>
          </cell>
          <cell r="C1368">
            <v>34317.68</v>
          </cell>
          <cell r="D1368">
            <v>22331.8</v>
          </cell>
          <cell r="E1368">
            <v>0</v>
          </cell>
          <cell r="F1368">
            <v>56649.48</v>
          </cell>
        </row>
        <row r="1369">
          <cell r="A1369" t="str">
            <v>71300000-30001000-19030000</v>
          </cell>
          <cell r="B1369" t="str">
            <v>TELEFONOS CELULARES</v>
          </cell>
          <cell r="C1369">
            <v>6971.2</v>
          </cell>
          <cell r="D1369">
            <v>0</v>
          </cell>
          <cell r="E1369">
            <v>0</v>
          </cell>
          <cell r="F1369">
            <v>6971.2</v>
          </cell>
        </row>
        <row r="1370">
          <cell r="A1370" t="str">
            <v>71300000-30001000-19050000</v>
          </cell>
          <cell r="B1370" t="str">
            <v>INTERNET</v>
          </cell>
          <cell r="C1370">
            <v>13822.17</v>
          </cell>
          <cell r="D1370">
            <v>6818.24</v>
          </cell>
          <cell r="E1370">
            <v>0</v>
          </cell>
          <cell r="F1370">
            <v>20640.41</v>
          </cell>
        </row>
        <row r="1371">
          <cell r="A1371" t="str">
            <v>71300000-30001000-19070000</v>
          </cell>
          <cell r="B1371" t="str">
            <v>MENSAJERIA ESPECIALIZADA</v>
          </cell>
          <cell r="C1371">
            <v>1173.45</v>
          </cell>
          <cell r="D1371">
            <v>3318.52</v>
          </cell>
          <cell r="E1371">
            <v>0</v>
          </cell>
          <cell r="F1371">
            <v>4491.97</v>
          </cell>
        </row>
        <row r="1372">
          <cell r="A1372" t="str">
            <v>71300000-30001000-20010000</v>
          </cell>
          <cell r="B1372" t="str">
            <v>COMBUSTIBLE AUTOMOVILES</v>
          </cell>
          <cell r="C1372">
            <v>7545.03</v>
          </cell>
          <cell r="D1372">
            <v>2274.39</v>
          </cell>
          <cell r="E1372">
            <v>0</v>
          </cell>
          <cell r="F1372">
            <v>9819.42</v>
          </cell>
        </row>
        <row r="1373">
          <cell r="A1373" t="str">
            <v>71300000-30001000-22050000</v>
          </cell>
          <cell r="B1373" t="str">
            <v>COMISIONES Y ASESORIAS EXTERNA</v>
          </cell>
          <cell r="C1373">
            <v>29965.17</v>
          </cell>
          <cell r="D1373">
            <v>14073.37</v>
          </cell>
          <cell r="E1373">
            <v>0</v>
          </cell>
          <cell r="F1373">
            <v>44038.54</v>
          </cell>
        </row>
        <row r="1374">
          <cell r="A1374" t="str">
            <v>71300000-30001000-23030000</v>
          </cell>
          <cell r="B1374" t="str">
            <v>DERECHOS DE AGUA</v>
          </cell>
          <cell r="C1374">
            <v>13875.45</v>
          </cell>
          <cell r="D1374">
            <v>0</v>
          </cell>
          <cell r="E1374">
            <v>0</v>
          </cell>
          <cell r="F1374">
            <v>13875.45</v>
          </cell>
        </row>
        <row r="1375">
          <cell r="A1375" t="str">
            <v>71300000-30001000-23120000</v>
          </cell>
          <cell r="B1375" t="str">
            <v>DIVERSOS</v>
          </cell>
          <cell r="C1375">
            <v>2200.06</v>
          </cell>
          <cell r="D1375">
            <v>400.2</v>
          </cell>
          <cell r="E1375">
            <v>0</v>
          </cell>
          <cell r="F1375">
            <v>2600.2600000000002</v>
          </cell>
        </row>
        <row r="1376">
          <cell r="A1376" t="str">
            <v>71300000-30001000-23130000</v>
          </cell>
          <cell r="B1376" t="str">
            <v>OTROS IMPUESTOS Y DERECHOS</v>
          </cell>
          <cell r="C1376">
            <v>7920</v>
          </cell>
          <cell r="D1376">
            <v>11281</v>
          </cell>
          <cell r="E1376">
            <v>0</v>
          </cell>
          <cell r="F1376">
            <v>19201</v>
          </cell>
        </row>
        <row r="1377">
          <cell r="A1377" t="str">
            <v>71300000-30001000-23140000</v>
          </cell>
          <cell r="B1377" t="str">
            <v>FLETES Y ACARREOS</v>
          </cell>
          <cell r="C1377">
            <v>0</v>
          </cell>
          <cell r="D1377">
            <v>249.68</v>
          </cell>
          <cell r="E1377">
            <v>0</v>
          </cell>
          <cell r="F1377">
            <v>249.68</v>
          </cell>
        </row>
        <row r="1378">
          <cell r="A1378" t="str">
            <v>71300000-30001000-23150000</v>
          </cell>
          <cell r="B1378" t="str">
            <v>ASEO LIMPIEZA E IMPLEMENTOS</v>
          </cell>
          <cell r="C1378">
            <v>2785</v>
          </cell>
          <cell r="D1378">
            <v>1631</v>
          </cell>
          <cell r="E1378">
            <v>0</v>
          </cell>
          <cell r="F1378">
            <v>4416</v>
          </cell>
        </row>
        <row r="1379">
          <cell r="A1379" t="str">
            <v>71300000-30001000-23200000</v>
          </cell>
          <cell r="B1379" t="str">
            <v>EVENTOS INTERNOS COREV</v>
          </cell>
          <cell r="C1379">
            <v>3401.2</v>
          </cell>
          <cell r="D1379">
            <v>0</v>
          </cell>
          <cell r="E1379">
            <v>0</v>
          </cell>
          <cell r="F1379">
            <v>3401.2</v>
          </cell>
        </row>
        <row r="1380">
          <cell r="A1380" t="str">
            <v>71300000-30001000-27150000</v>
          </cell>
          <cell r="B1380" t="str">
            <v>SECCION AMARILLA</v>
          </cell>
          <cell r="C1380">
            <v>18072.45</v>
          </cell>
          <cell r="D1380">
            <v>773.45</v>
          </cell>
          <cell r="E1380">
            <v>0</v>
          </cell>
          <cell r="F1380">
            <v>18845.900000000001</v>
          </cell>
        </row>
        <row r="1381">
          <cell r="A1381" t="str">
            <v>71300000-30001000-35020000</v>
          </cell>
          <cell r="B1381" t="str">
            <v>DIVERSOS NO DEDUCIBLES</v>
          </cell>
          <cell r="C1381">
            <v>7579.57</v>
          </cell>
          <cell r="D1381">
            <v>1420</v>
          </cell>
          <cell r="E1381">
            <v>0</v>
          </cell>
          <cell r="F1381">
            <v>8999.57</v>
          </cell>
        </row>
        <row r="1382">
          <cell r="A1382" t="str">
            <v>71300000-30001000-90010000</v>
          </cell>
          <cell r="B1382" t="str">
            <v>PRIMA DE ANTIGUEDAD</v>
          </cell>
          <cell r="C1382">
            <v>4742.5</v>
          </cell>
          <cell r="D1382">
            <v>2371.25</v>
          </cell>
          <cell r="E1382">
            <v>0</v>
          </cell>
          <cell r="F1382">
            <v>7113.75</v>
          </cell>
        </row>
        <row r="1383">
          <cell r="A1383" t="str">
            <v>71300000-30001000-90020000</v>
          </cell>
          <cell r="B1383" t="str">
            <v>PLAN DE PENSIONES</v>
          </cell>
          <cell r="C1383">
            <v>19416.080000000002</v>
          </cell>
          <cell r="D1383">
            <v>9708.0400000000009</v>
          </cell>
          <cell r="E1383">
            <v>0</v>
          </cell>
          <cell r="F1383">
            <v>29124.12</v>
          </cell>
        </row>
        <row r="1384">
          <cell r="A1384" t="str">
            <v>71300000-30001000-90030000</v>
          </cell>
          <cell r="B1384" t="str">
            <v>PROVISION AGUINALDO</v>
          </cell>
          <cell r="C1384">
            <v>3286.66</v>
          </cell>
          <cell r="D1384">
            <v>1643.33</v>
          </cell>
          <cell r="E1384">
            <v>0</v>
          </cell>
          <cell r="F1384">
            <v>4929.99</v>
          </cell>
        </row>
        <row r="1385">
          <cell r="A1385" t="str">
            <v>71300000-30002000-00000000</v>
          </cell>
          <cell r="B1385" t="str">
            <v>COSTOS/GASTOS FIJOS DF 1</v>
          </cell>
          <cell r="C1385">
            <v>48575.61</v>
          </cell>
          <cell r="D1385">
            <v>20227.14</v>
          </cell>
          <cell r="E1385">
            <v>13103.55</v>
          </cell>
          <cell r="F1385">
            <v>55699.199999999997</v>
          </cell>
        </row>
        <row r="1386">
          <cell r="A1386" t="str">
            <v>71300000-30002000-01010000</v>
          </cell>
          <cell r="B1386" t="str">
            <v>SUELDOS Y SALARIOS</v>
          </cell>
          <cell r="C1386">
            <v>12076.05</v>
          </cell>
          <cell r="D1386">
            <v>0</v>
          </cell>
          <cell r="E1386">
            <v>12076.05</v>
          </cell>
          <cell r="F1386">
            <v>0</v>
          </cell>
        </row>
        <row r="1387">
          <cell r="A1387" t="str">
            <v>71300000-30002000-01030000</v>
          </cell>
          <cell r="B1387" t="str">
            <v>GRATIFICACIONES</v>
          </cell>
          <cell r="C1387">
            <v>763.5</v>
          </cell>
          <cell r="D1387">
            <v>0</v>
          </cell>
          <cell r="E1387">
            <v>763.5</v>
          </cell>
          <cell r="F1387">
            <v>0</v>
          </cell>
        </row>
        <row r="1388">
          <cell r="A1388" t="str">
            <v>71300000-30002000-03040000</v>
          </cell>
          <cell r="B1388" t="str">
            <v>DESPENSA EN VALES</v>
          </cell>
          <cell r="C1388">
            <v>0</v>
          </cell>
          <cell r="D1388">
            <v>264</v>
          </cell>
          <cell r="E1388">
            <v>264</v>
          </cell>
          <cell r="F1388">
            <v>0</v>
          </cell>
        </row>
        <row r="1389">
          <cell r="A1389" t="str">
            <v>71300000-30002000-05010000</v>
          </cell>
          <cell r="B1389" t="str">
            <v>SERV. PROFESIONALES EXTERNOS</v>
          </cell>
          <cell r="C1389">
            <v>25961.74</v>
          </cell>
          <cell r="D1389">
            <v>12135.2</v>
          </cell>
          <cell r="E1389">
            <v>0</v>
          </cell>
          <cell r="F1389">
            <v>38096.94</v>
          </cell>
        </row>
        <row r="1390">
          <cell r="A1390" t="str">
            <v>71300000-30002000-12010000</v>
          </cell>
          <cell r="B1390" t="str">
            <v>ARREND. AUTOMOVILES</v>
          </cell>
          <cell r="C1390">
            <v>4107.4399999999996</v>
          </cell>
          <cell r="D1390">
            <v>2053.7199999999998</v>
          </cell>
          <cell r="E1390">
            <v>0</v>
          </cell>
          <cell r="F1390">
            <v>6161.16</v>
          </cell>
        </row>
        <row r="1391">
          <cell r="A1391" t="str">
            <v>71300000-30002000-15010000</v>
          </cell>
          <cell r="B1391" t="str">
            <v>MANT. AUTOMOVILES</v>
          </cell>
          <cell r="C1391">
            <v>0</v>
          </cell>
          <cell r="D1391">
            <v>2412.06</v>
          </cell>
          <cell r="E1391">
            <v>0</v>
          </cell>
          <cell r="F1391">
            <v>2412.06</v>
          </cell>
        </row>
        <row r="1392">
          <cell r="A1392" t="str">
            <v>71300000-30002000-16010000</v>
          </cell>
          <cell r="B1392" t="str">
            <v>PAPELERIA</v>
          </cell>
          <cell r="C1392">
            <v>140</v>
          </cell>
          <cell r="D1392">
            <v>0</v>
          </cell>
          <cell r="E1392">
            <v>0</v>
          </cell>
          <cell r="F1392">
            <v>140</v>
          </cell>
        </row>
        <row r="1393">
          <cell r="A1393" t="str">
            <v>71300000-30002000-19030000</v>
          </cell>
          <cell r="B1393" t="str">
            <v>TELEFONOS CELULARES</v>
          </cell>
          <cell r="C1393">
            <v>2530.58</v>
          </cell>
          <cell r="D1393">
            <v>0</v>
          </cell>
          <cell r="E1393">
            <v>0</v>
          </cell>
          <cell r="F1393">
            <v>2530.58</v>
          </cell>
        </row>
        <row r="1394">
          <cell r="A1394" t="str">
            <v>71300000-30002000-20010000</v>
          </cell>
          <cell r="B1394" t="str">
            <v>COMBUSTIBLE AUTOMOVILES</v>
          </cell>
          <cell r="C1394">
            <v>2245.92</v>
          </cell>
          <cell r="D1394">
            <v>1145.1600000000001</v>
          </cell>
          <cell r="E1394">
            <v>0</v>
          </cell>
          <cell r="F1394">
            <v>3391.08</v>
          </cell>
        </row>
        <row r="1395">
          <cell r="A1395" t="str">
            <v>71300000-30002000-23130000</v>
          </cell>
          <cell r="B1395" t="str">
            <v>OTROS IMPUESTOS Y DERECHOS</v>
          </cell>
          <cell r="C1395">
            <v>500.38</v>
          </cell>
          <cell r="D1395">
            <v>2217</v>
          </cell>
          <cell r="E1395">
            <v>0</v>
          </cell>
          <cell r="F1395">
            <v>2717.38</v>
          </cell>
        </row>
        <row r="1396">
          <cell r="A1396" t="str">
            <v>71300000-30002000-35020000</v>
          </cell>
          <cell r="B1396" t="str">
            <v>DIVERSOS NO DEDUCIBLES</v>
          </cell>
          <cell r="C1396">
            <v>250</v>
          </cell>
          <cell r="D1396">
            <v>0</v>
          </cell>
          <cell r="E1396">
            <v>0</v>
          </cell>
          <cell r="F1396">
            <v>250</v>
          </cell>
        </row>
        <row r="1397">
          <cell r="A1397" t="str">
            <v>71300000-30003000-00000000</v>
          </cell>
          <cell r="B1397" t="str">
            <v>COSTOS/GASTOS FIJOS SUR</v>
          </cell>
          <cell r="C1397">
            <v>35904.35</v>
          </cell>
          <cell r="D1397">
            <v>21285.77</v>
          </cell>
          <cell r="E1397">
            <v>0</v>
          </cell>
          <cell r="F1397">
            <v>57190.12</v>
          </cell>
        </row>
        <row r="1398">
          <cell r="A1398" t="str">
            <v>71300000-30003000-01010000</v>
          </cell>
          <cell r="B1398" t="str">
            <v>SUELDOS Y SALARIOS</v>
          </cell>
          <cell r="C1398">
            <v>18000</v>
          </cell>
          <cell r="D1398">
            <v>9000</v>
          </cell>
          <cell r="E1398">
            <v>0</v>
          </cell>
          <cell r="F1398">
            <v>27000</v>
          </cell>
        </row>
        <row r="1399">
          <cell r="A1399" t="str">
            <v>71300000-30003000-03010000</v>
          </cell>
          <cell r="B1399" t="str">
            <v>FONDO DE AHORRO</v>
          </cell>
          <cell r="C1399">
            <v>1440</v>
          </cell>
          <cell r="D1399">
            <v>720</v>
          </cell>
          <cell r="E1399">
            <v>0</v>
          </cell>
          <cell r="F1399">
            <v>2160</v>
          </cell>
        </row>
        <row r="1400">
          <cell r="A1400" t="str">
            <v>71300000-30003000-03020000</v>
          </cell>
          <cell r="B1400" t="str">
            <v>CUOTAS AL I.M.S.S.</v>
          </cell>
          <cell r="C1400">
            <v>3280.04</v>
          </cell>
          <cell r="D1400">
            <v>1529.67</v>
          </cell>
          <cell r="E1400">
            <v>0</v>
          </cell>
          <cell r="F1400">
            <v>4809.71</v>
          </cell>
        </row>
        <row r="1401">
          <cell r="A1401" t="str">
            <v>71300000-30003000-03040000</v>
          </cell>
          <cell r="B1401" t="str">
            <v>DESPENSA EN VALES</v>
          </cell>
          <cell r="C1401">
            <v>360</v>
          </cell>
          <cell r="D1401">
            <v>360</v>
          </cell>
          <cell r="E1401">
            <v>0</v>
          </cell>
          <cell r="F1401">
            <v>720</v>
          </cell>
        </row>
        <row r="1402">
          <cell r="A1402" t="str">
            <v>71300000-30003000-04010000</v>
          </cell>
          <cell r="B1402" t="str">
            <v>2.5% SOBRE NOMINAS</v>
          </cell>
          <cell r="C1402">
            <v>1118</v>
          </cell>
          <cell r="D1402">
            <v>529</v>
          </cell>
          <cell r="E1402">
            <v>0</v>
          </cell>
          <cell r="F1402">
            <v>1647</v>
          </cell>
        </row>
        <row r="1403">
          <cell r="A1403" t="str">
            <v>71300000-30003000-04020000</v>
          </cell>
          <cell r="B1403" t="str">
            <v>5% INFONAVIT</v>
          </cell>
          <cell r="C1403">
            <v>2213.39</v>
          </cell>
          <cell r="D1403">
            <v>1004.14</v>
          </cell>
          <cell r="E1403">
            <v>0</v>
          </cell>
          <cell r="F1403">
            <v>3217.53</v>
          </cell>
        </row>
        <row r="1404">
          <cell r="A1404" t="str">
            <v>71300000-30003000-04030000</v>
          </cell>
          <cell r="B1404" t="str">
            <v>2% S.A.R. / RETIRO</v>
          </cell>
          <cell r="C1404">
            <v>885.36</v>
          </cell>
          <cell r="D1404">
            <v>401.65</v>
          </cell>
          <cell r="E1404">
            <v>0</v>
          </cell>
          <cell r="F1404">
            <v>1287.01</v>
          </cell>
        </row>
        <row r="1405">
          <cell r="A1405" t="str">
            <v>71300000-30003000-04040000</v>
          </cell>
          <cell r="B1405" t="str">
            <v>CESANTIA Y VEJEZ</v>
          </cell>
          <cell r="C1405">
            <v>1394.44</v>
          </cell>
          <cell r="D1405">
            <v>632.61</v>
          </cell>
          <cell r="E1405">
            <v>0</v>
          </cell>
          <cell r="F1405">
            <v>2027.05</v>
          </cell>
        </row>
        <row r="1406">
          <cell r="A1406" t="str">
            <v>71300000-30003000-15010000</v>
          </cell>
          <cell r="B1406" t="str">
            <v>MANT. AUTOMOVILES</v>
          </cell>
          <cell r="C1406">
            <v>992.36</v>
          </cell>
          <cell r="D1406">
            <v>1762.54</v>
          </cell>
          <cell r="E1406">
            <v>0</v>
          </cell>
          <cell r="F1406">
            <v>2754.9</v>
          </cell>
        </row>
        <row r="1407">
          <cell r="A1407" t="str">
            <v>71300000-30003000-16010000</v>
          </cell>
          <cell r="B1407" t="str">
            <v>PAPELERIA</v>
          </cell>
          <cell r="C1407">
            <v>140</v>
          </cell>
          <cell r="D1407">
            <v>0</v>
          </cell>
          <cell r="E1407">
            <v>0</v>
          </cell>
          <cell r="F1407">
            <v>140</v>
          </cell>
        </row>
        <row r="1408">
          <cell r="A1408" t="str">
            <v>71300000-30003000-18040000</v>
          </cell>
          <cell r="B1408" t="str">
            <v>GASTOS DE REPRESENTACION ALIME</v>
          </cell>
          <cell r="C1408">
            <v>133.30000000000001</v>
          </cell>
          <cell r="D1408">
            <v>284.18</v>
          </cell>
          <cell r="E1408">
            <v>0</v>
          </cell>
          <cell r="F1408">
            <v>417.48</v>
          </cell>
        </row>
        <row r="1409">
          <cell r="A1409" t="str">
            <v>71300000-30003000-19030000</v>
          </cell>
          <cell r="B1409" t="str">
            <v>TELEFONOS CELULARES</v>
          </cell>
          <cell r="C1409">
            <v>859.3</v>
          </cell>
          <cell r="D1409">
            <v>0</v>
          </cell>
          <cell r="E1409">
            <v>0</v>
          </cell>
          <cell r="F1409">
            <v>859.3</v>
          </cell>
        </row>
        <row r="1410">
          <cell r="A1410" t="str">
            <v>71300000-30003000-20010000</v>
          </cell>
          <cell r="B1410" t="str">
            <v>COMBUSTIBLE AUTOMOVILES</v>
          </cell>
          <cell r="C1410">
            <v>3579.66</v>
          </cell>
          <cell r="D1410">
            <v>2849.77</v>
          </cell>
          <cell r="E1410">
            <v>0</v>
          </cell>
          <cell r="F1410">
            <v>6429.43</v>
          </cell>
        </row>
        <row r="1411">
          <cell r="A1411" t="str">
            <v>71300000-30003000-23130000</v>
          </cell>
          <cell r="B1411" t="str">
            <v>OTROS IMPUESTOS Y DERECHOS</v>
          </cell>
          <cell r="C1411">
            <v>0</v>
          </cell>
          <cell r="D1411">
            <v>612.08000000000004</v>
          </cell>
          <cell r="E1411">
            <v>0</v>
          </cell>
          <cell r="F1411">
            <v>612.08000000000004</v>
          </cell>
        </row>
        <row r="1412">
          <cell r="A1412" t="str">
            <v>71300000-30003000-23140000</v>
          </cell>
          <cell r="B1412" t="str">
            <v>FLETES Y ACARREOS</v>
          </cell>
          <cell r="C1412">
            <v>0</v>
          </cell>
          <cell r="D1412">
            <v>755.88</v>
          </cell>
          <cell r="E1412">
            <v>0</v>
          </cell>
          <cell r="F1412">
            <v>755.88</v>
          </cell>
        </row>
        <row r="1413">
          <cell r="A1413" t="str">
            <v>71300000-30003000-35020000</v>
          </cell>
          <cell r="B1413" t="str">
            <v>DIVERSOS NO DEDUCIBLES</v>
          </cell>
          <cell r="C1413">
            <v>0</v>
          </cell>
          <cell r="D1413">
            <v>90</v>
          </cell>
          <cell r="E1413">
            <v>0</v>
          </cell>
          <cell r="F1413">
            <v>90</v>
          </cell>
        </row>
        <row r="1414">
          <cell r="A1414" t="str">
            <v>71300000-30003000-90030000</v>
          </cell>
          <cell r="B1414" t="str">
            <v>PROVISION AGUINALDO</v>
          </cell>
          <cell r="C1414">
            <v>1450</v>
          </cell>
          <cell r="D1414">
            <v>725</v>
          </cell>
          <cell r="E1414">
            <v>0</v>
          </cell>
          <cell r="F1414">
            <v>2175</v>
          </cell>
        </row>
        <row r="1415">
          <cell r="A1415" t="str">
            <v>71300000-30003000-90040000</v>
          </cell>
          <cell r="B1415" t="str">
            <v>BOLETIN D-3</v>
          </cell>
          <cell r="C1415">
            <v>58.5</v>
          </cell>
          <cell r="D1415">
            <v>29.25</v>
          </cell>
          <cell r="E1415">
            <v>0</v>
          </cell>
          <cell r="F1415">
            <v>87.75</v>
          </cell>
        </row>
        <row r="1416">
          <cell r="A1416" t="str">
            <v>71300000-30004000-00000000</v>
          </cell>
          <cell r="B1416" t="str">
            <v>COSTOS/GASTOS FIJOS GOLFO</v>
          </cell>
          <cell r="C1416">
            <v>60526.53</v>
          </cell>
          <cell r="D1416">
            <v>34308.76</v>
          </cell>
          <cell r="E1416">
            <v>0</v>
          </cell>
          <cell r="F1416">
            <v>94835.29</v>
          </cell>
        </row>
        <row r="1417">
          <cell r="A1417" t="str">
            <v>71300000-30004000-01010000</v>
          </cell>
          <cell r="B1417" t="str">
            <v>SUELDOS Y SALARIOS</v>
          </cell>
          <cell r="C1417">
            <v>13000</v>
          </cell>
          <cell r="D1417">
            <v>7020</v>
          </cell>
          <cell r="E1417">
            <v>0</v>
          </cell>
          <cell r="F1417">
            <v>20020</v>
          </cell>
        </row>
        <row r="1418">
          <cell r="A1418" t="str">
            <v>71300000-30004000-01030000</v>
          </cell>
          <cell r="B1418" t="str">
            <v>GRATIFICACIONES</v>
          </cell>
          <cell r="C1418">
            <v>424</v>
          </cell>
          <cell r="D1418">
            <v>265</v>
          </cell>
          <cell r="E1418">
            <v>0</v>
          </cell>
          <cell r="F1418">
            <v>689</v>
          </cell>
        </row>
        <row r="1419">
          <cell r="A1419" t="str">
            <v>71300000-30004000-01040000</v>
          </cell>
          <cell r="B1419" t="str">
            <v>VACACIONES</v>
          </cell>
          <cell r="C1419">
            <v>2600</v>
          </cell>
          <cell r="D1419">
            <v>780</v>
          </cell>
          <cell r="E1419">
            <v>0</v>
          </cell>
          <cell r="F1419">
            <v>3380</v>
          </cell>
        </row>
        <row r="1420">
          <cell r="A1420" t="str">
            <v>71300000-30004000-01050000</v>
          </cell>
          <cell r="B1420" t="str">
            <v>PRIMA VACACIONAL</v>
          </cell>
          <cell r="C1420">
            <v>1690</v>
          </cell>
          <cell r="D1420">
            <v>507</v>
          </cell>
          <cell r="E1420">
            <v>0</v>
          </cell>
          <cell r="F1420">
            <v>2197</v>
          </cell>
        </row>
        <row r="1421">
          <cell r="A1421" t="str">
            <v>71300000-30004000-03010000</v>
          </cell>
          <cell r="B1421" t="str">
            <v>FONDO DE AHORRO</v>
          </cell>
          <cell r="C1421">
            <v>1040</v>
          </cell>
          <cell r="D1421">
            <v>561.6</v>
          </cell>
          <cell r="E1421">
            <v>0</v>
          </cell>
          <cell r="F1421">
            <v>1601.6</v>
          </cell>
        </row>
        <row r="1422">
          <cell r="A1422" t="str">
            <v>71300000-30004000-03020000</v>
          </cell>
          <cell r="B1422" t="str">
            <v>CUOTAS AL I.M.S.S.</v>
          </cell>
          <cell r="C1422">
            <v>2958.21</v>
          </cell>
          <cell r="D1422">
            <v>1858.7</v>
          </cell>
          <cell r="E1422">
            <v>0</v>
          </cell>
          <cell r="F1422">
            <v>4816.91</v>
          </cell>
        </row>
        <row r="1423">
          <cell r="A1423" t="str">
            <v>71300000-30004000-03040000</v>
          </cell>
          <cell r="B1423" t="str">
            <v>DESPENSA EN VALES</v>
          </cell>
          <cell r="C1423">
            <v>624</v>
          </cell>
          <cell r="D1423">
            <v>312</v>
          </cell>
          <cell r="E1423">
            <v>0</v>
          </cell>
          <cell r="F1423">
            <v>936</v>
          </cell>
        </row>
        <row r="1424">
          <cell r="A1424" t="str">
            <v>71300000-30004000-04010000</v>
          </cell>
          <cell r="B1424" t="str">
            <v>2.5% SOBRE NOMINAS</v>
          </cell>
          <cell r="C1424">
            <v>1244</v>
          </cell>
          <cell r="D1424">
            <v>403</v>
          </cell>
          <cell r="E1424">
            <v>0</v>
          </cell>
          <cell r="F1424">
            <v>1647</v>
          </cell>
        </row>
        <row r="1425">
          <cell r="A1425" t="str">
            <v>71300000-30004000-04020000</v>
          </cell>
          <cell r="B1425" t="str">
            <v>5% INFONAVIT</v>
          </cell>
          <cell r="C1425">
            <v>1949.59</v>
          </cell>
          <cell r="D1425">
            <v>1273.8499999999999</v>
          </cell>
          <cell r="E1425">
            <v>0</v>
          </cell>
          <cell r="F1425">
            <v>3223.44</v>
          </cell>
        </row>
        <row r="1426">
          <cell r="A1426" t="str">
            <v>71300000-30004000-04030000</v>
          </cell>
          <cell r="B1426" t="str">
            <v>2% S.A.R. / RETIRO</v>
          </cell>
          <cell r="C1426">
            <v>779.84</v>
          </cell>
          <cell r="D1426">
            <v>509.54</v>
          </cell>
          <cell r="E1426">
            <v>0</v>
          </cell>
          <cell r="F1426">
            <v>1289.3800000000001</v>
          </cell>
        </row>
        <row r="1427">
          <cell r="A1427" t="str">
            <v>71300000-30004000-04040000</v>
          </cell>
          <cell r="B1427" t="str">
            <v>CESANTIA Y VEJEZ</v>
          </cell>
          <cell r="C1427">
            <v>1228.26</v>
          </cell>
          <cell r="D1427">
            <v>802.53</v>
          </cell>
          <cell r="E1427">
            <v>0</v>
          </cell>
          <cell r="F1427">
            <v>2030.79</v>
          </cell>
        </row>
        <row r="1428">
          <cell r="A1428" t="str">
            <v>71300000-30004000-12010000</v>
          </cell>
          <cell r="B1428" t="str">
            <v>ARREND. AUTOMOVILES</v>
          </cell>
          <cell r="C1428">
            <v>5338.42</v>
          </cell>
          <cell r="D1428">
            <v>2669.21</v>
          </cell>
          <cell r="E1428">
            <v>0</v>
          </cell>
          <cell r="F1428">
            <v>8007.63</v>
          </cell>
        </row>
        <row r="1429">
          <cell r="A1429" t="str">
            <v>71300000-30004000-15010000</v>
          </cell>
          <cell r="B1429" t="str">
            <v>MANT. AUTOMOVILES</v>
          </cell>
          <cell r="C1429">
            <v>0</v>
          </cell>
          <cell r="D1429">
            <v>777.59</v>
          </cell>
          <cell r="E1429">
            <v>0</v>
          </cell>
          <cell r="F1429">
            <v>777.59</v>
          </cell>
        </row>
        <row r="1430">
          <cell r="A1430" t="str">
            <v>71300000-30004000-15090000</v>
          </cell>
          <cell r="B1430" t="str">
            <v>MANTTO A TIENDAS</v>
          </cell>
          <cell r="C1430">
            <v>8250</v>
          </cell>
          <cell r="D1430">
            <v>6000</v>
          </cell>
          <cell r="E1430">
            <v>0</v>
          </cell>
          <cell r="F1430">
            <v>14250</v>
          </cell>
        </row>
        <row r="1431">
          <cell r="A1431" t="str">
            <v>71300000-30004000-18040000</v>
          </cell>
          <cell r="B1431" t="str">
            <v>GASTOS DE REPRESENTACION ALIME</v>
          </cell>
          <cell r="C1431">
            <v>5577.76</v>
          </cell>
          <cell r="D1431">
            <v>1434.67</v>
          </cell>
          <cell r="E1431">
            <v>0</v>
          </cell>
          <cell r="F1431">
            <v>7012.43</v>
          </cell>
        </row>
        <row r="1432">
          <cell r="A1432" t="str">
            <v>71300000-30004000-19030000</v>
          </cell>
          <cell r="B1432" t="str">
            <v>TELEFONOS CELULARES</v>
          </cell>
          <cell r="C1432">
            <v>1125.43</v>
          </cell>
          <cell r="D1432">
            <v>0</v>
          </cell>
          <cell r="E1432">
            <v>0</v>
          </cell>
          <cell r="F1432">
            <v>1125.43</v>
          </cell>
        </row>
        <row r="1433">
          <cell r="A1433" t="str">
            <v>71300000-30004000-20010000</v>
          </cell>
          <cell r="B1433" t="str">
            <v>COMBUSTIBLE AUTOMOVILES</v>
          </cell>
          <cell r="C1433">
            <v>6740.81</v>
          </cell>
          <cell r="D1433">
            <v>4256.07</v>
          </cell>
          <cell r="E1433">
            <v>0</v>
          </cell>
          <cell r="F1433">
            <v>10996.88</v>
          </cell>
        </row>
        <row r="1434">
          <cell r="A1434" t="str">
            <v>71300000-30004000-23130000</v>
          </cell>
          <cell r="B1434" t="str">
            <v>OTROS IMPUESTOS Y DERECHOS</v>
          </cell>
          <cell r="C1434">
            <v>2830.05</v>
          </cell>
          <cell r="D1434">
            <v>3920.42</v>
          </cell>
          <cell r="E1434">
            <v>0</v>
          </cell>
          <cell r="F1434">
            <v>6750.47</v>
          </cell>
        </row>
        <row r="1435">
          <cell r="A1435" t="str">
            <v>71300000-30004000-35020000</v>
          </cell>
          <cell r="B1435" t="str">
            <v>DIVERSOS NO DEDUCIBLES</v>
          </cell>
          <cell r="C1435">
            <v>1811</v>
          </cell>
          <cell r="D1435">
            <v>300</v>
          </cell>
          <cell r="E1435">
            <v>0</v>
          </cell>
          <cell r="F1435">
            <v>2111</v>
          </cell>
        </row>
        <row r="1436">
          <cell r="A1436" t="str">
            <v>71300000-30004000-90030000</v>
          </cell>
          <cell r="B1436" t="str">
            <v>PROVISION AGUINALDO</v>
          </cell>
          <cell r="C1436">
            <v>1256.6600000000001</v>
          </cell>
          <cell r="D1436">
            <v>628.33000000000004</v>
          </cell>
          <cell r="E1436">
            <v>0</v>
          </cell>
          <cell r="F1436">
            <v>1884.99</v>
          </cell>
        </row>
        <row r="1437">
          <cell r="A1437" t="str">
            <v>71300000-30004000-90040000</v>
          </cell>
          <cell r="B1437" t="str">
            <v>BOLETIN D-3</v>
          </cell>
          <cell r="C1437">
            <v>58.5</v>
          </cell>
          <cell r="D1437">
            <v>29.25</v>
          </cell>
          <cell r="E1437">
            <v>0</v>
          </cell>
          <cell r="F1437">
            <v>87.75</v>
          </cell>
        </row>
        <row r="1438">
          <cell r="A1438" t="str">
            <v>71300000-30005000-00000000</v>
          </cell>
          <cell r="B1438" t="str">
            <v>COSTOS/GASTOS FIJOS TIENDAS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</row>
        <row r="1439">
          <cell r="A1439" t="str">
            <v>71300000-30006000-00000000</v>
          </cell>
          <cell r="B1439" t="str">
            <v>COSTOS/GASTOS FIJOS NTE</v>
          </cell>
          <cell r="C1439">
            <v>88834.65</v>
          </cell>
          <cell r="D1439">
            <v>43346.99</v>
          </cell>
          <cell r="E1439">
            <v>0</v>
          </cell>
          <cell r="F1439">
            <v>132181.64000000001</v>
          </cell>
        </row>
        <row r="1440">
          <cell r="A1440" t="str">
            <v>71300000-30006000-05010000</v>
          </cell>
          <cell r="B1440" t="str">
            <v>SERV. PROFESIONALES EXTERNOS</v>
          </cell>
          <cell r="C1440">
            <v>34949.660000000003</v>
          </cell>
          <cell r="D1440">
            <v>17362.490000000002</v>
          </cell>
          <cell r="E1440">
            <v>0</v>
          </cell>
          <cell r="F1440">
            <v>52312.15</v>
          </cell>
        </row>
        <row r="1441">
          <cell r="A1441" t="str">
            <v>71300000-30006000-15010000</v>
          </cell>
          <cell r="B1441" t="str">
            <v>MANT. AUTOMOVILES</v>
          </cell>
          <cell r="C1441">
            <v>4500</v>
          </cell>
          <cell r="D1441">
            <v>3042.16</v>
          </cell>
          <cell r="E1441">
            <v>0</v>
          </cell>
          <cell r="F1441">
            <v>7542.16</v>
          </cell>
        </row>
        <row r="1442">
          <cell r="A1442" t="str">
            <v>71300000-30006000-16010000</v>
          </cell>
          <cell r="B1442" t="str">
            <v>PAPELERIA</v>
          </cell>
          <cell r="C1442">
            <v>140</v>
          </cell>
          <cell r="D1442">
            <v>70</v>
          </cell>
          <cell r="E1442">
            <v>0</v>
          </cell>
          <cell r="F1442">
            <v>210</v>
          </cell>
        </row>
        <row r="1443">
          <cell r="A1443" t="str">
            <v>71300000-30006000-18020000</v>
          </cell>
          <cell r="B1443" t="str">
            <v>PASAJES Y TRANSPORTES LOCALES</v>
          </cell>
          <cell r="C1443">
            <v>3000</v>
          </cell>
          <cell r="D1443">
            <v>0</v>
          </cell>
          <cell r="E1443">
            <v>0</v>
          </cell>
          <cell r="F1443">
            <v>3000</v>
          </cell>
        </row>
        <row r="1444">
          <cell r="A1444" t="str">
            <v>71300000-30006000-18030000</v>
          </cell>
          <cell r="B1444" t="str">
            <v>GASTOS DE REPRESENTACION TRANS</v>
          </cell>
          <cell r="C1444">
            <v>730</v>
          </cell>
          <cell r="D1444">
            <v>0</v>
          </cell>
          <cell r="E1444">
            <v>0</v>
          </cell>
          <cell r="F1444">
            <v>730</v>
          </cell>
        </row>
        <row r="1445">
          <cell r="A1445" t="str">
            <v>71300000-30006000-18040000</v>
          </cell>
          <cell r="B1445" t="str">
            <v>GASTOS DE REPRESENTACION ALIME</v>
          </cell>
          <cell r="C1445">
            <v>16052.24</v>
          </cell>
          <cell r="D1445">
            <v>6432.75</v>
          </cell>
          <cell r="E1445">
            <v>0</v>
          </cell>
          <cell r="F1445">
            <v>22484.99</v>
          </cell>
        </row>
        <row r="1446">
          <cell r="A1446" t="str">
            <v>71300000-30006000-19030000</v>
          </cell>
          <cell r="B1446" t="str">
            <v>TELEFONOS CELULARES</v>
          </cell>
          <cell r="C1446">
            <v>2478.2600000000002</v>
          </cell>
          <cell r="D1446">
            <v>0</v>
          </cell>
          <cell r="E1446">
            <v>0</v>
          </cell>
          <cell r="F1446">
            <v>2478.2600000000002</v>
          </cell>
        </row>
        <row r="1447">
          <cell r="A1447" t="str">
            <v>71300000-30006000-19050000</v>
          </cell>
          <cell r="B1447" t="str">
            <v>INTERNET</v>
          </cell>
          <cell r="C1447">
            <v>1084.8800000000001</v>
          </cell>
          <cell r="D1447">
            <v>1561.08</v>
          </cell>
          <cell r="E1447">
            <v>0</v>
          </cell>
          <cell r="F1447">
            <v>2645.96</v>
          </cell>
        </row>
        <row r="1448">
          <cell r="A1448" t="str">
            <v>71300000-30006000-19070000</v>
          </cell>
          <cell r="B1448" t="str">
            <v>MENSAJERIA ESPECIALIZADA</v>
          </cell>
          <cell r="C1448">
            <v>1485.76</v>
          </cell>
          <cell r="D1448">
            <v>464.36</v>
          </cell>
          <cell r="E1448">
            <v>0</v>
          </cell>
          <cell r="F1448">
            <v>1950.12</v>
          </cell>
        </row>
        <row r="1449">
          <cell r="A1449" t="str">
            <v>71300000-30006000-20010000</v>
          </cell>
          <cell r="B1449" t="str">
            <v>COMBUSTIBLE AUTOMOVILES</v>
          </cell>
          <cell r="C1449">
            <v>14375.14</v>
          </cell>
          <cell r="D1449">
            <v>10531.21</v>
          </cell>
          <cell r="E1449">
            <v>0</v>
          </cell>
          <cell r="F1449">
            <v>24906.35</v>
          </cell>
        </row>
        <row r="1450">
          <cell r="A1450" t="str">
            <v>71300000-30006000-23120000</v>
          </cell>
          <cell r="B1450" t="str">
            <v>DIVERSOS</v>
          </cell>
          <cell r="C1450">
            <v>360</v>
          </cell>
          <cell r="D1450">
            <v>0</v>
          </cell>
          <cell r="E1450">
            <v>0</v>
          </cell>
          <cell r="F1450">
            <v>360</v>
          </cell>
        </row>
        <row r="1451">
          <cell r="A1451" t="str">
            <v>71300000-30006000-23130000</v>
          </cell>
          <cell r="B1451" t="str">
            <v>OTROS IMPUESTOS Y DERECHOS</v>
          </cell>
          <cell r="C1451">
            <v>5374.25</v>
          </cell>
          <cell r="D1451">
            <v>3237.94</v>
          </cell>
          <cell r="E1451">
            <v>0</v>
          </cell>
          <cell r="F1451">
            <v>8612.19</v>
          </cell>
        </row>
        <row r="1452">
          <cell r="A1452" t="str">
            <v>71300000-30006000-35020000</v>
          </cell>
          <cell r="B1452" t="str">
            <v>DIVERSOS NO DEDUCIBLES</v>
          </cell>
          <cell r="C1452">
            <v>4304.46</v>
          </cell>
          <cell r="D1452">
            <v>645</v>
          </cell>
          <cell r="E1452">
            <v>0</v>
          </cell>
          <cell r="F1452">
            <v>4949.46</v>
          </cell>
        </row>
        <row r="1453">
          <cell r="A1453" t="str">
            <v>71300000-30007000-00000000</v>
          </cell>
          <cell r="B1453" t="str">
            <v>COSTOS/GASTOS FIJOS PAC NTE</v>
          </cell>
          <cell r="C1453">
            <v>43579.29</v>
          </cell>
          <cell r="D1453">
            <v>41326.69</v>
          </cell>
          <cell r="E1453">
            <v>0</v>
          </cell>
          <cell r="F1453">
            <v>84905.98</v>
          </cell>
        </row>
        <row r="1454">
          <cell r="A1454" t="str">
            <v>71300000-30007000-01010000</v>
          </cell>
          <cell r="B1454" t="str">
            <v>SUELDOS Y SALARIOS</v>
          </cell>
          <cell r="C1454">
            <v>13000.2</v>
          </cell>
          <cell r="D1454">
            <v>5850.09</v>
          </cell>
          <cell r="E1454">
            <v>0</v>
          </cell>
          <cell r="F1454">
            <v>18850.29</v>
          </cell>
        </row>
        <row r="1455">
          <cell r="A1455" t="str">
            <v>71300000-30007000-01040000</v>
          </cell>
          <cell r="B1455" t="str">
            <v>VACACIONES</v>
          </cell>
          <cell r="C1455">
            <v>0</v>
          </cell>
          <cell r="D1455">
            <v>650.01</v>
          </cell>
          <cell r="E1455">
            <v>0</v>
          </cell>
          <cell r="F1455">
            <v>650.01</v>
          </cell>
        </row>
        <row r="1456">
          <cell r="A1456" t="str">
            <v>71300000-30007000-01050000</v>
          </cell>
          <cell r="B1456" t="str">
            <v>PRIMA VACACIONAL</v>
          </cell>
          <cell r="C1456">
            <v>0</v>
          </cell>
          <cell r="D1456">
            <v>422.51</v>
          </cell>
          <cell r="E1456">
            <v>0</v>
          </cell>
          <cell r="F1456">
            <v>422.51</v>
          </cell>
        </row>
        <row r="1457">
          <cell r="A1457" t="str">
            <v>71300000-30007000-03010000</v>
          </cell>
          <cell r="B1457" t="str">
            <v>FONDO DE AHORRO</v>
          </cell>
          <cell r="C1457">
            <v>1040</v>
          </cell>
          <cell r="D1457">
            <v>468</v>
          </cell>
          <cell r="E1457">
            <v>0</v>
          </cell>
          <cell r="F1457">
            <v>1508</v>
          </cell>
        </row>
        <row r="1458">
          <cell r="A1458" t="str">
            <v>71300000-30007000-03020000</v>
          </cell>
          <cell r="B1458" t="str">
            <v>CUOTAS AL I.M.S.S.</v>
          </cell>
          <cell r="C1458">
            <v>2885.44</v>
          </cell>
          <cell r="D1458">
            <v>1421.25</v>
          </cell>
          <cell r="E1458">
            <v>0</v>
          </cell>
          <cell r="F1458">
            <v>4306.6899999999996</v>
          </cell>
        </row>
        <row r="1459">
          <cell r="A1459" t="str">
            <v>71300000-30007000-03040000</v>
          </cell>
          <cell r="B1459" t="str">
            <v>DESPENSA EN VALES</v>
          </cell>
          <cell r="C1459">
            <v>520</v>
          </cell>
          <cell r="D1459">
            <v>260</v>
          </cell>
          <cell r="E1459">
            <v>0</v>
          </cell>
          <cell r="F1459">
            <v>780</v>
          </cell>
        </row>
        <row r="1460">
          <cell r="A1460" t="str">
            <v>71300000-30007000-04010000</v>
          </cell>
          <cell r="B1460" t="str">
            <v>2.5% SOBRE NOMINAS</v>
          </cell>
          <cell r="C1460">
            <v>869</v>
          </cell>
          <cell r="D1460">
            <v>402</v>
          </cell>
          <cell r="E1460">
            <v>0</v>
          </cell>
          <cell r="F1460">
            <v>1271</v>
          </cell>
        </row>
        <row r="1461">
          <cell r="A1461" t="str">
            <v>71300000-30007000-04020000</v>
          </cell>
          <cell r="B1461" t="str">
            <v>5% INFONAVIT</v>
          </cell>
          <cell r="C1461">
            <v>1889.94</v>
          </cell>
          <cell r="D1461">
            <v>915.28</v>
          </cell>
          <cell r="E1461">
            <v>0</v>
          </cell>
          <cell r="F1461">
            <v>2805.22</v>
          </cell>
        </row>
        <row r="1462">
          <cell r="A1462" t="str">
            <v>71300000-30007000-04030000</v>
          </cell>
          <cell r="B1462" t="str">
            <v>2% S.A.R. / RETIRO</v>
          </cell>
          <cell r="C1462">
            <v>755.98</v>
          </cell>
          <cell r="D1462">
            <v>366.11</v>
          </cell>
          <cell r="E1462">
            <v>0</v>
          </cell>
          <cell r="F1462">
            <v>1122.0899999999999</v>
          </cell>
        </row>
        <row r="1463">
          <cell r="A1463" t="str">
            <v>71300000-30007000-04040000</v>
          </cell>
          <cell r="B1463" t="str">
            <v>CESANTIA Y VEJEZ</v>
          </cell>
          <cell r="C1463">
            <v>1190.6600000000001</v>
          </cell>
          <cell r="D1463">
            <v>576.62</v>
          </cell>
          <cell r="E1463">
            <v>0</v>
          </cell>
          <cell r="F1463">
            <v>1767.28</v>
          </cell>
        </row>
        <row r="1464">
          <cell r="A1464" t="str">
            <v>71300000-30007000-15010000</v>
          </cell>
          <cell r="B1464" t="str">
            <v>MANT. AUTOMOVILES</v>
          </cell>
          <cell r="C1464">
            <v>2733.17</v>
          </cell>
          <cell r="D1464">
            <v>8395.08</v>
          </cell>
          <cell r="E1464">
            <v>0</v>
          </cell>
          <cell r="F1464">
            <v>11128.25</v>
          </cell>
        </row>
        <row r="1465">
          <cell r="A1465" t="str">
            <v>71300000-30007000-15090000</v>
          </cell>
          <cell r="B1465" t="str">
            <v>MANTTO A TIENDAS</v>
          </cell>
          <cell r="C1465">
            <v>0</v>
          </cell>
          <cell r="D1465">
            <v>6000</v>
          </cell>
          <cell r="E1465">
            <v>0</v>
          </cell>
          <cell r="F1465">
            <v>6000</v>
          </cell>
        </row>
        <row r="1466">
          <cell r="A1466" t="str">
            <v>71300000-30007000-18020000</v>
          </cell>
          <cell r="B1466" t="str">
            <v>PASAJES Y TRANSPORTES LOCALES</v>
          </cell>
          <cell r="C1466">
            <v>450</v>
          </cell>
          <cell r="D1466">
            <v>472</v>
          </cell>
          <cell r="E1466">
            <v>0</v>
          </cell>
          <cell r="F1466">
            <v>922</v>
          </cell>
        </row>
        <row r="1467">
          <cell r="A1467" t="str">
            <v>71300000-30007000-18030000</v>
          </cell>
          <cell r="B1467" t="str">
            <v>GASTOS DE REPRESENTACION TRANS</v>
          </cell>
          <cell r="C1467">
            <v>3718.5</v>
          </cell>
          <cell r="D1467">
            <v>0</v>
          </cell>
          <cell r="E1467">
            <v>0</v>
          </cell>
          <cell r="F1467">
            <v>3718.5</v>
          </cell>
        </row>
        <row r="1468">
          <cell r="A1468" t="str">
            <v>71300000-30007000-18040000</v>
          </cell>
          <cell r="B1468" t="str">
            <v>GASTOS DE REPRESENTACION ALIME</v>
          </cell>
          <cell r="C1468">
            <v>3678.57</v>
          </cell>
          <cell r="D1468">
            <v>5121.1000000000004</v>
          </cell>
          <cell r="E1468">
            <v>0</v>
          </cell>
          <cell r="F1468">
            <v>8799.67</v>
          </cell>
        </row>
        <row r="1469">
          <cell r="A1469" t="str">
            <v>71300000-30007000-19030000</v>
          </cell>
          <cell r="B1469" t="str">
            <v>TELEFONOS CELULARES</v>
          </cell>
          <cell r="C1469">
            <v>1203.6400000000001</v>
          </cell>
          <cell r="D1469">
            <v>0</v>
          </cell>
          <cell r="E1469">
            <v>0</v>
          </cell>
          <cell r="F1469">
            <v>1203.6400000000001</v>
          </cell>
        </row>
        <row r="1470">
          <cell r="A1470" t="str">
            <v>71300000-30007000-19070000</v>
          </cell>
          <cell r="B1470" t="str">
            <v>MENSAJERIA ESPECIALIZADA</v>
          </cell>
          <cell r="C1470">
            <v>362.25</v>
          </cell>
          <cell r="D1470">
            <v>890.63</v>
          </cell>
          <cell r="E1470">
            <v>0</v>
          </cell>
          <cell r="F1470">
            <v>1252.8800000000001</v>
          </cell>
        </row>
        <row r="1471">
          <cell r="A1471" t="str">
            <v>71300000-30007000-20010000</v>
          </cell>
          <cell r="B1471" t="str">
            <v>COMBUSTIBLE AUTOMOVILES</v>
          </cell>
          <cell r="C1471">
            <v>3545.99</v>
          </cell>
          <cell r="D1471">
            <v>3223.38</v>
          </cell>
          <cell r="E1471">
            <v>0</v>
          </cell>
          <cell r="F1471">
            <v>6769.37</v>
          </cell>
        </row>
        <row r="1472">
          <cell r="A1472" t="str">
            <v>71300000-30007000-23120000</v>
          </cell>
          <cell r="B1472" t="str">
            <v>DIVERSOS</v>
          </cell>
          <cell r="C1472">
            <v>1202.5899999999999</v>
          </cell>
          <cell r="D1472">
            <v>995.01</v>
          </cell>
          <cell r="E1472">
            <v>0</v>
          </cell>
          <cell r="F1472">
            <v>2197.6</v>
          </cell>
        </row>
        <row r="1473">
          <cell r="A1473" t="str">
            <v>71300000-30007000-23130000</v>
          </cell>
          <cell r="B1473" t="str">
            <v>OTROS IMPUESTOS Y DERECHOS</v>
          </cell>
          <cell r="C1473">
            <v>2589.94</v>
          </cell>
          <cell r="D1473">
            <v>3743.75</v>
          </cell>
          <cell r="E1473">
            <v>0</v>
          </cell>
          <cell r="F1473">
            <v>6333.69</v>
          </cell>
        </row>
        <row r="1474">
          <cell r="A1474" t="str">
            <v>71300000-30007000-35020000</v>
          </cell>
          <cell r="B1474" t="str">
            <v>DIVERSOS NO DEDUCIBLES</v>
          </cell>
          <cell r="C1474">
            <v>837.68</v>
          </cell>
          <cell r="D1474">
            <v>601</v>
          </cell>
          <cell r="E1474">
            <v>0</v>
          </cell>
          <cell r="F1474">
            <v>1438.68</v>
          </cell>
        </row>
        <row r="1475">
          <cell r="A1475" t="str">
            <v>71300000-30007000-90030000</v>
          </cell>
          <cell r="B1475" t="str">
            <v>PROVISION AGUINALDO</v>
          </cell>
          <cell r="C1475">
            <v>1047.24</v>
          </cell>
          <cell r="D1475">
            <v>523.62</v>
          </cell>
          <cell r="E1475">
            <v>0</v>
          </cell>
          <cell r="F1475">
            <v>1570.86</v>
          </cell>
        </row>
        <row r="1476">
          <cell r="A1476" t="str">
            <v>71300000-30007000-90040000</v>
          </cell>
          <cell r="B1476" t="str">
            <v>BOLETIN D-3</v>
          </cell>
          <cell r="C1476">
            <v>58.5</v>
          </cell>
          <cell r="D1476">
            <v>29.25</v>
          </cell>
          <cell r="E1476">
            <v>0</v>
          </cell>
          <cell r="F1476">
            <v>87.75</v>
          </cell>
        </row>
        <row r="1477">
          <cell r="A1477" t="str">
            <v>71300000-30008000-00000000</v>
          </cell>
          <cell r="B1477" t="str">
            <v>COSTOS/GASTOS FIJOS PAC CTRO</v>
          </cell>
          <cell r="C1477">
            <v>52153.9</v>
          </cell>
          <cell r="D1477">
            <v>32788.83</v>
          </cell>
          <cell r="E1477">
            <v>0</v>
          </cell>
          <cell r="F1477">
            <v>84942.73</v>
          </cell>
        </row>
        <row r="1478">
          <cell r="A1478" t="str">
            <v>71300000-30008000-01010000</v>
          </cell>
          <cell r="B1478" t="str">
            <v>SUELDOS Y SALARIOS</v>
          </cell>
          <cell r="C1478">
            <v>18333.150000000001</v>
          </cell>
          <cell r="D1478">
            <v>8666.58</v>
          </cell>
          <cell r="E1478">
            <v>0</v>
          </cell>
          <cell r="F1478">
            <v>26999.73</v>
          </cell>
        </row>
        <row r="1479">
          <cell r="A1479" t="str">
            <v>71300000-30008000-01030000</v>
          </cell>
          <cell r="B1479" t="str">
            <v>GRATIFICACIONES</v>
          </cell>
          <cell r="C1479">
            <v>474</v>
          </cell>
          <cell r="D1479">
            <v>185.5</v>
          </cell>
          <cell r="E1479">
            <v>0</v>
          </cell>
          <cell r="F1479">
            <v>659.5</v>
          </cell>
        </row>
        <row r="1480">
          <cell r="A1480" t="str">
            <v>71300000-30008000-01040000</v>
          </cell>
          <cell r="B1480" t="str">
            <v>VACACIONES</v>
          </cell>
          <cell r="C1480">
            <v>1666.65</v>
          </cell>
          <cell r="D1480">
            <v>1333.32</v>
          </cell>
          <cell r="E1480">
            <v>0</v>
          </cell>
          <cell r="F1480">
            <v>2999.97</v>
          </cell>
        </row>
        <row r="1481">
          <cell r="A1481" t="str">
            <v>71300000-30008000-01050000</v>
          </cell>
          <cell r="B1481" t="str">
            <v>PRIMA VACACIONAL</v>
          </cell>
          <cell r="C1481">
            <v>1083.32</v>
          </cell>
          <cell r="D1481">
            <v>866.66</v>
          </cell>
          <cell r="E1481">
            <v>0</v>
          </cell>
          <cell r="F1481">
            <v>1949.98</v>
          </cell>
        </row>
        <row r="1482">
          <cell r="A1482" t="str">
            <v>71300000-30008000-03010000</v>
          </cell>
          <cell r="B1482" t="str">
            <v>FONDO DE AHORRO</v>
          </cell>
          <cell r="C1482">
            <v>1466.66</v>
          </cell>
          <cell r="D1482">
            <v>693.33</v>
          </cell>
          <cell r="E1482">
            <v>0</v>
          </cell>
          <cell r="F1482">
            <v>2159.9899999999998</v>
          </cell>
        </row>
        <row r="1483">
          <cell r="A1483" t="str">
            <v>71300000-30008000-03020000</v>
          </cell>
          <cell r="B1483" t="str">
            <v>CUOTAS AL I.M.S.S.</v>
          </cell>
          <cell r="C1483">
            <v>3570.82</v>
          </cell>
          <cell r="D1483">
            <v>1728.69</v>
          </cell>
          <cell r="E1483">
            <v>0</v>
          </cell>
          <cell r="F1483">
            <v>5299.51</v>
          </cell>
        </row>
        <row r="1484">
          <cell r="A1484" t="str">
            <v>71300000-30008000-03040000</v>
          </cell>
          <cell r="B1484" t="str">
            <v>DESPENSA EN VALES</v>
          </cell>
          <cell r="C1484">
            <v>800</v>
          </cell>
          <cell r="D1484">
            <v>400</v>
          </cell>
          <cell r="E1484">
            <v>0</v>
          </cell>
          <cell r="F1484">
            <v>1200</v>
          </cell>
        </row>
        <row r="1485">
          <cell r="A1485" t="str">
            <v>71300000-30008000-04010000</v>
          </cell>
          <cell r="B1485" t="str">
            <v>2.5% SOBRE NOMINAS</v>
          </cell>
          <cell r="C1485">
            <v>1127</v>
          </cell>
          <cell r="D1485">
            <v>620</v>
          </cell>
          <cell r="E1485">
            <v>0</v>
          </cell>
          <cell r="F1485">
            <v>1747</v>
          </cell>
        </row>
        <row r="1486">
          <cell r="A1486" t="str">
            <v>71300000-30008000-04020000</v>
          </cell>
          <cell r="B1486" t="str">
            <v>5% INFONAVIT</v>
          </cell>
          <cell r="C1486">
            <v>2451.7199999999998</v>
          </cell>
          <cell r="D1486">
            <v>1167.27</v>
          </cell>
          <cell r="E1486">
            <v>0</v>
          </cell>
          <cell r="F1486">
            <v>3618.99</v>
          </cell>
        </row>
        <row r="1487">
          <cell r="A1487" t="str">
            <v>71300000-30008000-04030000</v>
          </cell>
          <cell r="B1487" t="str">
            <v>2% S.A.R. / RETIRO</v>
          </cell>
          <cell r="C1487">
            <v>980.69</v>
          </cell>
          <cell r="D1487">
            <v>466.91</v>
          </cell>
          <cell r="E1487">
            <v>0</v>
          </cell>
          <cell r="F1487">
            <v>1447.6</v>
          </cell>
        </row>
        <row r="1488">
          <cell r="A1488" t="str">
            <v>71300000-30008000-04040000</v>
          </cell>
          <cell r="B1488" t="str">
            <v>CESANTIA Y VEJEZ</v>
          </cell>
          <cell r="C1488">
            <v>1544.56</v>
          </cell>
          <cell r="D1488">
            <v>735.39</v>
          </cell>
          <cell r="E1488">
            <v>0</v>
          </cell>
          <cell r="F1488">
            <v>2279.9499999999998</v>
          </cell>
        </row>
        <row r="1489">
          <cell r="A1489" t="str">
            <v>71300000-30008000-12010000</v>
          </cell>
          <cell r="B1489" t="str">
            <v>ARREND. AUTOMOVILES</v>
          </cell>
          <cell r="C1489">
            <v>5338.42</v>
          </cell>
          <cell r="D1489">
            <v>0</v>
          </cell>
          <cell r="E1489">
            <v>0</v>
          </cell>
          <cell r="F1489">
            <v>5338.42</v>
          </cell>
        </row>
        <row r="1490">
          <cell r="A1490" t="str">
            <v>71300000-30008000-15010000</v>
          </cell>
          <cell r="B1490" t="str">
            <v>MANT. AUTOMOVILES</v>
          </cell>
          <cell r="C1490">
            <v>248.27</v>
          </cell>
          <cell r="D1490">
            <v>2743.79</v>
          </cell>
          <cell r="E1490">
            <v>0</v>
          </cell>
          <cell r="F1490">
            <v>2992.06</v>
          </cell>
        </row>
        <row r="1491">
          <cell r="A1491" t="str">
            <v>71300000-30008000-16010000</v>
          </cell>
          <cell r="B1491" t="str">
            <v>PAPELERIA</v>
          </cell>
          <cell r="C1491">
            <v>140</v>
          </cell>
          <cell r="D1491">
            <v>0</v>
          </cell>
          <cell r="E1491">
            <v>0</v>
          </cell>
          <cell r="F1491">
            <v>140</v>
          </cell>
        </row>
        <row r="1492">
          <cell r="A1492" t="str">
            <v>71300000-30008000-18040000</v>
          </cell>
          <cell r="B1492" t="str">
            <v>GASTOS DE REPRESENTACION ALIME</v>
          </cell>
          <cell r="C1492">
            <v>3714.23</v>
          </cell>
          <cell r="D1492">
            <v>3317.78</v>
          </cell>
          <cell r="E1492">
            <v>0</v>
          </cell>
          <cell r="F1492">
            <v>7032.01</v>
          </cell>
        </row>
        <row r="1493">
          <cell r="A1493" t="str">
            <v>71300000-30008000-19030000</v>
          </cell>
          <cell r="B1493" t="str">
            <v>TELEFONOS CELULARES</v>
          </cell>
          <cell r="C1493">
            <v>1145.18</v>
          </cell>
          <cell r="D1493">
            <v>0</v>
          </cell>
          <cell r="E1493">
            <v>0</v>
          </cell>
          <cell r="F1493">
            <v>1145.18</v>
          </cell>
        </row>
        <row r="1494">
          <cell r="A1494" t="str">
            <v>71300000-30008000-20010000</v>
          </cell>
          <cell r="B1494" t="str">
            <v>COMBUSTIBLE AUTOMOVILES</v>
          </cell>
          <cell r="C1494">
            <v>4321.13</v>
          </cell>
          <cell r="D1494">
            <v>3853.96</v>
          </cell>
          <cell r="E1494">
            <v>0</v>
          </cell>
          <cell r="F1494">
            <v>8175.09</v>
          </cell>
        </row>
        <row r="1495">
          <cell r="A1495" t="str">
            <v>71300000-30008000-23130000</v>
          </cell>
          <cell r="B1495" t="str">
            <v>OTROS IMPUESTOS Y DERECHOS</v>
          </cell>
          <cell r="C1495">
            <v>1619.5</v>
          </cell>
          <cell r="D1495">
            <v>3884.61</v>
          </cell>
          <cell r="E1495">
            <v>0</v>
          </cell>
          <cell r="F1495">
            <v>5504.11</v>
          </cell>
        </row>
        <row r="1496">
          <cell r="A1496" t="str">
            <v>71300000-30008000-35020000</v>
          </cell>
          <cell r="B1496" t="str">
            <v>DIVERSOS NO DEDUCIBLES</v>
          </cell>
          <cell r="C1496">
            <v>459</v>
          </cell>
          <cell r="D1496">
            <v>1290.24</v>
          </cell>
          <cell r="E1496">
            <v>0</v>
          </cell>
          <cell r="F1496">
            <v>1749.24</v>
          </cell>
        </row>
        <row r="1497">
          <cell r="A1497" t="str">
            <v>71300000-30008000-90030000</v>
          </cell>
          <cell r="B1497" t="str">
            <v>PROVISION AGUINALDO</v>
          </cell>
          <cell r="C1497">
            <v>1611.1</v>
          </cell>
          <cell r="D1497">
            <v>805.55</v>
          </cell>
          <cell r="E1497">
            <v>0</v>
          </cell>
          <cell r="F1497">
            <v>2416.65</v>
          </cell>
        </row>
        <row r="1498">
          <cell r="A1498" t="str">
            <v>71300000-30008000-90040000</v>
          </cell>
          <cell r="B1498" t="str">
            <v>BOLETIN D-3</v>
          </cell>
          <cell r="C1498">
            <v>58.5</v>
          </cell>
          <cell r="D1498">
            <v>29.25</v>
          </cell>
          <cell r="E1498">
            <v>0</v>
          </cell>
          <cell r="F1498">
            <v>87.75</v>
          </cell>
        </row>
        <row r="1499">
          <cell r="A1499" t="str">
            <v>71300000-30009000-00000000</v>
          </cell>
          <cell r="B1499" t="str">
            <v>COSTOS/GASTOS FIJOS GDL</v>
          </cell>
          <cell r="C1499">
            <v>54893.08</v>
          </cell>
          <cell r="D1499">
            <v>33931.089999999997</v>
          </cell>
          <cell r="E1499">
            <v>117</v>
          </cell>
          <cell r="F1499">
            <v>88707.17</v>
          </cell>
        </row>
        <row r="1500">
          <cell r="A1500" t="str">
            <v>71300000-30009000-05010000</v>
          </cell>
          <cell r="B1500" t="str">
            <v>SERV. PROFESIONALES EXTERNOS</v>
          </cell>
          <cell r="C1500">
            <v>14340.96</v>
          </cell>
          <cell r="D1500">
            <v>8316.19</v>
          </cell>
          <cell r="E1500">
            <v>0</v>
          </cell>
          <cell r="F1500">
            <v>22657.15</v>
          </cell>
        </row>
        <row r="1501">
          <cell r="A1501" t="str">
            <v>71300000-30009000-13020000</v>
          </cell>
          <cell r="B1501" t="str">
            <v>ARRENDAMIENTO DE INMUEBLES PER</v>
          </cell>
          <cell r="C1501">
            <v>21000</v>
          </cell>
          <cell r="D1501">
            <v>10500</v>
          </cell>
          <cell r="E1501">
            <v>0</v>
          </cell>
          <cell r="F1501">
            <v>31500</v>
          </cell>
        </row>
        <row r="1502">
          <cell r="A1502" t="str">
            <v>71300000-30009000-16010000</v>
          </cell>
          <cell r="B1502" t="str">
            <v>PAPELERIA</v>
          </cell>
          <cell r="C1502">
            <v>0</v>
          </cell>
          <cell r="D1502">
            <v>38.71</v>
          </cell>
          <cell r="E1502">
            <v>0</v>
          </cell>
          <cell r="F1502">
            <v>38.71</v>
          </cell>
        </row>
        <row r="1503">
          <cell r="A1503" t="str">
            <v>71300000-30009000-17010000</v>
          </cell>
          <cell r="B1503" t="str">
            <v>ENERGIA ELECTRICA</v>
          </cell>
          <cell r="C1503">
            <v>552.23</v>
          </cell>
          <cell r="D1503">
            <v>587.11</v>
          </cell>
          <cell r="E1503">
            <v>0</v>
          </cell>
          <cell r="F1503">
            <v>1139.3399999999999</v>
          </cell>
        </row>
        <row r="1504">
          <cell r="A1504" t="str">
            <v>71300000-30009000-18020000</v>
          </cell>
          <cell r="B1504" t="str">
            <v>PASAJES Y TRANSPORTES LOCALES</v>
          </cell>
          <cell r="C1504">
            <v>0</v>
          </cell>
          <cell r="D1504">
            <v>480</v>
          </cell>
          <cell r="E1504">
            <v>0</v>
          </cell>
          <cell r="F1504">
            <v>480</v>
          </cell>
        </row>
        <row r="1505">
          <cell r="A1505" t="str">
            <v>71300000-30009000-18030000</v>
          </cell>
          <cell r="B1505" t="str">
            <v>GASTOS DE REPRESENTACION TRANS</v>
          </cell>
          <cell r="C1505">
            <v>0</v>
          </cell>
          <cell r="D1505">
            <v>1255</v>
          </cell>
          <cell r="E1505">
            <v>0</v>
          </cell>
          <cell r="F1505">
            <v>1255</v>
          </cell>
        </row>
        <row r="1506">
          <cell r="A1506" t="str">
            <v>71300000-30009000-18040000</v>
          </cell>
          <cell r="B1506" t="str">
            <v>GASTOS DE REPRESENTACION ALIME</v>
          </cell>
          <cell r="C1506">
            <v>0</v>
          </cell>
          <cell r="D1506">
            <v>116.38</v>
          </cell>
          <cell r="E1506">
            <v>0</v>
          </cell>
          <cell r="F1506">
            <v>116.38</v>
          </cell>
        </row>
        <row r="1507">
          <cell r="A1507" t="str">
            <v>71300000-30009000-19070000</v>
          </cell>
          <cell r="B1507" t="str">
            <v>MENSAJERIA ESPECIALIZADA</v>
          </cell>
          <cell r="C1507">
            <v>660.23</v>
          </cell>
          <cell r="D1507">
            <v>402.6</v>
          </cell>
          <cell r="E1507">
            <v>0</v>
          </cell>
          <cell r="F1507">
            <v>1062.83</v>
          </cell>
        </row>
        <row r="1508">
          <cell r="A1508" t="str">
            <v>71300000-30009000-23120000</v>
          </cell>
          <cell r="B1508" t="str">
            <v>DIVERSOS</v>
          </cell>
          <cell r="C1508">
            <v>25.78</v>
          </cell>
          <cell r="D1508">
            <v>762.72</v>
          </cell>
          <cell r="E1508">
            <v>0</v>
          </cell>
          <cell r="F1508">
            <v>788.5</v>
          </cell>
        </row>
        <row r="1509">
          <cell r="A1509" t="str">
            <v>71300000-30009000-23130000</v>
          </cell>
          <cell r="B1509" t="str">
            <v>OTROS IMPUESTOS Y DERECHOS</v>
          </cell>
          <cell r="C1509">
            <v>0</v>
          </cell>
          <cell r="D1509">
            <v>328.44</v>
          </cell>
          <cell r="E1509">
            <v>0</v>
          </cell>
          <cell r="F1509">
            <v>328.44</v>
          </cell>
        </row>
        <row r="1510">
          <cell r="A1510" t="str">
            <v>71300000-30009000-23140000</v>
          </cell>
          <cell r="B1510" t="str">
            <v>FLETES Y ACARREOS</v>
          </cell>
          <cell r="C1510">
            <v>17365.18</v>
          </cell>
          <cell r="D1510">
            <v>10718.94</v>
          </cell>
          <cell r="E1510">
            <v>117</v>
          </cell>
          <cell r="F1510">
            <v>27967.119999999999</v>
          </cell>
        </row>
        <row r="1511">
          <cell r="A1511" t="str">
            <v>71300000-30009000-35020000</v>
          </cell>
          <cell r="B1511" t="str">
            <v>DIVERSOS NO DEDUCIBLES</v>
          </cell>
          <cell r="C1511">
            <v>948.7</v>
          </cell>
          <cell r="D1511">
            <v>425</v>
          </cell>
          <cell r="E1511">
            <v>0</v>
          </cell>
          <cell r="F1511">
            <v>1373.7</v>
          </cell>
        </row>
        <row r="1512">
          <cell r="A1512" t="str">
            <v>71300000-30010000-00000000</v>
          </cell>
          <cell r="B1512" t="str">
            <v>COSTOS/GASTOS FIJOS OCCIDENTE</v>
          </cell>
          <cell r="C1512">
            <v>51516.58</v>
          </cell>
          <cell r="D1512">
            <v>24740.84</v>
          </cell>
          <cell r="E1512">
            <v>0</v>
          </cell>
          <cell r="F1512">
            <v>76257.42</v>
          </cell>
        </row>
        <row r="1513">
          <cell r="A1513" t="str">
            <v>71300000-30010000-01010000</v>
          </cell>
          <cell r="B1513" t="str">
            <v>SUELDOS Y SALARIOS</v>
          </cell>
          <cell r="C1513">
            <v>15274.8</v>
          </cell>
          <cell r="D1513">
            <v>6974.91</v>
          </cell>
          <cell r="E1513">
            <v>0</v>
          </cell>
          <cell r="F1513">
            <v>22249.71</v>
          </cell>
        </row>
        <row r="1514">
          <cell r="A1514" t="str">
            <v>71300000-30010000-01030000</v>
          </cell>
          <cell r="B1514" t="str">
            <v>GRATIFICACIONES</v>
          </cell>
          <cell r="C1514">
            <v>225</v>
          </cell>
          <cell r="D1514">
            <v>0</v>
          </cell>
          <cell r="E1514">
            <v>0</v>
          </cell>
          <cell r="F1514">
            <v>225</v>
          </cell>
        </row>
        <row r="1515">
          <cell r="A1515" t="str">
            <v>71300000-30010000-01040000</v>
          </cell>
          <cell r="B1515" t="str">
            <v>VACACIONES</v>
          </cell>
          <cell r="C1515">
            <v>0</v>
          </cell>
          <cell r="D1515">
            <v>774.99</v>
          </cell>
          <cell r="E1515">
            <v>0</v>
          </cell>
          <cell r="F1515">
            <v>774.99</v>
          </cell>
        </row>
        <row r="1516">
          <cell r="A1516" t="str">
            <v>71300000-30010000-01050000</v>
          </cell>
          <cell r="B1516" t="str">
            <v>PRIMA VACACIONAL</v>
          </cell>
          <cell r="C1516">
            <v>0</v>
          </cell>
          <cell r="D1516">
            <v>503.74</v>
          </cell>
          <cell r="E1516">
            <v>0</v>
          </cell>
          <cell r="F1516">
            <v>503.74</v>
          </cell>
        </row>
        <row r="1517">
          <cell r="A1517" t="str">
            <v>71300000-30010000-03010000</v>
          </cell>
          <cell r="B1517" t="str">
            <v>FONDO DE AHORRO</v>
          </cell>
          <cell r="C1517">
            <v>1222</v>
          </cell>
          <cell r="D1517">
            <v>558</v>
          </cell>
          <cell r="E1517">
            <v>0</v>
          </cell>
          <cell r="F1517">
            <v>1780</v>
          </cell>
        </row>
        <row r="1518">
          <cell r="A1518" t="str">
            <v>71300000-30010000-03020000</v>
          </cell>
          <cell r="B1518" t="str">
            <v>CUOTAS AL I.M.S.S.</v>
          </cell>
          <cell r="C1518">
            <v>2263.58</v>
          </cell>
          <cell r="D1518">
            <v>1132.95</v>
          </cell>
          <cell r="E1518">
            <v>0</v>
          </cell>
          <cell r="F1518">
            <v>3396.53</v>
          </cell>
        </row>
        <row r="1519">
          <cell r="A1519" t="str">
            <v>71300000-30010000-03040000</v>
          </cell>
          <cell r="B1519" t="str">
            <v>DESPENSA EN VALES</v>
          </cell>
          <cell r="C1519">
            <v>602</v>
          </cell>
          <cell r="D1519">
            <v>0</v>
          </cell>
          <cell r="E1519">
            <v>0</v>
          </cell>
          <cell r="F1519">
            <v>602</v>
          </cell>
        </row>
        <row r="1520">
          <cell r="A1520" t="str">
            <v>71300000-30010000-04010000</v>
          </cell>
          <cell r="B1520" t="str">
            <v>2.5% SOBRE NOMINAS</v>
          </cell>
          <cell r="C1520">
            <v>637</v>
          </cell>
          <cell r="D1520">
            <v>345</v>
          </cell>
          <cell r="E1520">
            <v>0</v>
          </cell>
          <cell r="F1520">
            <v>982</v>
          </cell>
        </row>
        <row r="1521">
          <cell r="A1521" t="str">
            <v>71300000-30010000-04020000</v>
          </cell>
          <cell r="B1521" t="str">
            <v>5% INFONAVIT</v>
          </cell>
          <cell r="C1521">
            <v>1380.21</v>
          </cell>
          <cell r="D1521">
            <v>678.98</v>
          </cell>
          <cell r="E1521">
            <v>0</v>
          </cell>
          <cell r="F1521">
            <v>2059.19</v>
          </cell>
        </row>
        <row r="1522">
          <cell r="A1522" t="str">
            <v>71300000-30010000-04030000</v>
          </cell>
          <cell r="B1522" t="str">
            <v>2% S.A.R. / RETIRO</v>
          </cell>
          <cell r="C1522">
            <v>552.09</v>
          </cell>
          <cell r="D1522">
            <v>271.58999999999997</v>
          </cell>
          <cell r="E1522">
            <v>0</v>
          </cell>
          <cell r="F1522">
            <v>823.68</v>
          </cell>
        </row>
        <row r="1523">
          <cell r="A1523" t="str">
            <v>71300000-30010000-04040000</v>
          </cell>
          <cell r="B1523" t="str">
            <v>CESANTIA Y VEJEZ</v>
          </cell>
          <cell r="C1523">
            <v>869.57</v>
          </cell>
          <cell r="D1523">
            <v>427.77</v>
          </cell>
          <cell r="E1523">
            <v>0</v>
          </cell>
          <cell r="F1523">
            <v>1297.3399999999999</v>
          </cell>
        </row>
        <row r="1524">
          <cell r="A1524" t="str">
            <v>71300000-30010000-12010000</v>
          </cell>
          <cell r="B1524" t="str">
            <v>ARREND. AUTOMOVILES</v>
          </cell>
          <cell r="C1524">
            <v>4564.0600000000004</v>
          </cell>
          <cell r="D1524">
            <v>2282.0300000000002</v>
          </cell>
          <cell r="E1524">
            <v>0</v>
          </cell>
          <cell r="F1524">
            <v>6846.09</v>
          </cell>
        </row>
        <row r="1525">
          <cell r="A1525" t="str">
            <v>71300000-30010000-15010000</v>
          </cell>
          <cell r="B1525" t="str">
            <v>MANT. AUTOMOVILES</v>
          </cell>
          <cell r="C1525">
            <v>3915</v>
          </cell>
          <cell r="D1525">
            <v>0</v>
          </cell>
          <cell r="E1525">
            <v>0</v>
          </cell>
          <cell r="F1525">
            <v>3915</v>
          </cell>
        </row>
        <row r="1526">
          <cell r="A1526" t="str">
            <v>71300000-30010000-15090000</v>
          </cell>
          <cell r="B1526" t="str">
            <v>MANTTO A TIENDAS</v>
          </cell>
          <cell r="C1526">
            <v>6000</v>
          </cell>
          <cell r="D1526">
            <v>3000</v>
          </cell>
          <cell r="E1526">
            <v>0</v>
          </cell>
          <cell r="F1526">
            <v>9000</v>
          </cell>
        </row>
        <row r="1527">
          <cell r="A1527" t="str">
            <v>71300000-30010000-16010000</v>
          </cell>
          <cell r="B1527" t="str">
            <v>PAPELERIA</v>
          </cell>
          <cell r="C1527">
            <v>140</v>
          </cell>
          <cell r="D1527">
            <v>0</v>
          </cell>
          <cell r="E1527">
            <v>0</v>
          </cell>
          <cell r="F1527">
            <v>140</v>
          </cell>
        </row>
        <row r="1528">
          <cell r="A1528" t="str">
            <v>71300000-30010000-18020000</v>
          </cell>
          <cell r="B1528" t="str">
            <v>PASAJES Y TRANSPORTES LOCALES</v>
          </cell>
          <cell r="C1528">
            <v>0</v>
          </cell>
          <cell r="D1528">
            <v>560</v>
          </cell>
          <cell r="E1528">
            <v>0</v>
          </cell>
          <cell r="F1528">
            <v>560</v>
          </cell>
        </row>
        <row r="1529">
          <cell r="A1529" t="str">
            <v>71300000-30010000-18030000</v>
          </cell>
          <cell r="B1529" t="str">
            <v>GASTOS DE REPRESENTACION TRANS</v>
          </cell>
          <cell r="C1529">
            <v>0</v>
          </cell>
          <cell r="D1529">
            <v>1130</v>
          </cell>
          <cell r="E1529">
            <v>0</v>
          </cell>
          <cell r="F1529">
            <v>1130</v>
          </cell>
        </row>
        <row r="1530">
          <cell r="A1530" t="str">
            <v>71300000-30010000-18040000</v>
          </cell>
          <cell r="B1530" t="str">
            <v>GASTOS DE REPRESENTACION ALIME</v>
          </cell>
          <cell r="C1530">
            <v>2913.05</v>
          </cell>
          <cell r="D1530">
            <v>1081.79</v>
          </cell>
          <cell r="E1530">
            <v>0</v>
          </cell>
          <cell r="F1530">
            <v>3994.84</v>
          </cell>
        </row>
        <row r="1531">
          <cell r="A1531" t="str">
            <v>71300000-30010000-19030000</v>
          </cell>
          <cell r="B1531" t="str">
            <v>TELEFONOS CELULARES</v>
          </cell>
          <cell r="C1531">
            <v>1285.17</v>
          </cell>
          <cell r="D1531">
            <v>0</v>
          </cell>
          <cell r="E1531">
            <v>0</v>
          </cell>
          <cell r="F1531">
            <v>1285.17</v>
          </cell>
        </row>
        <row r="1532">
          <cell r="A1532" t="str">
            <v>71300000-30010000-19070000</v>
          </cell>
          <cell r="B1532" t="str">
            <v>MENSAJERIA ESPECIALIZADA</v>
          </cell>
          <cell r="C1532">
            <v>133.72</v>
          </cell>
          <cell r="D1532">
            <v>0</v>
          </cell>
          <cell r="E1532">
            <v>0</v>
          </cell>
          <cell r="F1532">
            <v>133.72</v>
          </cell>
        </row>
        <row r="1533">
          <cell r="A1533" t="str">
            <v>71300000-30010000-20010000</v>
          </cell>
          <cell r="B1533" t="str">
            <v>COMBUSTIBLE AUTOMOVILES</v>
          </cell>
          <cell r="C1533">
            <v>2084.0700000000002</v>
          </cell>
          <cell r="D1533">
            <v>1041.92</v>
          </cell>
          <cell r="E1533">
            <v>0</v>
          </cell>
          <cell r="F1533">
            <v>3125.99</v>
          </cell>
        </row>
        <row r="1534">
          <cell r="A1534" t="str">
            <v>71300000-30010000-23130000</v>
          </cell>
          <cell r="B1534" t="str">
            <v>OTROS IMPUESTOS Y DERECHOS</v>
          </cell>
          <cell r="C1534">
            <v>2308.66</v>
          </cell>
          <cell r="D1534">
            <v>2644.62</v>
          </cell>
          <cell r="E1534">
            <v>0</v>
          </cell>
          <cell r="F1534">
            <v>4953.28</v>
          </cell>
        </row>
        <row r="1535">
          <cell r="A1535" t="str">
            <v>71300000-30010000-35020000</v>
          </cell>
          <cell r="B1535" t="str">
            <v>DIVERSOS NO DEDUCIBLES</v>
          </cell>
          <cell r="C1535">
            <v>3839.5</v>
          </cell>
          <cell r="D1535">
            <v>679</v>
          </cell>
          <cell r="E1535">
            <v>0</v>
          </cell>
          <cell r="F1535">
            <v>4518.5</v>
          </cell>
        </row>
        <row r="1536">
          <cell r="A1536" t="str">
            <v>71300000-30010000-90030000</v>
          </cell>
          <cell r="B1536" t="str">
            <v>PROVISION AGUINALDO</v>
          </cell>
          <cell r="C1536">
            <v>1248.5999999999999</v>
          </cell>
          <cell r="D1536">
            <v>624.29999999999995</v>
          </cell>
          <cell r="E1536">
            <v>0</v>
          </cell>
          <cell r="F1536">
            <v>1872.9</v>
          </cell>
        </row>
        <row r="1537">
          <cell r="A1537" t="str">
            <v>71300000-30010000-90040000</v>
          </cell>
          <cell r="B1537" t="str">
            <v>BOLETIN D-3</v>
          </cell>
          <cell r="C1537">
            <v>58.5</v>
          </cell>
          <cell r="D1537">
            <v>29.25</v>
          </cell>
          <cell r="E1537">
            <v>0</v>
          </cell>
          <cell r="F1537">
            <v>87.75</v>
          </cell>
        </row>
        <row r="1538">
          <cell r="A1538" t="str">
            <v>71300000-30011000-00000000</v>
          </cell>
          <cell r="B1538" t="str">
            <v>COSTOS/GASTOS FIJOS CONURBADA</v>
          </cell>
          <cell r="C1538">
            <v>49060.4</v>
          </cell>
          <cell r="D1538">
            <v>36391.269999999997</v>
          </cell>
          <cell r="E1538">
            <v>0</v>
          </cell>
          <cell r="F1538">
            <v>85451.67</v>
          </cell>
        </row>
        <row r="1539">
          <cell r="A1539" t="str">
            <v>71300000-30011000-01010000</v>
          </cell>
          <cell r="B1539" t="str">
            <v>SUELDOS Y SALARIOS</v>
          </cell>
          <cell r="C1539">
            <v>16000.2</v>
          </cell>
          <cell r="D1539">
            <v>8000.1</v>
          </cell>
          <cell r="E1539">
            <v>0</v>
          </cell>
          <cell r="F1539">
            <v>24000.3</v>
          </cell>
        </row>
        <row r="1540">
          <cell r="A1540" t="str">
            <v>71300000-30011000-01030000</v>
          </cell>
          <cell r="B1540" t="str">
            <v>GRATIFICACIONES</v>
          </cell>
          <cell r="C1540">
            <v>404.5</v>
          </cell>
          <cell r="D1540">
            <v>238.5</v>
          </cell>
          <cell r="E1540">
            <v>0</v>
          </cell>
          <cell r="F1540">
            <v>643</v>
          </cell>
        </row>
        <row r="1541">
          <cell r="A1541" t="str">
            <v>71300000-30011000-03010000</v>
          </cell>
          <cell r="B1541" t="str">
            <v>FONDO DE AHORRO</v>
          </cell>
          <cell r="C1541">
            <v>1280</v>
          </cell>
          <cell r="D1541">
            <v>640</v>
          </cell>
          <cell r="E1541">
            <v>0</v>
          </cell>
          <cell r="F1541">
            <v>1920</v>
          </cell>
        </row>
        <row r="1542">
          <cell r="A1542" t="str">
            <v>71300000-30011000-03020000</v>
          </cell>
          <cell r="B1542" t="str">
            <v>CUOTAS AL I.M.S.S.</v>
          </cell>
          <cell r="C1542">
            <v>3889.81</v>
          </cell>
          <cell r="D1542">
            <v>3021.02</v>
          </cell>
          <cell r="E1542">
            <v>0</v>
          </cell>
          <cell r="F1542">
            <v>6910.83</v>
          </cell>
        </row>
        <row r="1543">
          <cell r="A1543" t="str">
            <v>71300000-30011000-03040000</v>
          </cell>
          <cell r="B1543" t="str">
            <v>DESPENSA EN VALES</v>
          </cell>
          <cell r="C1543">
            <v>640</v>
          </cell>
          <cell r="D1543">
            <v>0</v>
          </cell>
          <cell r="E1543">
            <v>0</v>
          </cell>
          <cell r="F1543">
            <v>640</v>
          </cell>
        </row>
        <row r="1544">
          <cell r="A1544" t="str">
            <v>71300000-30011000-04010000</v>
          </cell>
          <cell r="B1544" t="str">
            <v>2.5% SOBRE NOMINAS</v>
          </cell>
          <cell r="C1544">
            <v>2315</v>
          </cell>
          <cell r="D1544">
            <v>885</v>
          </cell>
          <cell r="E1544">
            <v>0</v>
          </cell>
          <cell r="F1544">
            <v>3200</v>
          </cell>
        </row>
        <row r="1545">
          <cell r="A1545" t="str">
            <v>71300000-30011000-04020000</v>
          </cell>
          <cell r="B1545" t="str">
            <v>5% INFONAVIT</v>
          </cell>
          <cell r="C1545">
            <v>2713.18</v>
          </cell>
          <cell r="D1545">
            <v>2226.58</v>
          </cell>
          <cell r="E1545">
            <v>0</v>
          </cell>
          <cell r="F1545">
            <v>4939.76</v>
          </cell>
        </row>
        <row r="1546">
          <cell r="A1546" t="str">
            <v>71300000-30011000-04030000</v>
          </cell>
          <cell r="B1546" t="str">
            <v>2% S.A.R. / RETIRO</v>
          </cell>
          <cell r="C1546">
            <v>1085.27</v>
          </cell>
          <cell r="D1546">
            <v>890.63</v>
          </cell>
          <cell r="E1546">
            <v>0</v>
          </cell>
          <cell r="F1546">
            <v>1975.9</v>
          </cell>
        </row>
        <row r="1547">
          <cell r="A1547" t="str">
            <v>71300000-30011000-04040000</v>
          </cell>
          <cell r="B1547" t="str">
            <v>CESANTIA Y VEJEZ</v>
          </cell>
          <cell r="C1547">
            <v>1709.3</v>
          </cell>
          <cell r="D1547">
            <v>1402.74</v>
          </cell>
          <cell r="E1547">
            <v>0</v>
          </cell>
          <cell r="F1547">
            <v>3112.04</v>
          </cell>
        </row>
        <row r="1548">
          <cell r="A1548" t="str">
            <v>71300000-30011000-15010000</v>
          </cell>
          <cell r="B1548" t="str">
            <v>MANT. AUTOMOVILES</v>
          </cell>
          <cell r="C1548">
            <v>587.41</v>
          </cell>
          <cell r="D1548">
            <v>5993.11</v>
          </cell>
          <cell r="E1548">
            <v>0</v>
          </cell>
          <cell r="F1548">
            <v>6580.52</v>
          </cell>
        </row>
        <row r="1549">
          <cell r="A1549" t="str">
            <v>71300000-30011000-16010000</v>
          </cell>
          <cell r="B1549" t="str">
            <v>PAPELERIA</v>
          </cell>
          <cell r="C1549">
            <v>140</v>
          </cell>
          <cell r="D1549">
            <v>0</v>
          </cell>
          <cell r="E1549">
            <v>0</v>
          </cell>
          <cell r="F1549">
            <v>140</v>
          </cell>
        </row>
        <row r="1550">
          <cell r="A1550" t="str">
            <v>71300000-30011000-18040000</v>
          </cell>
          <cell r="B1550" t="str">
            <v>GASTOS DE REPRESENTACION ALIME</v>
          </cell>
          <cell r="C1550">
            <v>3285.78</v>
          </cell>
          <cell r="D1550">
            <v>3231.95</v>
          </cell>
          <cell r="E1550">
            <v>0</v>
          </cell>
          <cell r="F1550">
            <v>6517.73</v>
          </cell>
        </row>
        <row r="1551">
          <cell r="A1551" t="str">
            <v>71300000-30011000-19030000</v>
          </cell>
          <cell r="B1551" t="str">
            <v>TELEFONOS CELULARES</v>
          </cell>
          <cell r="C1551">
            <v>1190.52</v>
          </cell>
          <cell r="D1551">
            <v>0</v>
          </cell>
          <cell r="E1551">
            <v>0</v>
          </cell>
          <cell r="F1551">
            <v>1190.52</v>
          </cell>
        </row>
        <row r="1552">
          <cell r="A1552" t="str">
            <v>71300000-30011000-20010000</v>
          </cell>
          <cell r="B1552" t="str">
            <v>COMBUSTIBLE AUTOMOVILES</v>
          </cell>
          <cell r="C1552">
            <v>9106.4699999999993</v>
          </cell>
          <cell r="D1552">
            <v>5685.14</v>
          </cell>
          <cell r="E1552">
            <v>0</v>
          </cell>
          <cell r="F1552">
            <v>14791.61</v>
          </cell>
        </row>
        <row r="1553">
          <cell r="A1553" t="str">
            <v>71300000-30011000-23130000</v>
          </cell>
          <cell r="B1553" t="str">
            <v>OTROS IMPUESTOS Y DERECHOS</v>
          </cell>
          <cell r="C1553">
            <v>1863.06</v>
          </cell>
          <cell r="D1553">
            <v>2336.7800000000002</v>
          </cell>
          <cell r="E1553">
            <v>0</v>
          </cell>
          <cell r="F1553">
            <v>4199.84</v>
          </cell>
        </row>
        <row r="1554">
          <cell r="A1554" t="str">
            <v>71300000-30011000-35020000</v>
          </cell>
          <cell r="B1554" t="str">
            <v>DIVERSOS NO DEDUCIBLES</v>
          </cell>
          <cell r="C1554">
            <v>1502.5</v>
          </cell>
          <cell r="D1554">
            <v>1166.02</v>
          </cell>
          <cell r="E1554">
            <v>0</v>
          </cell>
          <cell r="F1554">
            <v>2668.52</v>
          </cell>
        </row>
        <row r="1555">
          <cell r="A1555" t="str">
            <v>71300000-30011000-90030000</v>
          </cell>
          <cell r="B1555" t="str">
            <v>PROVISION AGUINALDO</v>
          </cell>
          <cell r="C1555">
            <v>1288.9000000000001</v>
          </cell>
          <cell r="D1555">
            <v>644.45000000000005</v>
          </cell>
          <cell r="E1555">
            <v>0</v>
          </cell>
          <cell r="F1555">
            <v>1933.35</v>
          </cell>
        </row>
        <row r="1556">
          <cell r="A1556" t="str">
            <v>71300000-30011000-90040000</v>
          </cell>
          <cell r="B1556" t="str">
            <v>BOLETIN D-3</v>
          </cell>
          <cell r="C1556">
            <v>58.5</v>
          </cell>
          <cell r="D1556">
            <v>29.25</v>
          </cell>
          <cell r="E1556">
            <v>0</v>
          </cell>
          <cell r="F1556">
            <v>87.75</v>
          </cell>
        </row>
        <row r="1557">
          <cell r="A1557" t="str">
            <v>71300000-30012000-00000000</v>
          </cell>
          <cell r="B1557" t="str">
            <v>COSTOS/GTOS LAB FIJOS PRECOR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</row>
        <row r="1558">
          <cell r="A1558" t="str">
            <v>71300000-30013000-00000000</v>
          </cell>
          <cell r="B1558" t="str">
            <v>COSTOS/GASTOS FIJOS CANCUN</v>
          </cell>
          <cell r="C1558">
            <v>137939.26</v>
          </cell>
          <cell r="D1558">
            <v>85175.19</v>
          </cell>
          <cell r="E1558">
            <v>0</v>
          </cell>
          <cell r="F1558">
            <v>223114.45</v>
          </cell>
        </row>
        <row r="1559">
          <cell r="A1559" t="str">
            <v>71300000-30013000-03040000</v>
          </cell>
          <cell r="B1559" t="str">
            <v>DESPENSAS EN VALES</v>
          </cell>
          <cell r="C1559">
            <v>360</v>
          </cell>
          <cell r="D1559">
            <v>0</v>
          </cell>
          <cell r="E1559">
            <v>0</v>
          </cell>
          <cell r="F1559">
            <v>360</v>
          </cell>
        </row>
        <row r="1560">
          <cell r="A1560" t="str">
            <v>71300000-30013000-05010000</v>
          </cell>
          <cell r="B1560" t="str">
            <v>SERV. PROFESIONALES EXTERNOS</v>
          </cell>
          <cell r="C1560">
            <v>17481.97</v>
          </cell>
          <cell r="D1560">
            <v>13087.27</v>
          </cell>
          <cell r="E1560">
            <v>0</v>
          </cell>
          <cell r="F1560">
            <v>30569.24</v>
          </cell>
        </row>
        <row r="1561">
          <cell r="A1561" t="str">
            <v>71300000-30013000-13030000</v>
          </cell>
          <cell r="B1561" t="str">
            <v>ARRENDAMIENTO INMUEBLES SOCIED</v>
          </cell>
          <cell r="C1561">
            <v>53600</v>
          </cell>
          <cell r="D1561">
            <v>26800</v>
          </cell>
          <cell r="E1561">
            <v>0</v>
          </cell>
          <cell r="F1561">
            <v>80400</v>
          </cell>
        </row>
        <row r="1562">
          <cell r="A1562" t="str">
            <v>71300000-30013000-15010000</v>
          </cell>
          <cell r="B1562" t="str">
            <v>MANT. AUTOMOVILES</v>
          </cell>
          <cell r="C1562">
            <v>2768.32</v>
          </cell>
          <cell r="D1562">
            <v>0</v>
          </cell>
          <cell r="E1562">
            <v>0</v>
          </cell>
          <cell r="F1562">
            <v>2768.32</v>
          </cell>
        </row>
        <row r="1563">
          <cell r="A1563" t="str">
            <v>71300000-30013000-15090000</v>
          </cell>
          <cell r="B1563" t="str">
            <v>MANTTO A TIENDAS</v>
          </cell>
          <cell r="C1563">
            <v>21769</v>
          </cell>
          <cell r="D1563">
            <v>8400</v>
          </cell>
          <cell r="E1563">
            <v>0</v>
          </cell>
          <cell r="F1563">
            <v>30169</v>
          </cell>
        </row>
        <row r="1564">
          <cell r="A1564" t="str">
            <v>71300000-30013000-16010000</v>
          </cell>
          <cell r="B1564" t="str">
            <v>PAPELERIA</v>
          </cell>
          <cell r="C1564">
            <v>745.4</v>
          </cell>
          <cell r="D1564">
            <v>431.53</v>
          </cell>
          <cell r="E1564">
            <v>0</v>
          </cell>
          <cell r="F1564">
            <v>1176.93</v>
          </cell>
        </row>
        <row r="1565">
          <cell r="A1565" t="str">
            <v>71300000-30013000-17010000</v>
          </cell>
          <cell r="B1565" t="str">
            <v>ENERGIA ELECTRICA</v>
          </cell>
          <cell r="C1565">
            <v>0</v>
          </cell>
          <cell r="D1565">
            <v>388.29</v>
          </cell>
          <cell r="E1565">
            <v>0</v>
          </cell>
          <cell r="F1565">
            <v>388.29</v>
          </cell>
        </row>
        <row r="1566">
          <cell r="A1566" t="str">
            <v>71300000-30013000-18030000</v>
          </cell>
          <cell r="B1566" t="str">
            <v>GASTOS DE REPRESENTACION TRANS</v>
          </cell>
          <cell r="C1566">
            <v>1446.65</v>
          </cell>
          <cell r="D1566">
            <v>0</v>
          </cell>
          <cell r="E1566">
            <v>0</v>
          </cell>
          <cell r="F1566">
            <v>1446.65</v>
          </cell>
        </row>
        <row r="1567">
          <cell r="A1567" t="str">
            <v>71300000-30013000-18040000</v>
          </cell>
          <cell r="B1567" t="str">
            <v>GASTOS DE REPRESENTACION ALIME</v>
          </cell>
          <cell r="C1567">
            <v>5150.74</v>
          </cell>
          <cell r="D1567">
            <v>0</v>
          </cell>
          <cell r="E1567">
            <v>0</v>
          </cell>
          <cell r="F1567">
            <v>5150.74</v>
          </cell>
        </row>
        <row r="1568">
          <cell r="A1568" t="str">
            <v>71300000-30013000-19030000</v>
          </cell>
          <cell r="B1568" t="str">
            <v>TELEFONOS CELULARES</v>
          </cell>
          <cell r="C1568">
            <v>2016.07</v>
          </cell>
          <cell r="D1568">
            <v>0</v>
          </cell>
          <cell r="E1568">
            <v>0</v>
          </cell>
          <cell r="F1568">
            <v>2016.07</v>
          </cell>
        </row>
        <row r="1569">
          <cell r="A1569" t="str">
            <v>71300000-30013000-19070000</v>
          </cell>
          <cell r="B1569" t="str">
            <v>MENSAJERIA ESPECIALIZADA</v>
          </cell>
          <cell r="C1569">
            <v>429.07</v>
          </cell>
          <cell r="D1569">
            <v>428.73</v>
          </cell>
          <cell r="E1569">
            <v>0</v>
          </cell>
          <cell r="F1569">
            <v>857.8</v>
          </cell>
        </row>
        <row r="1570">
          <cell r="A1570" t="str">
            <v>71300000-30013000-20010000</v>
          </cell>
          <cell r="B1570" t="str">
            <v>COMBUSTIBLE AUTOMOVILES</v>
          </cell>
          <cell r="C1570">
            <v>2320.37</v>
          </cell>
          <cell r="D1570">
            <v>1195.8599999999999</v>
          </cell>
          <cell r="E1570">
            <v>0</v>
          </cell>
          <cell r="F1570">
            <v>3516.23</v>
          </cell>
        </row>
        <row r="1571">
          <cell r="A1571" t="str">
            <v>71300000-30013000-23010000</v>
          </cell>
          <cell r="B1571" t="str">
            <v>RECOLECCION DE BASURA</v>
          </cell>
          <cell r="C1571">
            <v>6040</v>
          </cell>
          <cell r="D1571">
            <v>0</v>
          </cell>
          <cell r="E1571">
            <v>0</v>
          </cell>
          <cell r="F1571">
            <v>6040</v>
          </cell>
        </row>
        <row r="1572">
          <cell r="A1572" t="str">
            <v>71300000-30013000-23120000</v>
          </cell>
          <cell r="B1572" t="str">
            <v>DIVERSOS</v>
          </cell>
          <cell r="C1572">
            <v>5097.6499999999996</v>
          </cell>
          <cell r="D1572">
            <v>2327.13</v>
          </cell>
          <cell r="E1572">
            <v>0</v>
          </cell>
          <cell r="F1572">
            <v>7424.78</v>
          </cell>
        </row>
        <row r="1573">
          <cell r="A1573" t="str">
            <v>71300000-30013000-23130000</v>
          </cell>
          <cell r="B1573" t="str">
            <v>OTROS IMPUESTOS Y DERECHOS</v>
          </cell>
          <cell r="C1573">
            <v>2429.85</v>
          </cell>
          <cell r="D1573">
            <v>0</v>
          </cell>
          <cell r="E1573">
            <v>0</v>
          </cell>
          <cell r="F1573">
            <v>2429.85</v>
          </cell>
        </row>
        <row r="1574">
          <cell r="A1574" t="str">
            <v>71300000-30013000-23140000</v>
          </cell>
          <cell r="B1574" t="str">
            <v>FLETES Y ACARREOS</v>
          </cell>
          <cell r="C1574">
            <v>13962.41</v>
          </cell>
          <cell r="D1574">
            <v>31366.38</v>
          </cell>
          <cell r="E1574">
            <v>0</v>
          </cell>
          <cell r="F1574">
            <v>45328.79</v>
          </cell>
        </row>
        <row r="1575">
          <cell r="A1575" t="str">
            <v>71300000-30013000-23150000</v>
          </cell>
          <cell r="B1575" t="str">
            <v>ASEO LIMPIEZA E IMPLEMENTOS</v>
          </cell>
          <cell r="C1575">
            <v>260.76</v>
          </cell>
          <cell r="D1575">
            <v>0</v>
          </cell>
          <cell r="E1575">
            <v>0</v>
          </cell>
          <cell r="F1575">
            <v>260.76</v>
          </cell>
        </row>
        <row r="1576">
          <cell r="A1576" t="str">
            <v>71300000-30013000-35020000</v>
          </cell>
          <cell r="B1576" t="str">
            <v>DIVERSOS NO DEDUCIBLES</v>
          </cell>
          <cell r="C1576">
            <v>2061</v>
          </cell>
          <cell r="D1576">
            <v>750</v>
          </cell>
          <cell r="E1576">
            <v>0</v>
          </cell>
          <cell r="F1576">
            <v>2811</v>
          </cell>
        </row>
        <row r="1577">
          <cell r="A1577" t="str">
            <v>71300000-30014000-00000000</v>
          </cell>
          <cell r="B1577" t="str">
            <v>COSTOS/GASTOS FIJOS G. FORANEA</v>
          </cell>
          <cell r="C1577">
            <v>814.8</v>
          </cell>
          <cell r="D1577">
            <v>0</v>
          </cell>
          <cell r="E1577">
            <v>0</v>
          </cell>
          <cell r="F1577">
            <v>814.8</v>
          </cell>
        </row>
        <row r="1578">
          <cell r="A1578" t="str">
            <v>71300000-30014000-05010000</v>
          </cell>
          <cell r="B1578" t="str">
            <v>SERV. PROFESIONALES EXTERNOS</v>
          </cell>
          <cell r="C1578">
            <v>814.8</v>
          </cell>
          <cell r="D1578">
            <v>0</v>
          </cell>
          <cell r="E1578">
            <v>0</v>
          </cell>
          <cell r="F1578">
            <v>814.8</v>
          </cell>
        </row>
        <row r="1579">
          <cell r="A1579" t="str">
            <v>71300000-30015000-00000000</v>
          </cell>
          <cell r="B1579" t="str">
            <v>COSTOS/GASTOS FIJOS T AGRICULT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</row>
        <row r="1580">
          <cell r="A1580" t="str">
            <v>71300000-30016000-00000000</v>
          </cell>
          <cell r="B1580" t="str">
            <v>COSTOS/GASTOS FIJOS T IZTAPALA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</row>
        <row r="1581">
          <cell r="A1581" t="str">
            <v>71300000-30017000-00000000</v>
          </cell>
          <cell r="B1581" t="str">
            <v>COSTOS/GASTOS FIJOS T JALISCO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</row>
        <row r="1582">
          <cell r="A1582" t="str">
            <v>71300000-30018000-00000000</v>
          </cell>
          <cell r="B1582" t="str">
            <v>COSTOS/GASTOS FIJOS T ACOXPA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</row>
        <row r="1583">
          <cell r="A1583" t="str">
            <v>71300000-30019000-00000000</v>
          </cell>
          <cell r="B1583" t="str">
            <v>COSTOS/GASTOS FIJOS T DIV NTE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</row>
        <row r="1584">
          <cell r="A1584" t="str">
            <v>71300000-30020000-00000000</v>
          </cell>
          <cell r="B1584" t="str">
            <v>COSTOS/GASTOS FIJOS T PORTALES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</row>
        <row r="1585">
          <cell r="A1585" t="str">
            <v>71300000-30021000-00000000</v>
          </cell>
          <cell r="B1585" t="str">
            <v>COSTOS/GASTOS FIJOS T CUAJIMAL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</row>
        <row r="1586">
          <cell r="A1586" t="str">
            <v>71300000-30022000-00000000</v>
          </cell>
          <cell r="B1586" t="str">
            <v>COSTOS/GASTOS FIJOS T ECATEPEC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</row>
        <row r="1587">
          <cell r="A1587" t="str">
            <v>71300000-30023000-00000000</v>
          </cell>
          <cell r="B1587" t="str">
            <v>COSTOS/GASTOS FIJOS COACALCO 1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</row>
        <row r="1588">
          <cell r="A1588" t="str">
            <v>71300000-30024000-00000000</v>
          </cell>
          <cell r="B1588" t="str">
            <v>COSTOS/GASTOS FIJOS COACALCO 2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</row>
        <row r="1589">
          <cell r="A1589" t="str">
            <v>71300000-30025000-00000000</v>
          </cell>
          <cell r="B1589" t="str">
            <v>COSTOS/GASTOS FIJOS OCCIDENT 2</v>
          </cell>
          <cell r="C1589">
            <v>41879.129999999997</v>
          </cell>
          <cell r="D1589">
            <v>16449.57</v>
          </cell>
          <cell r="E1589">
            <v>0</v>
          </cell>
          <cell r="F1589">
            <v>58328.7</v>
          </cell>
        </row>
        <row r="1590">
          <cell r="A1590" t="str">
            <v>71300000-30025000-05010000</v>
          </cell>
          <cell r="B1590" t="str">
            <v>SERV. PROFESIONALES EXTERNOS</v>
          </cell>
          <cell r="C1590">
            <v>17206.87</v>
          </cell>
          <cell r="D1590">
            <v>11093.7</v>
          </cell>
          <cell r="E1590">
            <v>0</v>
          </cell>
          <cell r="F1590">
            <v>28300.57</v>
          </cell>
        </row>
        <row r="1591">
          <cell r="A1591" t="str">
            <v>71300000-30025000-12010000</v>
          </cell>
          <cell r="B1591" t="str">
            <v>ARREND. AUTOMOVILES</v>
          </cell>
          <cell r="C1591">
            <v>4107.38</v>
          </cell>
          <cell r="D1591">
            <v>2053.69</v>
          </cell>
          <cell r="E1591">
            <v>0</v>
          </cell>
          <cell r="F1591">
            <v>6161.07</v>
          </cell>
        </row>
        <row r="1592">
          <cell r="A1592" t="str">
            <v>71300000-30025000-15010000</v>
          </cell>
          <cell r="B1592" t="str">
            <v>MANT. AUTOMOVILES</v>
          </cell>
          <cell r="C1592">
            <v>3217.03</v>
          </cell>
          <cell r="D1592">
            <v>0</v>
          </cell>
          <cell r="E1592">
            <v>0</v>
          </cell>
          <cell r="F1592">
            <v>3217.03</v>
          </cell>
        </row>
        <row r="1593">
          <cell r="A1593" t="str">
            <v>71300000-30025000-16010000</v>
          </cell>
          <cell r="B1593" t="str">
            <v>PAPELERIA</v>
          </cell>
          <cell r="C1593">
            <v>140</v>
          </cell>
          <cell r="D1593">
            <v>0</v>
          </cell>
          <cell r="E1593">
            <v>0</v>
          </cell>
          <cell r="F1593">
            <v>140</v>
          </cell>
        </row>
        <row r="1594">
          <cell r="A1594" t="str">
            <v>71300000-30025000-18040000</v>
          </cell>
          <cell r="B1594" t="str">
            <v>GASTOS DE REPRESENTACION ALIME</v>
          </cell>
          <cell r="C1594">
            <v>4622.8999999999996</v>
          </cell>
          <cell r="D1594">
            <v>0</v>
          </cell>
          <cell r="E1594">
            <v>0</v>
          </cell>
          <cell r="F1594">
            <v>4622.8999999999996</v>
          </cell>
        </row>
        <row r="1595">
          <cell r="A1595" t="str">
            <v>71300000-30025000-19030000</v>
          </cell>
          <cell r="B1595" t="str">
            <v>TELEFONOS CELULARES</v>
          </cell>
          <cell r="C1595">
            <v>1262.06</v>
          </cell>
          <cell r="D1595">
            <v>0</v>
          </cell>
          <cell r="E1595">
            <v>0</v>
          </cell>
          <cell r="F1595">
            <v>1262.06</v>
          </cell>
        </row>
        <row r="1596">
          <cell r="A1596" t="str">
            <v>71300000-30025000-19070000</v>
          </cell>
          <cell r="B1596" t="str">
            <v>MENSAJERIA ESPECIALIZADA</v>
          </cell>
          <cell r="C1596">
            <v>267.81</v>
          </cell>
          <cell r="D1596">
            <v>0</v>
          </cell>
          <cell r="E1596">
            <v>0</v>
          </cell>
          <cell r="F1596">
            <v>267.81</v>
          </cell>
        </row>
        <row r="1597">
          <cell r="A1597" t="str">
            <v>71300000-30025000-20010000</v>
          </cell>
          <cell r="B1597" t="str">
            <v>COMBUSTIBLE AUTOMOVILES</v>
          </cell>
          <cell r="C1597">
            <v>5898.71</v>
          </cell>
          <cell r="D1597">
            <v>3302.18</v>
          </cell>
          <cell r="E1597">
            <v>0</v>
          </cell>
          <cell r="F1597">
            <v>9200.89</v>
          </cell>
        </row>
        <row r="1598">
          <cell r="A1598" t="str">
            <v>71300000-30025000-23120000</v>
          </cell>
          <cell r="B1598" t="str">
            <v>DIVERSOS</v>
          </cell>
          <cell r="C1598">
            <v>48.15</v>
          </cell>
          <cell r="D1598">
            <v>0</v>
          </cell>
          <cell r="E1598">
            <v>0</v>
          </cell>
          <cell r="F1598">
            <v>48.15</v>
          </cell>
        </row>
        <row r="1599">
          <cell r="A1599" t="str">
            <v>71300000-30025000-23130000</v>
          </cell>
          <cell r="B1599" t="str">
            <v>OTROS IMPUESTOS Y DERECHOS</v>
          </cell>
          <cell r="C1599">
            <v>2386.7199999999998</v>
          </cell>
          <cell r="D1599">
            <v>0</v>
          </cell>
          <cell r="E1599">
            <v>0</v>
          </cell>
          <cell r="F1599">
            <v>2386.7199999999998</v>
          </cell>
        </row>
        <row r="1600">
          <cell r="A1600" t="str">
            <v>71300000-30025000-35020000</v>
          </cell>
          <cell r="B1600" t="str">
            <v>DIVERSOS NO DEDUCIBLES</v>
          </cell>
          <cell r="C1600">
            <v>2721.5</v>
          </cell>
          <cell r="D1600">
            <v>0</v>
          </cell>
          <cell r="E1600">
            <v>0</v>
          </cell>
          <cell r="F1600">
            <v>2721.5</v>
          </cell>
        </row>
        <row r="1601">
          <cell r="A1601" t="str">
            <v>71300000-30026000-00000000</v>
          </cell>
          <cell r="B1601" t="str">
            <v>COSTOS/GASTOS FIJOS DF 2</v>
          </cell>
          <cell r="C1601">
            <v>30198.199999999997</v>
          </cell>
          <cell r="D1601">
            <v>16875.310000000001</v>
          </cell>
          <cell r="E1601">
            <v>0</v>
          </cell>
          <cell r="F1601">
            <v>47073.51</v>
          </cell>
        </row>
        <row r="1602">
          <cell r="A1602" t="str">
            <v>71300000-30026000-05010000</v>
          </cell>
          <cell r="B1602" t="str">
            <v>SERV. PROFESIONALES EXTERNOS</v>
          </cell>
          <cell r="C1602">
            <v>20746.349999999999</v>
          </cell>
          <cell r="D1602">
            <v>10794.4</v>
          </cell>
          <cell r="E1602">
            <v>0</v>
          </cell>
          <cell r="F1602">
            <v>31540.75</v>
          </cell>
        </row>
        <row r="1603">
          <cell r="A1603" t="str">
            <v>71300000-30026000-12010000</v>
          </cell>
          <cell r="B1603" t="str">
            <v>ARREND. AUTOMOVILES</v>
          </cell>
          <cell r="C1603">
            <v>4107.4399999999996</v>
          </cell>
          <cell r="D1603">
            <v>2053.7199999999998</v>
          </cell>
          <cell r="E1603">
            <v>0</v>
          </cell>
          <cell r="F1603">
            <v>6161.16</v>
          </cell>
        </row>
        <row r="1604">
          <cell r="A1604" t="str">
            <v>71300000-30026000-15010000</v>
          </cell>
          <cell r="B1604" t="str">
            <v>MANT. AUTOMOVILES</v>
          </cell>
          <cell r="C1604">
            <v>2525.5700000000002</v>
          </cell>
          <cell r="D1604">
            <v>0</v>
          </cell>
          <cell r="E1604">
            <v>0</v>
          </cell>
          <cell r="F1604">
            <v>2525.5700000000002</v>
          </cell>
        </row>
        <row r="1605">
          <cell r="A1605" t="str">
            <v>71300000-30026000-19030000</v>
          </cell>
          <cell r="B1605" t="str">
            <v>TELEFONOS CELULARES</v>
          </cell>
          <cell r="C1605">
            <v>929.27</v>
          </cell>
          <cell r="D1605">
            <v>0</v>
          </cell>
          <cell r="E1605">
            <v>0</v>
          </cell>
          <cell r="F1605">
            <v>929.27</v>
          </cell>
        </row>
        <row r="1606">
          <cell r="A1606" t="str">
            <v>71300000-30026000-20010000</v>
          </cell>
          <cell r="B1606" t="str">
            <v>COMBUSTIBLE AUTOMOVILES</v>
          </cell>
          <cell r="C1606">
            <v>1889.57</v>
          </cell>
          <cell r="D1606">
            <v>1810.19</v>
          </cell>
          <cell r="E1606">
            <v>0</v>
          </cell>
          <cell r="F1606">
            <v>3699.76</v>
          </cell>
        </row>
        <row r="1607">
          <cell r="A1607" t="str">
            <v>71300000-30026000-23130000</v>
          </cell>
          <cell r="B1607" t="str">
            <v>OTROS IMPUESTOS Y DERECHOS</v>
          </cell>
          <cell r="C1607">
            <v>0</v>
          </cell>
          <cell r="D1607">
            <v>2217</v>
          </cell>
          <cell r="E1607">
            <v>0</v>
          </cell>
          <cell r="F1607">
            <v>2217</v>
          </cell>
        </row>
        <row r="1608">
          <cell r="A1608" t="str">
            <v>71300000-30027000-00000000</v>
          </cell>
          <cell r="B1608" t="str">
            <v>COSTOS/GASTOS FIJOS DF 3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</row>
        <row r="1609">
          <cell r="A1609" t="str">
            <v>71300000-30028000-00000000</v>
          </cell>
          <cell r="B1609" t="str">
            <v>COSTOS/GASTOS FIJOS DF 4</v>
          </cell>
          <cell r="C1609">
            <v>14017.8</v>
          </cell>
          <cell r="D1609">
            <v>39222.81</v>
          </cell>
          <cell r="E1609">
            <v>0</v>
          </cell>
          <cell r="F1609">
            <v>53240.61</v>
          </cell>
        </row>
        <row r="1610">
          <cell r="A1610" t="str">
            <v>71300000-30028000-01010000</v>
          </cell>
          <cell r="B1610" t="str">
            <v>SUELDO Y SALARIOS</v>
          </cell>
          <cell r="C1610">
            <v>0</v>
          </cell>
          <cell r="D1610">
            <v>18236.05</v>
          </cell>
          <cell r="E1610">
            <v>0</v>
          </cell>
          <cell r="F1610">
            <v>18236.05</v>
          </cell>
        </row>
        <row r="1611">
          <cell r="A1611" t="str">
            <v>71300000-30028000-01030000</v>
          </cell>
          <cell r="B1611" t="str">
            <v>GRATIFICACIONES</v>
          </cell>
          <cell r="C1611">
            <v>0</v>
          </cell>
          <cell r="D1611">
            <v>1187.5</v>
          </cell>
          <cell r="E1611">
            <v>0</v>
          </cell>
          <cell r="F1611">
            <v>1187.5</v>
          </cell>
        </row>
        <row r="1612">
          <cell r="A1612" t="str">
            <v>71300000-30028000-01040000</v>
          </cell>
          <cell r="B1612" t="str">
            <v>VACACIONES</v>
          </cell>
          <cell r="C1612">
            <v>0</v>
          </cell>
          <cell r="D1612">
            <v>440</v>
          </cell>
          <cell r="E1612">
            <v>0</v>
          </cell>
          <cell r="F1612">
            <v>440</v>
          </cell>
        </row>
        <row r="1613">
          <cell r="A1613" t="str">
            <v>71300000-30028000-01050000</v>
          </cell>
          <cell r="B1613" t="str">
            <v>PRIMA VACACIONAL</v>
          </cell>
          <cell r="C1613">
            <v>0</v>
          </cell>
          <cell r="D1613">
            <v>286</v>
          </cell>
          <cell r="E1613">
            <v>0</v>
          </cell>
          <cell r="F1613">
            <v>286</v>
          </cell>
        </row>
        <row r="1614">
          <cell r="A1614" t="str">
            <v>71300000-30028000-03010000</v>
          </cell>
          <cell r="B1614" t="str">
            <v>FONDO DE AHORRO</v>
          </cell>
          <cell r="C1614">
            <v>966.08</v>
          </cell>
          <cell r="D1614">
            <v>492.8</v>
          </cell>
          <cell r="E1614">
            <v>0</v>
          </cell>
          <cell r="F1614">
            <v>1458.88</v>
          </cell>
        </row>
        <row r="1615">
          <cell r="A1615" t="str">
            <v>71300000-30028000-03020000</v>
          </cell>
          <cell r="B1615" t="str">
            <v>CUOTAS AL I.M.S.S.</v>
          </cell>
          <cell r="C1615">
            <v>2288.11</v>
          </cell>
          <cell r="D1615">
            <v>2118.86</v>
          </cell>
          <cell r="E1615">
            <v>0</v>
          </cell>
          <cell r="F1615">
            <v>4406.97</v>
          </cell>
        </row>
        <row r="1616">
          <cell r="A1616" t="str">
            <v>71300000-30028000-03040000</v>
          </cell>
          <cell r="B1616" t="str">
            <v>DESPENSA EN VALES</v>
          </cell>
          <cell r="C1616">
            <v>512</v>
          </cell>
          <cell r="D1616">
            <v>264</v>
          </cell>
          <cell r="E1616">
            <v>0</v>
          </cell>
          <cell r="F1616">
            <v>776</v>
          </cell>
        </row>
        <row r="1617">
          <cell r="A1617" t="str">
            <v>71300000-30028000-04010000</v>
          </cell>
          <cell r="B1617" t="str">
            <v>2.5% SOBRE NOMINAS</v>
          </cell>
          <cell r="C1617">
            <v>1329</v>
          </cell>
          <cell r="D1617">
            <v>256</v>
          </cell>
          <cell r="E1617">
            <v>0</v>
          </cell>
          <cell r="F1617">
            <v>1585</v>
          </cell>
        </row>
        <row r="1618">
          <cell r="A1618" t="str">
            <v>71300000-30028000-04020000</v>
          </cell>
          <cell r="B1618" t="str">
            <v>5% INFONAVIT</v>
          </cell>
          <cell r="C1618">
            <v>1400.31</v>
          </cell>
          <cell r="D1618">
            <v>1487.1</v>
          </cell>
          <cell r="E1618">
            <v>0</v>
          </cell>
          <cell r="F1618">
            <v>2887.41</v>
          </cell>
        </row>
        <row r="1619">
          <cell r="A1619" t="str">
            <v>71300000-30028000-04030000</v>
          </cell>
          <cell r="B1619" t="str">
            <v>2% S.A.R. / RETIRO</v>
          </cell>
          <cell r="C1619">
            <v>560.12</v>
          </cell>
          <cell r="D1619">
            <v>594.84</v>
          </cell>
          <cell r="E1619">
            <v>0</v>
          </cell>
          <cell r="F1619">
            <v>1154.96</v>
          </cell>
        </row>
        <row r="1620">
          <cell r="A1620" t="str">
            <v>71300000-30028000-04040000</v>
          </cell>
          <cell r="B1620" t="str">
            <v>CESANTIA Y VEJEZ</v>
          </cell>
          <cell r="C1620">
            <v>882.19</v>
          </cell>
          <cell r="D1620">
            <v>936.87</v>
          </cell>
          <cell r="E1620">
            <v>0</v>
          </cell>
          <cell r="F1620">
            <v>1819.06</v>
          </cell>
        </row>
        <row r="1621">
          <cell r="A1621" t="str">
            <v>71300000-30028000-15010000</v>
          </cell>
          <cell r="B1621" t="str">
            <v>MANT. AUTOMOVILES</v>
          </cell>
          <cell r="C1621">
            <v>0</v>
          </cell>
          <cell r="D1621">
            <v>3905</v>
          </cell>
          <cell r="E1621">
            <v>0</v>
          </cell>
          <cell r="F1621">
            <v>3905</v>
          </cell>
        </row>
        <row r="1622">
          <cell r="A1622" t="str">
            <v>71300000-30028000-15090000</v>
          </cell>
          <cell r="B1622" t="str">
            <v>MANTTO A TIENDAS</v>
          </cell>
          <cell r="C1622">
            <v>1800</v>
          </cell>
          <cell r="D1622">
            <v>6900</v>
          </cell>
          <cell r="E1622">
            <v>0</v>
          </cell>
          <cell r="F1622">
            <v>8700</v>
          </cell>
        </row>
        <row r="1623">
          <cell r="A1623" t="str">
            <v>71300000-30028000-19030000</v>
          </cell>
          <cell r="B1623" t="str">
            <v>TELEFONOS CELULARES</v>
          </cell>
          <cell r="C1623">
            <v>444.66</v>
          </cell>
          <cell r="D1623">
            <v>0</v>
          </cell>
          <cell r="E1623">
            <v>0</v>
          </cell>
          <cell r="F1623">
            <v>444.66</v>
          </cell>
        </row>
        <row r="1624">
          <cell r="A1624" t="str">
            <v>71300000-30028000-20010000</v>
          </cell>
          <cell r="B1624" t="str">
            <v>COMBUSTIBLE AUTOMOVILES</v>
          </cell>
          <cell r="C1624">
            <v>2340.9899999999998</v>
          </cell>
          <cell r="D1624">
            <v>1527.62</v>
          </cell>
          <cell r="E1624">
            <v>0</v>
          </cell>
          <cell r="F1624">
            <v>3868.61</v>
          </cell>
        </row>
        <row r="1625">
          <cell r="A1625" t="str">
            <v>71300000-30028000-35020000</v>
          </cell>
          <cell r="B1625" t="str">
            <v>DIVERSOS NO DEDUCIBLES</v>
          </cell>
          <cell r="C1625">
            <v>314</v>
          </cell>
          <cell r="D1625">
            <v>0</v>
          </cell>
          <cell r="E1625">
            <v>0</v>
          </cell>
          <cell r="F1625">
            <v>314</v>
          </cell>
        </row>
        <row r="1626">
          <cell r="A1626" t="str">
            <v>71300000-30028000-90030000</v>
          </cell>
          <cell r="B1626" t="str">
            <v>PROVISION AGUINALDO</v>
          </cell>
          <cell r="C1626">
            <v>1063.3399999999999</v>
          </cell>
          <cell r="D1626">
            <v>531.66999999999996</v>
          </cell>
          <cell r="E1626">
            <v>0</v>
          </cell>
          <cell r="F1626">
            <v>1595.01</v>
          </cell>
        </row>
        <row r="1627">
          <cell r="A1627" t="str">
            <v>71300000-30028000-90040000</v>
          </cell>
          <cell r="B1627" t="str">
            <v>BOLETIN D-3</v>
          </cell>
          <cell r="C1627">
            <v>117</v>
          </cell>
          <cell r="D1627">
            <v>58.5</v>
          </cell>
          <cell r="E1627">
            <v>0</v>
          </cell>
          <cell r="F1627">
            <v>175.5</v>
          </cell>
        </row>
        <row r="1628">
          <cell r="A1628" t="str">
            <v>71300000-30029000-00000000</v>
          </cell>
          <cell r="B1628" t="str">
            <v>COSTOS/GASTOS FIJOS DF 5</v>
          </cell>
          <cell r="C1628">
            <v>20371.830000000002</v>
          </cell>
          <cell r="D1628">
            <v>13174.04</v>
          </cell>
          <cell r="E1628">
            <v>0</v>
          </cell>
          <cell r="F1628">
            <v>33545.870000000003</v>
          </cell>
        </row>
        <row r="1629">
          <cell r="A1629" t="str">
            <v>71300000-30029000-05010000</v>
          </cell>
          <cell r="B1629" t="str">
            <v>SERV. PROFESIONALES EXTERNOS</v>
          </cell>
          <cell r="C1629">
            <v>16653.57</v>
          </cell>
          <cell r="D1629">
            <v>9681.1200000000008</v>
          </cell>
          <cell r="E1629">
            <v>0</v>
          </cell>
          <cell r="F1629">
            <v>26334.69</v>
          </cell>
        </row>
        <row r="1630">
          <cell r="A1630" t="str">
            <v>71300000-30029000-15010000</v>
          </cell>
          <cell r="B1630" t="str">
            <v>MANT. AUTOMOVILES</v>
          </cell>
          <cell r="C1630">
            <v>1637.93</v>
          </cell>
          <cell r="D1630">
            <v>0</v>
          </cell>
          <cell r="E1630">
            <v>0</v>
          </cell>
          <cell r="F1630">
            <v>1637.93</v>
          </cell>
        </row>
        <row r="1631">
          <cell r="A1631" t="str">
            <v>71300000-30029000-16010000</v>
          </cell>
          <cell r="B1631" t="str">
            <v>PAPELERIA</v>
          </cell>
          <cell r="C1631">
            <v>0</v>
          </cell>
          <cell r="D1631">
            <v>70</v>
          </cell>
          <cell r="E1631">
            <v>0</v>
          </cell>
          <cell r="F1631">
            <v>70</v>
          </cell>
        </row>
        <row r="1632">
          <cell r="A1632" t="str">
            <v>71300000-30029000-20010000</v>
          </cell>
          <cell r="B1632" t="str">
            <v>COMBUSTIBLE AUTOMOVILES</v>
          </cell>
          <cell r="C1632">
            <v>2080.33</v>
          </cell>
          <cell r="D1632">
            <v>1205.92</v>
          </cell>
          <cell r="E1632">
            <v>0</v>
          </cell>
          <cell r="F1632">
            <v>3286.25</v>
          </cell>
        </row>
        <row r="1633">
          <cell r="A1633" t="str">
            <v>71300000-30029000-23130000</v>
          </cell>
          <cell r="B1633" t="str">
            <v>OTROS IMPUESTOS Y DERECHOS</v>
          </cell>
          <cell r="C1633">
            <v>0</v>
          </cell>
          <cell r="D1633">
            <v>2217</v>
          </cell>
          <cell r="E1633">
            <v>0</v>
          </cell>
          <cell r="F1633">
            <v>2217</v>
          </cell>
        </row>
        <row r="1634">
          <cell r="A1634" t="str">
            <v>71400000-00000000-00000000</v>
          </cell>
          <cell r="B1634" t="str">
            <v>COSTOS/GASTOS FIJOS MKT</v>
          </cell>
          <cell r="C1634">
            <v>524278.99</v>
          </cell>
          <cell r="D1634">
            <v>278771.32</v>
          </cell>
          <cell r="E1634">
            <v>10962.85</v>
          </cell>
          <cell r="F1634">
            <v>792087.46</v>
          </cell>
        </row>
        <row r="1635">
          <cell r="F1635">
            <v>792087.46</v>
          </cell>
        </row>
        <row r="1636">
          <cell r="A1636" t="str">
            <v>71400000-40000000-00000000</v>
          </cell>
          <cell r="B1636" t="str">
            <v>COSTOS/GASTOS FIJOS MKT GRAL.</v>
          </cell>
          <cell r="C1636">
            <v>524278.99</v>
          </cell>
          <cell r="D1636">
            <v>278771.32</v>
          </cell>
          <cell r="E1636">
            <v>10962.85</v>
          </cell>
        </row>
        <row r="1637">
          <cell r="A1637" t="str">
            <v>71400000-40001000-00000000</v>
          </cell>
          <cell r="B1637" t="str">
            <v>COSTOS/GASTOS FIJOS MKT GRAL</v>
          </cell>
          <cell r="C1637">
            <v>153102.15</v>
          </cell>
          <cell r="D1637">
            <v>106642.37</v>
          </cell>
          <cell r="E1637">
            <v>6580.48</v>
          </cell>
          <cell r="F1637">
            <v>253164.04</v>
          </cell>
        </row>
        <row r="1638">
          <cell r="A1638" t="str">
            <v>71400000-40001000-01010000</v>
          </cell>
          <cell r="B1638" t="str">
            <v>SUELDOS Y SALARIOS</v>
          </cell>
          <cell r="C1638">
            <v>63320</v>
          </cell>
          <cell r="D1638">
            <v>35960</v>
          </cell>
          <cell r="E1638">
            <v>0</v>
          </cell>
          <cell r="F1638">
            <v>99280</v>
          </cell>
        </row>
        <row r="1639">
          <cell r="A1639" t="str">
            <v>71400000-40001000-01030000</v>
          </cell>
          <cell r="B1639" t="str">
            <v>GRATIFICACIONES</v>
          </cell>
          <cell r="C1639">
            <v>3480</v>
          </cell>
          <cell r="D1639">
            <v>0</v>
          </cell>
          <cell r="E1639">
            <v>0</v>
          </cell>
          <cell r="F1639">
            <v>3480</v>
          </cell>
        </row>
        <row r="1640">
          <cell r="A1640" t="str">
            <v>71400000-40001000-01040000</v>
          </cell>
          <cell r="B1640" t="str">
            <v>VACACIONES</v>
          </cell>
          <cell r="C1640">
            <v>1072</v>
          </cell>
          <cell r="D1640">
            <v>0</v>
          </cell>
          <cell r="E1640">
            <v>0</v>
          </cell>
          <cell r="F1640">
            <v>1072</v>
          </cell>
        </row>
        <row r="1641">
          <cell r="A1641" t="str">
            <v>71400000-40001000-01050000</v>
          </cell>
          <cell r="B1641" t="str">
            <v>PRIMA VACACIONAL</v>
          </cell>
          <cell r="C1641">
            <v>696.8</v>
          </cell>
          <cell r="D1641">
            <v>0</v>
          </cell>
          <cell r="E1641">
            <v>0</v>
          </cell>
          <cell r="F1641">
            <v>696.8</v>
          </cell>
        </row>
        <row r="1642">
          <cell r="A1642" t="str">
            <v>71400000-40001000-03010000</v>
          </cell>
          <cell r="B1642" t="str">
            <v>FONDO DE AHORRO</v>
          </cell>
          <cell r="C1642">
            <v>4332.51</v>
          </cell>
          <cell r="D1642">
            <v>2315.64</v>
          </cell>
          <cell r="E1642">
            <v>0</v>
          </cell>
          <cell r="F1642">
            <v>6648.15</v>
          </cell>
        </row>
        <row r="1643">
          <cell r="A1643" t="str">
            <v>71400000-40001000-03020000</v>
          </cell>
          <cell r="B1643" t="str">
            <v>CUOTAS AL I.M.S.S.</v>
          </cell>
          <cell r="C1643">
            <v>5749.68</v>
          </cell>
          <cell r="D1643">
            <v>3021.02</v>
          </cell>
          <cell r="E1643">
            <v>0</v>
          </cell>
          <cell r="F1643">
            <v>8770.7000000000007</v>
          </cell>
        </row>
        <row r="1644">
          <cell r="A1644" t="str">
            <v>71400000-40001000-03040000</v>
          </cell>
          <cell r="B1644" t="str">
            <v>DESPENSA EN VALES</v>
          </cell>
          <cell r="C1644">
            <v>3216</v>
          </cell>
          <cell r="D1644">
            <v>1782</v>
          </cell>
          <cell r="E1644">
            <v>0</v>
          </cell>
          <cell r="F1644">
            <v>4998</v>
          </cell>
        </row>
        <row r="1645">
          <cell r="A1645" t="str">
            <v>71400000-40001000-04010000</v>
          </cell>
          <cell r="B1645" t="str">
            <v>2.5% SOBRE NOMINAS</v>
          </cell>
          <cell r="C1645">
            <v>2270</v>
          </cell>
          <cell r="D1645">
            <v>1184</v>
          </cell>
          <cell r="E1645">
            <v>0</v>
          </cell>
          <cell r="F1645">
            <v>3454</v>
          </cell>
        </row>
        <row r="1646">
          <cell r="A1646" t="str">
            <v>71400000-40001000-04020000</v>
          </cell>
          <cell r="B1646" t="str">
            <v>5% INFONAVIT</v>
          </cell>
          <cell r="C1646">
            <v>4237.6899999999996</v>
          </cell>
          <cell r="D1646">
            <v>2226.58</v>
          </cell>
          <cell r="E1646">
            <v>0</v>
          </cell>
          <cell r="F1646">
            <v>6464.27</v>
          </cell>
        </row>
        <row r="1647">
          <cell r="A1647" t="str">
            <v>71400000-40001000-04030000</v>
          </cell>
          <cell r="B1647" t="str">
            <v>2% S.A.R. / RETIRO</v>
          </cell>
          <cell r="C1647">
            <v>1695.07</v>
          </cell>
          <cell r="D1647">
            <v>890.63</v>
          </cell>
          <cell r="E1647">
            <v>0</v>
          </cell>
          <cell r="F1647">
            <v>2585.6999999999998</v>
          </cell>
        </row>
        <row r="1648">
          <cell r="A1648" t="str">
            <v>71400000-40001000-04040000</v>
          </cell>
          <cell r="B1648" t="str">
            <v>CESANTIA Y VEJEZ</v>
          </cell>
          <cell r="C1648">
            <v>2669.74</v>
          </cell>
          <cell r="D1648">
            <v>1402.74</v>
          </cell>
          <cell r="E1648">
            <v>0</v>
          </cell>
          <cell r="F1648">
            <v>4072.48</v>
          </cell>
        </row>
        <row r="1649">
          <cell r="A1649" t="str">
            <v>71400000-40001000-14010000</v>
          </cell>
          <cell r="B1649" t="str">
            <v>SEG. AUTOMOVILES</v>
          </cell>
          <cell r="C1649">
            <v>2915.1</v>
          </cell>
          <cell r="D1649">
            <v>1687.1</v>
          </cell>
          <cell r="E1649">
            <v>790.98</v>
          </cell>
          <cell r="F1649">
            <v>3811.22</v>
          </cell>
        </row>
        <row r="1650">
          <cell r="A1650" t="str">
            <v>71400000-40001000-14040000</v>
          </cell>
          <cell r="B1650" t="str">
            <v>VIDA</v>
          </cell>
          <cell r="C1650">
            <v>749.42</v>
          </cell>
          <cell r="D1650">
            <v>88.91</v>
          </cell>
          <cell r="E1650">
            <v>0</v>
          </cell>
          <cell r="F1650">
            <v>838.33</v>
          </cell>
        </row>
        <row r="1651">
          <cell r="A1651" t="str">
            <v>71400000-40001000-15060000</v>
          </cell>
          <cell r="B1651" t="str">
            <v>MANTTO A EQUIPOS DE COMPUTO</v>
          </cell>
          <cell r="C1651">
            <v>0</v>
          </cell>
          <cell r="D1651">
            <v>282.5</v>
          </cell>
          <cell r="E1651">
            <v>0</v>
          </cell>
          <cell r="F1651">
            <v>282.5</v>
          </cell>
        </row>
        <row r="1652">
          <cell r="A1652" t="str">
            <v>71400000-40001000-16010000</v>
          </cell>
          <cell r="B1652" t="str">
            <v>PAPELERIA</v>
          </cell>
          <cell r="C1652">
            <v>155.69999999999999</v>
          </cell>
          <cell r="D1652">
            <v>210</v>
          </cell>
          <cell r="E1652">
            <v>0</v>
          </cell>
          <cell r="F1652">
            <v>365.7</v>
          </cell>
        </row>
        <row r="1653">
          <cell r="A1653" t="str">
            <v>71400000-40001000-17010000</v>
          </cell>
          <cell r="B1653" t="str">
            <v>ENERGIA ELECTRICA</v>
          </cell>
          <cell r="C1653">
            <v>2444.75</v>
          </cell>
          <cell r="D1653">
            <v>0</v>
          </cell>
          <cell r="E1653">
            <v>0</v>
          </cell>
          <cell r="F1653">
            <v>2444.75</v>
          </cell>
        </row>
        <row r="1654">
          <cell r="A1654" t="str">
            <v>71400000-40001000-18010000</v>
          </cell>
          <cell r="B1654" t="str">
            <v>CAPACITACION Y ADIESTRAMIENTO</v>
          </cell>
          <cell r="C1654">
            <v>3279.57</v>
          </cell>
          <cell r="D1654">
            <v>0</v>
          </cell>
          <cell r="E1654">
            <v>0</v>
          </cell>
          <cell r="F1654">
            <v>3279.57</v>
          </cell>
        </row>
        <row r="1655">
          <cell r="A1655" t="str">
            <v>71400000-40001000-18020000</v>
          </cell>
          <cell r="B1655" t="str">
            <v>PASAJES Y TRANSPORTES LOCALES</v>
          </cell>
          <cell r="C1655">
            <v>1300</v>
          </cell>
          <cell r="D1655">
            <v>2530</v>
          </cell>
          <cell r="E1655">
            <v>0</v>
          </cell>
          <cell r="F1655">
            <v>3830</v>
          </cell>
        </row>
        <row r="1656">
          <cell r="A1656" t="str">
            <v>71400000-40001000-18030000</v>
          </cell>
          <cell r="B1656" t="str">
            <v>GASTOS DE REPRESENTACION TRANS</v>
          </cell>
          <cell r="C1656">
            <v>0</v>
          </cell>
          <cell r="D1656">
            <v>7966</v>
          </cell>
          <cell r="E1656">
            <v>0</v>
          </cell>
          <cell r="F1656">
            <v>7966</v>
          </cell>
        </row>
        <row r="1657">
          <cell r="A1657" t="str">
            <v>71400000-40001000-18080000</v>
          </cell>
          <cell r="B1657" t="str">
            <v>COMEDOR</v>
          </cell>
          <cell r="C1657">
            <v>0</v>
          </cell>
          <cell r="D1657">
            <v>37.46</v>
          </cell>
          <cell r="E1657">
            <v>0</v>
          </cell>
          <cell r="F1657">
            <v>37.46</v>
          </cell>
        </row>
        <row r="1658">
          <cell r="A1658" t="str">
            <v>71400000-40001000-18110000</v>
          </cell>
          <cell r="B1658" t="str">
            <v>CONSUMOS RESTAURANT</v>
          </cell>
          <cell r="C1658">
            <v>223.71</v>
          </cell>
          <cell r="D1658">
            <v>209.85</v>
          </cell>
          <cell r="E1658">
            <v>0</v>
          </cell>
          <cell r="F1658">
            <v>433.56</v>
          </cell>
        </row>
        <row r="1659">
          <cell r="A1659" t="str">
            <v>71400000-40001000-19010000</v>
          </cell>
          <cell r="B1659" t="str">
            <v>TELEFONOS</v>
          </cell>
          <cell r="C1659">
            <v>10295.299999999999</v>
          </cell>
          <cell r="D1659">
            <v>6699.54</v>
          </cell>
          <cell r="E1659">
            <v>0</v>
          </cell>
          <cell r="F1659">
            <v>16994.84</v>
          </cell>
        </row>
        <row r="1660">
          <cell r="A1660" t="str">
            <v>71400000-40001000-19030000</v>
          </cell>
          <cell r="B1660" t="str">
            <v>TELEFONOS CELULARES</v>
          </cell>
          <cell r="C1660">
            <v>2412.96</v>
          </cell>
          <cell r="D1660">
            <v>0</v>
          </cell>
          <cell r="E1660">
            <v>0</v>
          </cell>
          <cell r="F1660">
            <v>2412.96</v>
          </cell>
        </row>
        <row r="1661">
          <cell r="A1661" t="str">
            <v>71400000-40001000-19050000</v>
          </cell>
          <cell r="B1661" t="str">
            <v>INTERNET</v>
          </cell>
          <cell r="C1661">
            <v>3121.13</v>
          </cell>
          <cell r="D1661">
            <v>1539.6</v>
          </cell>
          <cell r="E1661">
            <v>0</v>
          </cell>
          <cell r="F1661">
            <v>4660.7299999999996</v>
          </cell>
        </row>
        <row r="1662">
          <cell r="A1662" t="str">
            <v>71400000-40001000-20010000</v>
          </cell>
          <cell r="B1662" t="str">
            <v>COMBUSTIBLE AUTOMOVILES</v>
          </cell>
          <cell r="C1662">
            <v>2705.32</v>
          </cell>
          <cell r="D1662">
            <v>1511.6</v>
          </cell>
          <cell r="E1662">
            <v>0</v>
          </cell>
          <cell r="F1662">
            <v>4216.92</v>
          </cell>
        </row>
        <row r="1663">
          <cell r="A1663" t="str">
            <v>71400000-40001000-22050000</v>
          </cell>
          <cell r="B1663" t="str">
            <v>COMISIONES Y ASESORIAS EXTERNA</v>
          </cell>
          <cell r="C1663">
            <v>397.5</v>
          </cell>
          <cell r="D1663">
            <v>264.36</v>
          </cell>
          <cell r="E1663">
            <v>0</v>
          </cell>
          <cell r="F1663">
            <v>661.86</v>
          </cell>
        </row>
        <row r="1664">
          <cell r="A1664" t="str">
            <v>71400000-40001000-23120000</v>
          </cell>
          <cell r="B1664" t="str">
            <v>DIVERSOS</v>
          </cell>
          <cell r="C1664">
            <v>284.26</v>
          </cell>
          <cell r="D1664">
            <v>0</v>
          </cell>
          <cell r="E1664">
            <v>0</v>
          </cell>
          <cell r="F1664">
            <v>284.26</v>
          </cell>
        </row>
        <row r="1665">
          <cell r="A1665" t="str">
            <v>71400000-40001000-23130000</v>
          </cell>
          <cell r="B1665" t="str">
            <v>OTROS IMPUESTOS Y DERECHOS</v>
          </cell>
          <cell r="C1665">
            <v>2394</v>
          </cell>
          <cell r="D1665">
            <v>15226.24</v>
          </cell>
          <cell r="E1665">
            <v>5789.5</v>
          </cell>
          <cell r="F1665">
            <v>11830.74</v>
          </cell>
        </row>
        <row r="1666">
          <cell r="A1666" t="str">
            <v>71400000-40001000-23200000</v>
          </cell>
          <cell r="B1666" t="str">
            <v>EVENTOS INTERNOS COREV</v>
          </cell>
          <cell r="C1666">
            <v>800.3</v>
          </cell>
          <cell r="D1666">
            <v>0</v>
          </cell>
          <cell r="E1666">
            <v>0</v>
          </cell>
          <cell r="F1666">
            <v>800.3</v>
          </cell>
        </row>
        <row r="1667">
          <cell r="A1667" t="str">
            <v>71400000-40001000-27140000</v>
          </cell>
          <cell r="B1667" t="str">
            <v>INVESTIGACION DE MERCADOS</v>
          </cell>
          <cell r="C1667">
            <v>12048</v>
          </cell>
          <cell r="D1667">
            <v>7630</v>
          </cell>
          <cell r="E1667">
            <v>0</v>
          </cell>
          <cell r="F1667">
            <v>19678</v>
          </cell>
        </row>
        <row r="1668">
          <cell r="A1668" t="str">
            <v>71400000-40001000-35020000</v>
          </cell>
          <cell r="B1668" t="str">
            <v>DIVERSOS NO DEDUCIBLES</v>
          </cell>
          <cell r="C1668">
            <v>4597.68</v>
          </cell>
          <cell r="D1668">
            <v>6857.62</v>
          </cell>
          <cell r="E1668">
            <v>0</v>
          </cell>
          <cell r="F1668">
            <v>11455.3</v>
          </cell>
        </row>
        <row r="1669">
          <cell r="A1669" t="str">
            <v>71400000-40001000-90010000</v>
          </cell>
          <cell r="B1669" t="str">
            <v>PRIMA DE ANTIGUEDAD</v>
          </cell>
          <cell r="C1669">
            <v>790.4</v>
          </cell>
          <cell r="D1669">
            <v>395.2</v>
          </cell>
          <cell r="E1669">
            <v>0</v>
          </cell>
          <cell r="F1669">
            <v>1185.5999999999999</v>
          </cell>
        </row>
        <row r="1670">
          <cell r="A1670" t="str">
            <v>71400000-40001000-90020000</v>
          </cell>
          <cell r="B1670" t="str">
            <v>PLAN DE PENSIONES</v>
          </cell>
          <cell r="C1670">
            <v>2912.4</v>
          </cell>
          <cell r="D1670">
            <v>1456.2</v>
          </cell>
          <cell r="E1670">
            <v>0</v>
          </cell>
          <cell r="F1670">
            <v>4368.6000000000004</v>
          </cell>
        </row>
        <row r="1671">
          <cell r="A1671" t="str">
            <v>71400000-40001000-90030000</v>
          </cell>
          <cell r="B1671" t="str">
            <v>PROVISION AGUINALDO</v>
          </cell>
          <cell r="C1671">
            <v>6476.66</v>
          </cell>
          <cell r="D1671">
            <v>3238.33</v>
          </cell>
          <cell r="E1671">
            <v>0</v>
          </cell>
          <cell r="F1671">
            <v>9714.99</v>
          </cell>
        </row>
        <row r="1672">
          <cell r="A1672" t="str">
            <v>71400000-40001000-90040000</v>
          </cell>
          <cell r="B1672" t="str">
            <v>BOLETIN D-3</v>
          </cell>
          <cell r="C1672">
            <v>58.5</v>
          </cell>
          <cell r="D1672">
            <v>29.25</v>
          </cell>
          <cell r="E1672">
            <v>0</v>
          </cell>
          <cell r="F1672">
            <v>87.75</v>
          </cell>
        </row>
        <row r="1673">
          <cell r="A1673" t="str">
            <v>71400000-40002000-00000000</v>
          </cell>
          <cell r="B1673" t="str">
            <v>COSTOS/GASTOS FIJOS CAPACITACI</v>
          </cell>
          <cell r="C1673">
            <v>248031.96</v>
          </cell>
          <cell r="D1673">
            <v>101474.34</v>
          </cell>
          <cell r="E1673">
            <v>3977.37</v>
          </cell>
          <cell r="F1673">
            <v>345528.93</v>
          </cell>
        </row>
        <row r="1674">
          <cell r="A1674" t="str">
            <v>71400000-40002000-01010000</v>
          </cell>
          <cell r="B1674" t="str">
            <v>SUELDOS Y SALARIOS</v>
          </cell>
          <cell r="C1674">
            <v>36504.82</v>
          </cell>
          <cell r="D1674">
            <v>17191.45</v>
          </cell>
          <cell r="E1674">
            <v>0</v>
          </cell>
          <cell r="F1674">
            <v>53696.27</v>
          </cell>
        </row>
        <row r="1675">
          <cell r="A1675" t="str">
            <v>71400000-40002000-01030000</v>
          </cell>
          <cell r="B1675" t="str">
            <v>GRATIFICACIONES</v>
          </cell>
          <cell r="C1675">
            <v>1815.05</v>
          </cell>
          <cell r="D1675">
            <v>0</v>
          </cell>
          <cell r="E1675">
            <v>0</v>
          </cell>
          <cell r="F1675">
            <v>1815.05</v>
          </cell>
        </row>
        <row r="1676">
          <cell r="A1676" t="str">
            <v>71400000-40002000-01040000</v>
          </cell>
          <cell r="B1676" t="str">
            <v>VACACIONES</v>
          </cell>
          <cell r="C1676">
            <v>3306.65</v>
          </cell>
          <cell r="D1676">
            <v>2166.9899999999998</v>
          </cell>
          <cell r="E1676">
            <v>0</v>
          </cell>
          <cell r="F1676">
            <v>5473.64</v>
          </cell>
        </row>
        <row r="1677">
          <cell r="A1677" t="str">
            <v>71400000-40002000-01050000</v>
          </cell>
          <cell r="B1677" t="str">
            <v>PRIMA VACACIONAL</v>
          </cell>
          <cell r="C1677">
            <v>2149.3200000000002</v>
          </cell>
          <cell r="D1677">
            <v>1408.54</v>
          </cell>
          <cell r="E1677">
            <v>0</v>
          </cell>
          <cell r="F1677">
            <v>3557.86</v>
          </cell>
        </row>
        <row r="1678">
          <cell r="A1678" t="str">
            <v>71400000-40002000-01080000</v>
          </cell>
          <cell r="B1678" t="str">
            <v>COMISIONES</v>
          </cell>
          <cell r="C1678">
            <v>14900</v>
          </cell>
          <cell r="D1678">
            <v>4000</v>
          </cell>
          <cell r="E1678">
            <v>0</v>
          </cell>
          <cell r="F1678">
            <v>18900</v>
          </cell>
        </row>
        <row r="1679">
          <cell r="A1679" t="str">
            <v>71400000-40002000-03010000</v>
          </cell>
          <cell r="B1679" t="str">
            <v>FONDO DE AHORRO</v>
          </cell>
          <cell r="C1679">
            <v>2920.38</v>
          </cell>
          <cell r="D1679">
            <v>1375.31</v>
          </cell>
          <cell r="E1679">
            <v>0</v>
          </cell>
          <cell r="F1679">
            <v>4295.6899999999996</v>
          </cell>
        </row>
        <row r="1680">
          <cell r="A1680" t="str">
            <v>71400000-40002000-03020000</v>
          </cell>
          <cell r="B1680" t="str">
            <v>CUOTAS AL I.M.S.S.</v>
          </cell>
          <cell r="C1680">
            <v>4657.29</v>
          </cell>
          <cell r="D1680">
            <v>2361.14</v>
          </cell>
          <cell r="E1680">
            <v>0</v>
          </cell>
          <cell r="F1680">
            <v>7018.43</v>
          </cell>
        </row>
        <row r="1681">
          <cell r="A1681" t="str">
            <v>71400000-40002000-03040000</v>
          </cell>
          <cell r="B1681" t="str">
            <v>DESPENSA EN VALES</v>
          </cell>
          <cell r="C1681">
            <v>1588</v>
          </cell>
          <cell r="D1681">
            <v>904</v>
          </cell>
          <cell r="E1681">
            <v>0</v>
          </cell>
          <cell r="F1681">
            <v>2492</v>
          </cell>
        </row>
        <row r="1682">
          <cell r="A1682" t="str">
            <v>71400000-40002000-04010000</v>
          </cell>
          <cell r="B1682" t="str">
            <v>2.5% SOBRE NOMINAS</v>
          </cell>
          <cell r="C1682">
            <v>1540</v>
          </cell>
          <cell r="D1682">
            <v>654</v>
          </cell>
          <cell r="E1682">
            <v>0</v>
          </cell>
          <cell r="F1682">
            <v>2194</v>
          </cell>
        </row>
        <row r="1683">
          <cell r="A1683" t="str">
            <v>71400000-40002000-04020000</v>
          </cell>
          <cell r="B1683" t="str">
            <v>5% INFONAVIT</v>
          </cell>
          <cell r="C1683">
            <v>3342.27</v>
          </cell>
          <cell r="D1683">
            <v>1685.69</v>
          </cell>
          <cell r="E1683">
            <v>0</v>
          </cell>
          <cell r="F1683">
            <v>5027.96</v>
          </cell>
        </row>
        <row r="1684">
          <cell r="A1684" t="str">
            <v>71400000-40002000-04030000</v>
          </cell>
          <cell r="B1684" t="str">
            <v>2% S.A.R. / RETIRO</v>
          </cell>
          <cell r="C1684">
            <v>1336.9</v>
          </cell>
          <cell r="D1684">
            <v>674.27</v>
          </cell>
          <cell r="E1684">
            <v>0</v>
          </cell>
          <cell r="F1684">
            <v>2011.17</v>
          </cell>
        </row>
        <row r="1685">
          <cell r="A1685" t="str">
            <v>71400000-40002000-04040000</v>
          </cell>
          <cell r="B1685" t="str">
            <v>CESANTIA Y VEJEZ</v>
          </cell>
          <cell r="C1685">
            <v>2105.63</v>
          </cell>
          <cell r="D1685">
            <v>1061.98</v>
          </cell>
          <cell r="E1685">
            <v>0</v>
          </cell>
          <cell r="F1685">
            <v>3167.61</v>
          </cell>
        </row>
        <row r="1686">
          <cell r="A1686" t="str">
            <v>71400000-40002000-05010000</v>
          </cell>
          <cell r="B1686" t="str">
            <v>SERV. PROFESIONALES EXTERNOS</v>
          </cell>
          <cell r="C1686">
            <v>32712.41</v>
          </cell>
          <cell r="D1686">
            <v>15244.86</v>
          </cell>
          <cell r="E1686">
            <v>0</v>
          </cell>
          <cell r="F1686">
            <v>47957.27</v>
          </cell>
        </row>
        <row r="1687">
          <cell r="A1687" t="str">
            <v>71400000-40002000-12010000</v>
          </cell>
          <cell r="B1687" t="str">
            <v>ARREND. AUTOMOVILES</v>
          </cell>
          <cell r="C1687">
            <v>4107.4399999999996</v>
          </cell>
          <cell r="D1687">
            <v>2053.7199999999998</v>
          </cell>
          <cell r="E1687">
            <v>0</v>
          </cell>
          <cell r="F1687">
            <v>6161.16</v>
          </cell>
        </row>
        <row r="1688">
          <cell r="A1688" t="str">
            <v>71400000-40002000-13020000</v>
          </cell>
          <cell r="B1688" t="str">
            <v>ARRENDAMIENTO DE INMUEBLES PER</v>
          </cell>
          <cell r="C1688">
            <v>17805</v>
          </cell>
          <cell r="D1688">
            <v>17805</v>
          </cell>
          <cell r="E1688">
            <v>0</v>
          </cell>
          <cell r="F1688">
            <v>35610</v>
          </cell>
        </row>
        <row r="1689">
          <cell r="A1689" t="str">
            <v>71400000-40002000-15020000</v>
          </cell>
          <cell r="B1689" t="str">
            <v>CAMIONES Y CAMIONETAS</v>
          </cell>
          <cell r="C1689">
            <v>23063.11</v>
          </cell>
          <cell r="D1689">
            <v>591.67999999999995</v>
          </cell>
          <cell r="E1689">
            <v>0</v>
          </cell>
          <cell r="F1689">
            <v>23654.79</v>
          </cell>
        </row>
        <row r="1690">
          <cell r="A1690" t="str">
            <v>71400000-40002000-15070000</v>
          </cell>
          <cell r="B1690" t="str">
            <v>MANTTO A INMUEBLES ARRENDADOS</v>
          </cell>
          <cell r="C1690">
            <v>7750</v>
          </cell>
          <cell r="D1690">
            <v>0</v>
          </cell>
          <cell r="E1690">
            <v>0</v>
          </cell>
          <cell r="F1690">
            <v>7750</v>
          </cell>
        </row>
        <row r="1691">
          <cell r="A1691" t="str">
            <v>71400000-40002000-16010000</v>
          </cell>
          <cell r="B1691" t="str">
            <v>PAPELERIA</v>
          </cell>
          <cell r="C1691">
            <v>1276.8599999999999</v>
          </cell>
          <cell r="D1691">
            <v>0</v>
          </cell>
          <cell r="E1691">
            <v>0</v>
          </cell>
          <cell r="F1691">
            <v>1276.8599999999999</v>
          </cell>
        </row>
        <row r="1692">
          <cell r="A1692" t="str">
            <v>71400000-40002000-16040000</v>
          </cell>
          <cell r="B1692" t="str">
            <v>IMPLEMENTOS DE OFICINA</v>
          </cell>
          <cell r="C1692">
            <v>2000</v>
          </cell>
          <cell r="D1692">
            <v>0</v>
          </cell>
          <cell r="E1692">
            <v>0</v>
          </cell>
          <cell r="F1692">
            <v>2000</v>
          </cell>
        </row>
        <row r="1693">
          <cell r="A1693" t="str">
            <v>71400000-40002000-18020000</v>
          </cell>
          <cell r="B1693" t="str">
            <v>PASAJES Y TRANSPORTES LOCALES</v>
          </cell>
          <cell r="C1693">
            <v>1165</v>
          </cell>
          <cell r="D1693">
            <v>370</v>
          </cell>
          <cell r="E1693">
            <v>0</v>
          </cell>
          <cell r="F1693">
            <v>1535</v>
          </cell>
        </row>
        <row r="1694">
          <cell r="A1694" t="str">
            <v>71400000-40002000-19030000</v>
          </cell>
          <cell r="B1694" t="str">
            <v>TELEFONOS CELULARES</v>
          </cell>
          <cell r="C1694">
            <v>1330.7</v>
          </cell>
          <cell r="D1694">
            <v>0</v>
          </cell>
          <cell r="E1694">
            <v>0</v>
          </cell>
          <cell r="F1694">
            <v>1330.7</v>
          </cell>
        </row>
        <row r="1695">
          <cell r="A1695" t="str">
            <v>71400000-40002000-20010000</v>
          </cell>
          <cell r="B1695" t="str">
            <v>COMBUSTIBLE AUTOMOVILES</v>
          </cell>
          <cell r="C1695">
            <v>6174.1</v>
          </cell>
          <cell r="D1695">
            <v>4645.38</v>
          </cell>
          <cell r="E1695">
            <v>0</v>
          </cell>
          <cell r="F1695">
            <v>10819.48</v>
          </cell>
        </row>
        <row r="1696">
          <cell r="A1696" t="str">
            <v>71400000-40002000-20020000</v>
          </cell>
          <cell r="B1696" t="str">
            <v>CAMIONES Y CAMIONETAS</v>
          </cell>
          <cell r="C1696">
            <v>14093.24</v>
          </cell>
          <cell r="D1696">
            <v>7597.52</v>
          </cell>
          <cell r="E1696">
            <v>0</v>
          </cell>
          <cell r="F1696">
            <v>21690.76</v>
          </cell>
        </row>
        <row r="1697">
          <cell r="A1697" t="str">
            <v>71400000-40002000-21010000</v>
          </cell>
          <cell r="B1697" t="str">
            <v>HONORARIOS PERSONAS FISICAS</v>
          </cell>
          <cell r="C1697">
            <v>17805</v>
          </cell>
          <cell r="D1697">
            <v>0</v>
          </cell>
          <cell r="E1697">
            <v>0</v>
          </cell>
          <cell r="F1697">
            <v>17805</v>
          </cell>
        </row>
        <row r="1698">
          <cell r="A1698" t="str">
            <v>71400000-40002000-23100000</v>
          </cell>
          <cell r="B1698" t="str">
            <v>ETIQUETAS Y CODIGOS</v>
          </cell>
          <cell r="C1698">
            <v>408.4</v>
          </cell>
          <cell r="D1698">
            <v>0</v>
          </cell>
          <cell r="E1698">
            <v>408.4</v>
          </cell>
          <cell r="F1698">
            <v>0</v>
          </cell>
        </row>
        <row r="1699">
          <cell r="A1699" t="str">
            <v>71400000-40002000-23120000</v>
          </cell>
          <cell r="B1699" t="str">
            <v>DIVERSOS</v>
          </cell>
          <cell r="C1699">
            <v>204.72</v>
          </cell>
          <cell r="D1699">
            <v>106.9</v>
          </cell>
          <cell r="E1699">
            <v>0</v>
          </cell>
          <cell r="F1699">
            <v>311.62</v>
          </cell>
        </row>
        <row r="1700">
          <cell r="A1700" t="str">
            <v>71400000-40002000-23130000</v>
          </cell>
          <cell r="B1700" t="str">
            <v>OTROS IMPUESTOS Y DERECHOS</v>
          </cell>
          <cell r="C1700">
            <v>893.51</v>
          </cell>
          <cell r="D1700">
            <v>3113.31</v>
          </cell>
          <cell r="E1700">
            <v>0</v>
          </cell>
          <cell r="F1700">
            <v>4006.82</v>
          </cell>
        </row>
        <row r="1701">
          <cell r="A1701" t="str">
            <v>71400000-40002000-24010000</v>
          </cell>
          <cell r="B1701" t="str">
            <v>MATERIAL DE APOYO</v>
          </cell>
          <cell r="C1701">
            <v>118.97</v>
          </cell>
          <cell r="D1701">
            <v>2329.0100000000002</v>
          </cell>
          <cell r="E1701">
            <v>0</v>
          </cell>
          <cell r="F1701">
            <v>2447.98</v>
          </cell>
        </row>
        <row r="1702">
          <cell r="A1702" t="str">
            <v>71400000-40002000-24020000</v>
          </cell>
          <cell r="B1702" t="str">
            <v>CAFETERIA</v>
          </cell>
          <cell r="C1702">
            <v>6048.93</v>
          </cell>
          <cell r="D1702">
            <v>4588.8100000000004</v>
          </cell>
          <cell r="E1702">
            <v>0</v>
          </cell>
          <cell r="F1702">
            <v>10637.74</v>
          </cell>
        </row>
        <row r="1703">
          <cell r="A1703" t="str">
            <v>71400000-40002000-24070000</v>
          </cell>
          <cell r="B1703" t="str">
            <v>GTS DE REPRESENTACION TRANSPOR</v>
          </cell>
          <cell r="C1703">
            <v>1796.2</v>
          </cell>
          <cell r="D1703">
            <v>2591</v>
          </cell>
          <cell r="E1703">
            <v>0</v>
          </cell>
          <cell r="F1703">
            <v>4387.2</v>
          </cell>
        </row>
        <row r="1704">
          <cell r="A1704" t="str">
            <v>71400000-40002000-24080000</v>
          </cell>
          <cell r="B1704" t="str">
            <v>GTS DE REPRESENTACION ALIMENTO</v>
          </cell>
          <cell r="C1704">
            <v>21276.14</v>
          </cell>
          <cell r="D1704">
            <v>1625.17</v>
          </cell>
          <cell r="E1704">
            <v>3568.97</v>
          </cell>
          <cell r="F1704">
            <v>19332.34</v>
          </cell>
        </row>
        <row r="1705">
          <cell r="A1705" t="str">
            <v>71400000-40002000-35020000</v>
          </cell>
          <cell r="B1705" t="str">
            <v>DIVERSOS NO DEDUCIBLES</v>
          </cell>
          <cell r="C1705">
            <v>8522.5</v>
          </cell>
          <cell r="D1705">
            <v>3671.9</v>
          </cell>
          <cell r="E1705">
            <v>0</v>
          </cell>
          <cell r="F1705">
            <v>12194.4</v>
          </cell>
        </row>
        <row r="1706">
          <cell r="A1706" t="str">
            <v>71400000-40002000-90030000</v>
          </cell>
          <cell r="B1706" t="str">
            <v>PROVISION AGUINALDO</v>
          </cell>
          <cell r="C1706">
            <v>3196.42</v>
          </cell>
          <cell r="D1706">
            <v>1598.21</v>
          </cell>
          <cell r="E1706">
            <v>0</v>
          </cell>
          <cell r="F1706">
            <v>4794.63</v>
          </cell>
        </row>
        <row r="1707">
          <cell r="A1707" t="str">
            <v>71400000-40002000-90040000</v>
          </cell>
          <cell r="B1707" t="str">
            <v>BOLETIN D-3</v>
          </cell>
          <cell r="C1707">
            <v>117</v>
          </cell>
          <cell r="D1707">
            <v>58.5</v>
          </cell>
          <cell r="E1707">
            <v>0</v>
          </cell>
          <cell r="F1707">
            <v>175.5</v>
          </cell>
        </row>
        <row r="1708">
          <cell r="A1708" t="str">
            <v>71400000-40003000-00000000</v>
          </cell>
          <cell r="B1708" t="str">
            <v>COSTOS/GASTOS FIJOS PUB Y MKT</v>
          </cell>
          <cell r="C1708">
            <v>94280.19</v>
          </cell>
          <cell r="D1708">
            <v>45742.66</v>
          </cell>
          <cell r="E1708">
            <v>405</v>
          </cell>
          <cell r="F1708">
            <v>139617.85</v>
          </cell>
        </row>
        <row r="1709">
          <cell r="A1709" t="str">
            <v>71400000-40003000-03040000</v>
          </cell>
          <cell r="B1709" t="str">
            <v>DESPENSA EN VALES</v>
          </cell>
          <cell r="C1709">
            <v>0</v>
          </cell>
          <cell r="D1709">
            <v>243</v>
          </cell>
          <cell r="E1709">
            <v>0</v>
          </cell>
          <cell r="F1709">
            <v>243</v>
          </cell>
        </row>
        <row r="1710">
          <cell r="A1710" t="str">
            <v>71400000-40003000-05010000</v>
          </cell>
          <cell r="B1710" t="str">
            <v>SERV. PROFESIONALES EXTERNOS</v>
          </cell>
          <cell r="C1710">
            <v>70501.7</v>
          </cell>
          <cell r="D1710">
            <v>40026.76</v>
          </cell>
          <cell r="E1710">
            <v>0</v>
          </cell>
          <cell r="F1710">
            <v>110528.46</v>
          </cell>
        </row>
        <row r="1711">
          <cell r="A1711" t="str">
            <v>71400000-40003000-13010000</v>
          </cell>
          <cell r="B1711" t="str">
            <v>ARRENDAMIENTO DE EQUIPO DE OFI</v>
          </cell>
          <cell r="C1711">
            <v>1800</v>
          </cell>
          <cell r="D1711">
            <v>2400</v>
          </cell>
          <cell r="E1711">
            <v>0</v>
          </cell>
          <cell r="F1711">
            <v>4200</v>
          </cell>
        </row>
        <row r="1712">
          <cell r="A1712" t="str">
            <v>71400000-40003000-16010000</v>
          </cell>
          <cell r="B1712" t="str">
            <v>PAPELERIA</v>
          </cell>
          <cell r="C1712">
            <v>12576.21</v>
          </cell>
          <cell r="D1712">
            <v>1611.66</v>
          </cell>
          <cell r="E1712">
            <v>0</v>
          </cell>
          <cell r="F1712">
            <v>14187.87</v>
          </cell>
        </row>
        <row r="1713">
          <cell r="A1713" t="str">
            <v>71400000-40003000-16040000</v>
          </cell>
          <cell r="B1713" t="str">
            <v>IMPLEMENTOS DE OFICINA</v>
          </cell>
          <cell r="C1713">
            <v>2000</v>
          </cell>
          <cell r="D1713">
            <v>0</v>
          </cell>
          <cell r="E1713">
            <v>0</v>
          </cell>
          <cell r="F1713">
            <v>2000</v>
          </cell>
        </row>
        <row r="1714">
          <cell r="A1714" t="str">
            <v>71400000-40003000-18020000</v>
          </cell>
          <cell r="B1714" t="str">
            <v>PASAJES Y TRANSPORTES LOCALES</v>
          </cell>
          <cell r="C1714">
            <v>377</v>
          </cell>
          <cell r="D1714">
            <v>274</v>
          </cell>
          <cell r="E1714">
            <v>0</v>
          </cell>
          <cell r="F1714">
            <v>651</v>
          </cell>
        </row>
        <row r="1715">
          <cell r="A1715" t="str">
            <v>71400000-40003000-19010000</v>
          </cell>
          <cell r="B1715" t="str">
            <v>TELEFONOS</v>
          </cell>
          <cell r="C1715">
            <v>330.43</v>
          </cell>
          <cell r="D1715">
            <v>330.43</v>
          </cell>
          <cell r="E1715">
            <v>0</v>
          </cell>
          <cell r="F1715">
            <v>660.86</v>
          </cell>
        </row>
        <row r="1716">
          <cell r="A1716" t="str">
            <v>71400000-40003000-19030000</v>
          </cell>
          <cell r="B1716" t="str">
            <v>TELEFONOS CELULARES</v>
          </cell>
          <cell r="C1716">
            <v>2706.9</v>
          </cell>
          <cell r="D1716">
            <v>0</v>
          </cell>
          <cell r="E1716">
            <v>0</v>
          </cell>
          <cell r="F1716">
            <v>2706.9</v>
          </cell>
        </row>
        <row r="1717">
          <cell r="A1717" t="str">
            <v>71400000-40003000-20010000</v>
          </cell>
          <cell r="B1717" t="str">
            <v>COMBUSTIBLE AUTOMOVILES</v>
          </cell>
          <cell r="C1717">
            <v>911.76</v>
          </cell>
          <cell r="D1717">
            <v>583.61</v>
          </cell>
          <cell r="E1717">
            <v>0</v>
          </cell>
          <cell r="F1717">
            <v>1495.37</v>
          </cell>
        </row>
        <row r="1718">
          <cell r="A1718" t="str">
            <v>71400000-40003000-23120000</v>
          </cell>
          <cell r="B1718" t="str">
            <v>DIVERSOS</v>
          </cell>
          <cell r="C1718">
            <v>601.29</v>
          </cell>
          <cell r="D1718">
            <v>0</v>
          </cell>
          <cell r="E1718">
            <v>0</v>
          </cell>
          <cell r="F1718">
            <v>601.29</v>
          </cell>
        </row>
        <row r="1719">
          <cell r="A1719" t="str">
            <v>71400000-40003000-27060000</v>
          </cell>
          <cell r="B1719" t="str">
            <v>ROTULACION MANTAS</v>
          </cell>
          <cell r="C1719">
            <v>405</v>
          </cell>
          <cell r="D1719">
            <v>0</v>
          </cell>
          <cell r="E1719">
            <v>405</v>
          </cell>
          <cell r="F1719">
            <v>0</v>
          </cell>
        </row>
        <row r="1720">
          <cell r="A1720" t="str">
            <v>71400000-40003000-35020000</v>
          </cell>
          <cell r="B1720" t="str">
            <v>DIVERSOS NO DEDUCIBLES</v>
          </cell>
          <cell r="C1720">
            <v>2069.9</v>
          </cell>
          <cell r="D1720">
            <v>273.2</v>
          </cell>
          <cell r="E1720">
            <v>0</v>
          </cell>
          <cell r="F1720">
            <v>2343.1</v>
          </cell>
        </row>
        <row r="1721">
          <cell r="A1721" t="str">
            <v>71400000-40004000-00000000</v>
          </cell>
          <cell r="B1721" t="str">
            <v>COSTOS/GASTOS FIJOS EXPORT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</row>
        <row r="1722">
          <cell r="A1722" t="str">
            <v>71400000-40005000-00000000</v>
          </cell>
          <cell r="B1722" t="str">
            <v>COSTOS/GASTOS FIJOS ESPECIFIC.</v>
          </cell>
          <cell r="C1722">
            <v>28864.69</v>
          </cell>
          <cell r="D1722">
            <v>24911.95</v>
          </cell>
          <cell r="E1722">
            <v>0</v>
          </cell>
          <cell r="F1722">
            <v>53776.639999999999</v>
          </cell>
        </row>
        <row r="1723">
          <cell r="A1723" t="str">
            <v>71400000-40005000-05010000</v>
          </cell>
          <cell r="B1723" t="str">
            <v>SERV. PROFESIONALES EXTERNOS</v>
          </cell>
          <cell r="C1723">
            <v>24816.35</v>
          </cell>
          <cell r="D1723">
            <v>14795.75</v>
          </cell>
          <cell r="E1723">
            <v>0</v>
          </cell>
          <cell r="F1723">
            <v>39612.1</v>
          </cell>
        </row>
        <row r="1724">
          <cell r="A1724" t="str">
            <v>71400000-40005000-15010000</v>
          </cell>
          <cell r="B1724" t="str">
            <v>MANT. AUTOMOVILES</v>
          </cell>
          <cell r="C1724">
            <v>0</v>
          </cell>
          <cell r="D1724">
            <v>3950</v>
          </cell>
          <cell r="E1724">
            <v>0</v>
          </cell>
          <cell r="F1724">
            <v>3950</v>
          </cell>
        </row>
        <row r="1725">
          <cell r="A1725" t="str">
            <v>71400000-40005000-16010000</v>
          </cell>
          <cell r="B1725" t="str">
            <v>PAPELERIA</v>
          </cell>
          <cell r="C1725">
            <v>140</v>
          </cell>
          <cell r="D1725">
            <v>140</v>
          </cell>
          <cell r="E1725">
            <v>0</v>
          </cell>
          <cell r="F1725">
            <v>280</v>
          </cell>
        </row>
        <row r="1726">
          <cell r="A1726" t="str">
            <v>71400000-40005000-18020000</v>
          </cell>
          <cell r="B1726" t="str">
            <v>PASAJES Y TRANSPORTES LOCALES</v>
          </cell>
          <cell r="C1726">
            <v>1338</v>
          </cell>
          <cell r="D1726">
            <v>2079</v>
          </cell>
          <cell r="E1726">
            <v>0</v>
          </cell>
          <cell r="F1726">
            <v>3417</v>
          </cell>
        </row>
        <row r="1727">
          <cell r="A1727" t="str">
            <v>71400000-40005000-19030000</v>
          </cell>
          <cell r="B1727" t="str">
            <v>TELEFONOS CELULARES</v>
          </cell>
          <cell r="C1727">
            <v>110.06</v>
          </cell>
          <cell r="D1727">
            <v>0</v>
          </cell>
          <cell r="E1727">
            <v>0</v>
          </cell>
          <cell r="F1727">
            <v>110.06</v>
          </cell>
        </row>
        <row r="1728">
          <cell r="A1728" t="str">
            <v>71400000-40005000-20010000</v>
          </cell>
          <cell r="B1728" t="str">
            <v>COMBUSTIBLE AUTOMOVILES</v>
          </cell>
          <cell r="C1728">
            <v>1328.16</v>
          </cell>
          <cell r="D1728">
            <v>1101.8599999999999</v>
          </cell>
          <cell r="E1728">
            <v>0</v>
          </cell>
          <cell r="F1728">
            <v>2430.02</v>
          </cell>
        </row>
        <row r="1729">
          <cell r="A1729" t="str">
            <v>71400000-40005000-23120000</v>
          </cell>
          <cell r="B1729" t="str">
            <v>DIVERSOS</v>
          </cell>
          <cell r="C1729">
            <v>291.38</v>
          </cell>
          <cell r="D1729">
            <v>0</v>
          </cell>
          <cell r="E1729">
            <v>0</v>
          </cell>
          <cell r="F1729">
            <v>291.38</v>
          </cell>
        </row>
        <row r="1730">
          <cell r="A1730" t="str">
            <v>71400000-40005000-23130000</v>
          </cell>
          <cell r="B1730" t="str">
            <v>OTROS IMPUESTOS Y DERECHOS</v>
          </cell>
          <cell r="C1730">
            <v>220.34</v>
          </cell>
          <cell r="D1730">
            <v>1807.34</v>
          </cell>
          <cell r="E1730">
            <v>0</v>
          </cell>
          <cell r="F1730">
            <v>2027.68</v>
          </cell>
        </row>
        <row r="1731">
          <cell r="A1731" t="str">
            <v>71400000-40005000-35020000</v>
          </cell>
          <cell r="B1731" t="str">
            <v>DIVERSOS NO DEDUCIBLES</v>
          </cell>
          <cell r="C1731">
            <v>620.4</v>
          </cell>
          <cell r="D1731">
            <v>1038</v>
          </cell>
          <cell r="E1731">
            <v>0</v>
          </cell>
          <cell r="F1731">
            <v>1658.4</v>
          </cell>
        </row>
        <row r="1732">
          <cell r="A1732" t="str">
            <v>71500000-00000000-00000000</v>
          </cell>
          <cell r="B1732" t="str">
            <v>COSTOS/GASTOS FIJOS EXPORTACIO</v>
          </cell>
          <cell r="C1732">
            <v>176258.83</v>
          </cell>
          <cell r="D1732">
            <v>64881.54</v>
          </cell>
          <cell r="E1732">
            <v>0</v>
          </cell>
          <cell r="F1732">
            <v>241140.37</v>
          </cell>
        </row>
        <row r="1733">
          <cell r="F1733">
            <v>241140.37</v>
          </cell>
        </row>
        <row r="1734">
          <cell r="A1734" t="str">
            <v>71500000-50000000-00000000</v>
          </cell>
          <cell r="B1734" t="str">
            <v>COSTOS/GASTOS FIJOS EXPORTACIO</v>
          </cell>
          <cell r="C1734">
            <v>176258.83</v>
          </cell>
          <cell r="D1734">
            <v>64881.54</v>
          </cell>
          <cell r="E1734">
            <v>0</v>
          </cell>
        </row>
        <row r="1735">
          <cell r="A1735" t="str">
            <v>71500000-50001000-00000000</v>
          </cell>
          <cell r="B1735" t="str">
            <v>COSTOS/GASTOS FIJOS EXPORTACIO</v>
          </cell>
          <cell r="C1735">
            <v>176258.83</v>
          </cell>
          <cell r="D1735">
            <v>64881.54</v>
          </cell>
          <cell r="E1735">
            <v>0</v>
          </cell>
          <cell r="F1735">
            <v>241140.37</v>
          </cell>
        </row>
        <row r="1736">
          <cell r="A1736" t="str">
            <v>71500000-50001000-01010000</v>
          </cell>
          <cell r="B1736" t="str">
            <v>SUELDOS Y SALARIOS</v>
          </cell>
          <cell r="C1736">
            <v>26811.18</v>
          </cell>
          <cell r="D1736">
            <v>14870</v>
          </cell>
          <cell r="E1736">
            <v>0</v>
          </cell>
          <cell r="F1736">
            <v>41681.18</v>
          </cell>
        </row>
        <row r="1737">
          <cell r="A1737" t="str">
            <v>71500000-50001000-01030000</v>
          </cell>
          <cell r="B1737" t="str">
            <v>GRATIFICACIONES</v>
          </cell>
          <cell r="C1737">
            <v>1634.05</v>
          </cell>
          <cell r="D1737">
            <v>397.5</v>
          </cell>
          <cell r="E1737">
            <v>0</v>
          </cell>
          <cell r="F1737">
            <v>2031.55</v>
          </cell>
        </row>
        <row r="1738">
          <cell r="A1738" t="str">
            <v>71500000-50001000-01040000</v>
          </cell>
          <cell r="B1738" t="str">
            <v>VACACIONES</v>
          </cell>
          <cell r="C1738">
            <v>268</v>
          </cell>
          <cell r="D1738">
            <v>196</v>
          </cell>
          <cell r="E1738">
            <v>0</v>
          </cell>
          <cell r="F1738">
            <v>464</v>
          </cell>
        </row>
        <row r="1739">
          <cell r="A1739" t="str">
            <v>71500000-50001000-01050000</v>
          </cell>
          <cell r="B1739" t="str">
            <v>PRIMA VACACIONAL</v>
          </cell>
          <cell r="C1739">
            <v>174.2</v>
          </cell>
          <cell r="D1739">
            <v>127.4</v>
          </cell>
          <cell r="E1739">
            <v>0</v>
          </cell>
          <cell r="F1739">
            <v>301.60000000000002</v>
          </cell>
        </row>
        <row r="1740">
          <cell r="A1740" t="str">
            <v>71500000-50001000-03010000</v>
          </cell>
          <cell r="B1740" t="str">
            <v>FONDO DE AHORRO</v>
          </cell>
          <cell r="C1740">
            <v>878.5</v>
          </cell>
          <cell r="D1740">
            <v>470.4</v>
          </cell>
          <cell r="E1740">
            <v>0</v>
          </cell>
          <cell r="F1740">
            <v>1348.9</v>
          </cell>
        </row>
        <row r="1741">
          <cell r="A1741" t="str">
            <v>71500000-50001000-03020000</v>
          </cell>
          <cell r="B1741" t="str">
            <v>CUOTAS AL I.M.S.S.</v>
          </cell>
          <cell r="C1741">
            <v>1684.79</v>
          </cell>
          <cell r="D1741">
            <v>738.41</v>
          </cell>
          <cell r="E1741">
            <v>0</v>
          </cell>
          <cell r="F1741">
            <v>2423.1999999999998</v>
          </cell>
        </row>
        <row r="1742">
          <cell r="A1742" t="str">
            <v>71500000-50001000-03040000</v>
          </cell>
          <cell r="B1742" t="str">
            <v>DESPENSA EN VALES</v>
          </cell>
          <cell r="C1742">
            <v>440</v>
          </cell>
          <cell r="D1742">
            <v>0</v>
          </cell>
          <cell r="E1742">
            <v>0</v>
          </cell>
          <cell r="F1742">
            <v>440</v>
          </cell>
        </row>
        <row r="1743">
          <cell r="A1743" t="str">
            <v>71500000-50001000-04010000</v>
          </cell>
          <cell r="B1743" t="str">
            <v>2% SOBRE NOMINAS</v>
          </cell>
          <cell r="C1743">
            <v>316</v>
          </cell>
          <cell r="D1743">
            <v>177</v>
          </cell>
          <cell r="E1743">
            <v>0</v>
          </cell>
          <cell r="F1743">
            <v>493</v>
          </cell>
        </row>
        <row r="1744">
          <cell r="A1744" t="str">
            <v>71500000-50001000-04020000</v>
          </cell>
          <cell r="B1744" t="str">
            <v>5% INFONAVIT</v>
          </cell>
          <cell r="C1744">
            <v>905.8</v>
          </cell>
          <cell r="D1744">
            <v>355.59</v>
          </cell>
          <cell r="E1744">
            <v>0</v>
          </cell>
          <cell r="F1744">
            <v>1261.3900000000001</v>
          </cell>
        </row>
        <row r="1745">
          <cell r="A1745" t="str">
            <v>71500000-50001000-04030000</v>
          </cell>
          <cell r="B1745" t="str">
            <v>2% SAR / RETIRO</v>
          </cell>
          <cell r="C1745">
            <v>362.32</v>
          </cell>
          <cell r="D1745">
            <v>142.22999999999999</v>
          </cell>
          <cell r="E1745">
            <v>0</v>
          </cell>
          <cell r="F1745">
            <v>504.55</v>
          </cell>
        </row>
        <row r="1746">
          <cell r="A1746" t="str">
            <v>71500000-50001000-04040000</v>
          </cell>
          <cell r="B1746" t="str">
            <v>CESANTIA Y VEJEZ</v>
          </cell>
          <cell r="C1746">
            <v>570.66999999999996</v>
          </cell>
          <cell r="D1746">
            <v>224.03</v>
          </cell>
          <cell r="E1746">
            <v>0</v>
          </cell>
          <cell r="F1746">
            <v>794.7</v>
          </cell>
        </row>
        <row r="1747">
          <cell r="A1747" t="str">
            <v>71500000-50001000-14080000</v>
          </cell>
          <cell r="B1747" t="str">
            <v>CARGA</v>
          </cell>
          <cell r="C1747">
            <v>7957.94</v>
          </cell>
          <cell r="D1747">
            <v>3956.4</v>
          </cell>
          <cell r="E1747">
            <v>0</v>
          </cell>
          <cell r="F1747">
            <v>11914.34</v>
          </cell>
        </row>
        <row r="1748">
          <cell r="A1748" t="str">
            <v>71500000-50001000-18020000</v>
          </cell>
          <cell r="B1748" t="str">
            <v>PASAJES Y TRANSPORTES LOCALES</v>
          </cell>
          <cell r="C1748">
            <v>170</v>
          </cell>
          <cell r="D1748">
            <v>0</v>
          </cell>
          <cell r="E1748">
            <v>0</v>
          </cell>
          <cell r="F1748">
            <v>170</v>
          </cell>
        </row>
        <row r="1749">
          <cell r="A1749" t="str">
            <v>71500000-50001000-18090000</v>
          </cell>
          <cell r="B1749" t="str">
            <v>GASTOS DE REPRESENTACION AGENT</v>
          </cell>
          <cell r="C1749">
            <v>9434.2900000000009</v>
          </cell>
          <cell r="D1749">
            <v>0</v>
          </cell>
          <cell r="E1749">
            <v>0</v>
          </cell>
          <cell r="F1749">
            <v>9434.2900000000009</v>
          </cell>
        </row>
        <row r="1750">
          <cell r="A1750" t="str">
            <v>71500000-50001000-18100000</v>
          </cell>
          <cell r="B1750" t="str">
            <v>GASTOS DE REPRESENTACION DIREC</v>
          </cell>
          <cell r="C1750">
            <v>4236.67</v>
          </cell>
          <cell r="D1750">
            <v>0</v>
          </cell>
          <cell r="E1750">
            <v>0</v>
          </cell>
          <cell r="F1750">
            <v>4236.67</v>
          </cell>
        </row>
        <row r="1751">
          <cell r="A1751" t="str">
            <v>71500000-50001000-19030000</v>
          </cell>
          <cell r="B1751" t="str">
            <v>TELEFONOS CELULARES</v>
          </cell>
          <cell r="C1751">
            <v>2672.02</v>
          </cell>
          <cell r="D1751">
            <v>2608.19</v>
          </cell>
          <cell r="E1751">
            <v>0</v>
          </cell>
          <cell r="F1751">
            <v>5280.21</v>
          </cell>
        </row>
        <row r="1752">
          <cell r="A1752" t="str">
            <v>71500000-50001000-19070000</v>
          </cell>
          <cell r="B1752" t="str">
            <v>MENSAJERIA ESPECIALIZADA</v>
          </cell>
          <cell r="C1752">
            <v>2305</v>
          </cell>
          <cell r="D1752">
            <v>1050</v>
          </cell>
          <cell r="E1752">
            <v>0</v>
          </cell>
          <cell r="F1752">
            <v>3355</v>
          </cell>
        </row>
        <row r="1753">
          <cell r="A1753" t="str">
            <v>71500000-50001000-22050000</v>
          </cell>
          <cell r="B1753" t="str">
            <v>COMISIONES Y ASESORIAS EXTERNA</v>
          </cell>
          <cell r="C1753">
            <v>24000</v>
          </cell>
          <cell r="D1753">
            <v>24000</v>
          </cell>
          <cell r="E1753">
            <v>0</v>
          </cell>
          <cell r="F1753">
            <v>48000</v>
          </cell>
        </row>
        <row r="1754">
          <cell r="A1754" t="str">
            <v>71500000-50001000-23070000</v>
          </cell>
          <cell r="B1754" t="str">
            <v>TARIMAS</v>
          </cell>
          <cell r="C1754">
            <v>88613.04</v>
          </cell>
          <cell r="D1754">
            <v>15125.34</v>
          </cell>
          <cell r="E1754">
            <v>0</v>
          </cell>
          <cell r="F1754">
            <v>103738.38</v>
          </cell>
        </row>
        <row r="1755">
          <cell r="A1755" t="str">
            <v>71500000-50001000-23130000</v>
          </cell>
          <cell r="B1755" t="str">
            <v>OTROS IMPUESTOS Y DERECHOS</v>
          </cell>
          <cell r="C1755">
            <v>30.26</v>
          </cell>
          <cell r="D1755">
            <v>0</v>
          </cell>
          <cell r="E1755">
            <v>0</v>
          </cell>
          <cell r="F1755">
            <v>30.26</v>
          </cell>
        </row>
        <row r="1756">
          <cell r="A1756" t="str">
            <v>71500000-50001000-35020000</v>
          </cell>
          <cell r="B1756" t="str">
            <v>DIVERSOS NO DEDUCIBLES</v>
          </cell>
          <cell r="C1756">
            <v>1908</v>
          </cell>
          <cell r="D1756">
            <v>0</v>
          </cell>
          <cell r="E1756">
            <v>0</v>
          </cell>
          <cell r="F1756">
            <v>1908</v>
          </cell>
        </row>
        <row r="1757">
          <cell r="A1757" t="str">
            <v>71500000-50001000-90030000</v>
          </cell>
          <cell r="B1757" t="str">
            <v>PROVISION AGUINALDO</v>
          </cell>
          <cell r="C1757">
            <v>886.1</v>
          </cell>
          <cell r="D1757">
            <v>443.05</v>
          </cell>
          <cell r="E1757">
            <v>0</v>
          </cell>
          <cell r="F1757">
            <v>1329.15</v>
          </cell>
        </row>
        <row r="1758">
          <cell r="A1758" t="str">
            <v>72000000-00000000-00000000</v>
          </cell>
          <cell r="B1758" t="str">
            <v>COSTOS/GASTOS VARIABLES</v>
          </cell>
          <cell r="C1758">
            <v>898504.62</v>
          </cell>
          <cell r="D1758">
            <v>535687.88</v>
          </cell>
          <cell r="E1758">
            <v>58588.49</v>
          </cell>
          <cell r="F1758">
            <v>1375604.01</v>
          </cell>
        </row>
        <row r="1761">
          <cell r="A1761" t="str">
            <v>72100000-00000000-00000000</v>
          </cell>
          <cell r="B1761" t="str">
            <v>COSTOS/GASTOS VAR OPERACIONES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</row>
        <row r="1762">
          <cell r="F1762">
            <v>0</v>
          </cell>
        </row>
        <row r="1763">
          <cell r="A1763" t="str">
            <v>72100000-10000000-00000000</v>
          </cell>
          <cell r="C1763">
            <v>0</v>
          </cell>
          <cell r="D1763">
            <v>0</v>
          </cell>
          <cell r="E1763">
            <v>0</v>
          </cell>
        </row>
        <row r="1764">
          <cell r="A1764" t="str">
            <v>72100000-10001000-00000000</v>
          </cell>
          <cell r="B1764" t="str">
            <v>COSTOS/GASTOS VAR OPERACIONES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</row>
        <row r="1765">
          <cell r="A1765" t="str">
            <v>72100000-10002000-00000000</v>
          </cell>
          <cell r="B1765" t="str">
            <v>COSTOS/GASTOS VAR EMBARQUES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</row>
        <row r="1766">
          <cell r="A1766" t="str">
            <v>72100000-10003000-00000000</v>
          </cell>
          <cell r="B1766" t="str">
            <v>COSTOS/GASTOS VAR MAT PRIMAS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</row>
        <row r="1767">
          <cell r="A1767" t="str">
            <v>72100000-10004000-00000000</v>
          </cell>
          <cell r="B1767" t="str">
            <v>COSTOS/GASTOS VAR PRODUCCION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</row>
        <row r="1768">
          <cell r="A1768" t="str">
            <v>72100000-10005000-00000000</v>
          </cell>
          <cell r="B1768" t="str">
            <v>COSTOS/GASTOS VAR LABORATORIO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</row>
        <row r="1769">
          <cell r="A1769" t="str">
            <v>72200000-00000000-00000000</v>
          </cell>
          <cell r="B1769" t="str">
            <v>COSTOS/GASTOS VAR ADMON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</row>
        <row r="1770">
          <cell r="F1770">
            <v>0</v>
          </cell>
        </row>
        <row r="1771">
          <cell r="A1771" t="str">
            <v>72200000-20000000-00000000</v>
          </cell>
          <cell r="C1771">
            <v>0</v>
          </cell>
          <cell r="D1771">
            <v>0</v>
          </cell>
          <cell r="E1771">
            <v>0</v>
          </cell>
        </row>
        <row r="1772">
          <cell r="A1772" t="str">
            <v>72200000-20001000-00000000</v>
          </cell>
          <cell r="B1772" t="str">
            <v>COSTOS/GASTOS VAR ADMON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</row>
        <row r="1773">
          <cell r="A1773" t="str">
            <v>72200000-20002000-00000000</v>
          </cell>
          <cell r="B1773" t="str">
            <v>COSTOS/GASTOS VAR LEGAL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</row>
        <row r="1774">
          <cell r="A1774" t="str">
            <v>72200000-20003000-00000000</v>
          </cell>
          <cell r="B1774" t="str">
            <v>COSTOS/GASTOS DIR GRAL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</row>
        <row r="1775">
          <cell r="A1775" t="str">
            <v>72200000-20004000-00000000</v>
          </cell>
          <cell r="B1775" t="str">
            <v>COSTOS/GASTOS VAR REC HUM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</row>
        <row r="1776">
          <cell r="A1776" t="str">
            <v>72300000-00000000-00000000</v>
          </cell>
          <cell r="B1776" t="str">
            <v>COSTOS/GASTOS VAR VENTAS</v>
          </cell>
          <cell r="C1776">
            <v>440317.96</v>
          </cell>
          <cell r="D1776">
            <v>166293.69</v>
          </cell>
          <cell r="E1776">
            <v>39358</v>
          </cell>
          <cell r="F1776">
            <v>567253.65</v>
          </cell>
        </row>
        <row r="1777">
          <cell r="F1777">
            <v>567253.65</v>
          </cell>
        </row>
        <row r="1778">
          <cell r="A1778" t="str">
            <v>72300000-30000000-00000000</v>
          </cell>
          <cell r="B1778" t="str">
            <v>COSTOS/GASTOS VAR VENTAS</v>
          </cell>
          <cell r="C1778">
            <v>440317.96</v>
          </cell>
          <cell r="D1778">
            <v>166293.69</v>
          </cell>
          <cell r="E1778">
            <v>39358</v>
          </cell>
        </row>
        <row r="1779">
          <cell r="A1779" t="str">
            <v>72300000-30001000-00000000</v>
          </cell>
          <cell r="B1779" t="str">
            <v>COSTOS/GASTOS VAR VTAS NAL</v>
          </cell>
          <cell r="C1779">
            <v>17197.54</v>
          </cell>
          <cell r="D1779">
            <v>5364</v>
          </cell>
          <cell r="E1779">
            <v>0</v>
          </cell>
          <cell r="F1779">
            <v>22561.54</v>
          </cell>
        </row>
        <row r="1780">
          <cell r="A1780" t="str">
            <v>72300000-30001000-01080000</v>
          </cell>
          <cell r="B1780" t="str">
            <v>COMISIONES</v>
          </cell>
          <cell r="C1780">
            <v>50</v>
          </cell>
          <cell r="D1780">
            <v>614</v>
          </cell>
          <cell r="E1780">
            <v>0</v>
          </cell>
          <cell r="F1780">
            <v>664</v>
          </cell>
        </row>
        <row r="1781">
          <cell r="A1781" t="str">
            <v>72300000-30001000-05010000</v>
          </cell>
          <cell r="B1781" t="str">
            <v>SERV. PROFESIONALES EXTERNOS</v>
          </cell>
          <cell r="C1781">
            <v>17147.54</v>
          </cell>
          <cell r="D1781">
            <v>4750</v>
          </cell>
          <cell r="E1781">
            <v>0</v>
          </cell>
          <cell r="F1781">
            <v>21897.54</v>
          </cell>
        </row>
        <row r="1782">
          <cell r="A1782" t="str">
            <v>72300000-30002000-00000000</v>
          </cell>
          <cell r="B1782" t="str">
            <v>COSTOS/GASTOS VAR DF 1</v>
          </cell>
          <cell r="C1782">
            <v>77046.5</v>
          </cell>
          <cell r="D1782">
            <v>8563.3799999999992</v>
          </cell>
          <cell r="E1782">
            <v>39358</v>
          </cell>
          <cell r="F1782">
            <v>46251.88</v>
          </cell>
        </row>
        <row r="1783">
          <cell r="A1783" t="str">
            <v>72300000-30002000-01080000</v>
          </cell>
          <cell r="B1783" t="str">
            <v>COMISIONES</v>
          </cell>
          <cell r="C1783">
            <v>15358</v>
          </cell>
          <cell r="D1783">
            <v>0</v>
          </cell>
          <cell r="E1783">
            <v>15358</v>
          </cell>
          <cell r="F1783">
            <v>0</v>
          </cell>
        </row>
        <row r="1784">
          <cell r="A1784" t="str">
            <v>72300000-30002000-01090000</v>
          </cell>
          <cell r="B1784" t="str">
            <v>BONOS Y PREMIOS POR LOGROS</v>
          </cell>
          <cell r="C1784">
            <v>24000</v>
          </cell>
          <cell r="D1784">
            <v>0</v>
          </cell>
          <cell r="E1784">
            <v>24000</v>
          </cell>
          <cell r="F1784">
            <v>0</v>
          </cell>
        </row>
        <row r="1785">
          <cell r="A1785" t="str">
            <v>72300000-30002000-05010000</v>
          </cell>
          <cell r="B1785" t="str">
            <v>SERV. PROFESIONALES EXTERNOS</v>
          </cell>
          <cell r="C1785">
            <v>37688.5</v>
          </cell>
          <cell r="D1785">
            <v>8563.3799999999992</v>
          </cell>
          <cell r="E1785">
            <v>0</v>
          </cell>
          <cell r="F1785">
            <v>46251.88</v>
          </cell>
        </row>
        <row r="1786">
          <cell r="A1786" t="str">
            <v>72300000-30003000-00000000</v>
          </cell>
          <cell r="B1786" t="str">
            <v>COSTOS/GASTOS VAR SUR</v>
          </cell>
          <cell r="C1786">
            <v>18674</v>
          </cell>
          <cell r="D1786">
            <v>11421</v>
          </cell>
          <cell r="E1786">
            <v>0</v>
          </cell>
          <cell r="F1786">
            <v>30095</v>
          </cell>
        </row>
        <row r="1787">
          <cell r="A1787" t="str">
            <v>72300000-30003000-01080000</v>
          </cell>
          <cell r="B1787" t="str">
            <v>COMISIONES</v>
          </cell>
          <cell r="C1787">
            <v>10674</v>
          </cell>
          <cell r="D1787">
            <v>11421</v>
          </cell>
          <cell r="E1787">
            <v>0</v>
          </cell>
          <cell r="F1787">
            <v>22095</v>
          </cell>
        </row>
        <row r="1788">
          <cell r="A1788" t="str">
            <v>72300000-30003000-01090000</v>
          </cell>
          <cell r="B1788" t="str">
            <v>BONOS Y PREMIOS POR LOGROS</v>
          </cell>
          <cell r="C1788">
            <v>8000</v>
          </cell>
          <cell r="D1788">
            <v>0</v>
          </cell>
          <cell r="E1788">
            <v>0</v>
          </cell>
          <cell r="F1788">
            <v>8000</v>
          </cell>
        </row>
        <row r="1789">
          <cell r="A1789" t="str">
            <v>72300000-30004000-00000000</v>
          </cell>
          <cell r="B1789" t="str">
            <v>COSTOS/GASTOS VAR GOLFO</v>
          </cell>
          <cell r="C1789">
            <v>31014</v>
          </cell>
          <cell r="D1789">
            <v>6984</v>
          </cell>
          <cell r="E1789">
            <v>0</v>
          </cell>
          <cell r="F1789">
            <v>37998</v>
          </cell>
        </row>
        <row r="1790">
          <cell r="A1790" t="str">
            <v>72300000-30004000-01080000</v>
          </cell>
          <cell r="B1790" t="str">
            <v>COMISIONES</v>
          </cell>
          <cell r="C1790">
            <v>22764</v>
          </cell>
          <cell r="D1790">
            <v>6984</v>
          </cell>
          <cell r="E1790">
            <v>0</v>
          </cell>
          <cell r="F1790">
            <v>29748</v>
          </cell>
        </row>
        <row r="1791">
          <cell r="A1791" t="str">
            <v>72300000-30004000-01090000</v>
          </cell>
          <cell r="B1791" t="str">
            <v>BONOS Y PREMIOS POR LOGROS</v>
          </cell>
          <cell r="C1791">
            <v>8250</v>
          </cell>
          <cell r="D1791">
            <v>0</v>
          </cell>
          <cell r="E1791">
            <v>0</v>
          </cell>
          <cell r="F1791">
            <v>8250</v>
          </cell>
        </row>
        <row r="1792">
          <cell r="A1792" t="str">
            <v>72300000-30005000-00000000</v>
          </cell>
          <cell r="B1792" t="str">
            <v>COSTOS/GASTOS VAR TIENDAS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</row>
        <row r="1793">
          <cell r="A1793" t="str">
            <v>72300000-30006000-00000000</v>
          </cell>
          <cell r="B1793" t="str">
            <v>COSTOS/GASTOS VAR NTE</v>
          </cell>
          <cell r="C1793">
            <v>43262.62</v>
          </cell>
          <cell r="D1793">
            <v>16658.36</v>
          </cell>
          <cell r="E1793">
            <v>0</v>
          </cell>
          <cell r="F1793">
            <v>59920.98</v>
          </cell>
        </row>
        <row r="1794">
          <cell r="A1794" t="str">
            <v>72300000-30006000-05010000</v>
          </cell>
          <cell r="B1794" t="str">
            <v>SERV. PROFESIONALES EXTERNOS</v>
          </cell>
          <cell r="C1794">
            <v>43262.62</v>
          </cell>
          <cell r="D1794">
            <v>16658.36</v>
          </cell>
          <cell r="E1794">
            <v>0</v>
          </cell>
          <cell r="F1794">
            <v>59920.98</v>
          </cell>
        </row>
        <row r="1795">
          <cell r="A1795" t="str">
            <v>72300000-30007000-00000000</v>
          </cell>
          <cell r="B1795" t="str">
            <v>COSTOS/GASTOS VAR PAC NTE</v>
          </cell>
          <cell r="C1795">
            <v>20722</v>
          </cell>
          <cell r="D1795">
            <v>8686</v>
          </cell>
          <cell r="E1795">
            <v>0</v>
          </cell>
          <cell r="F1795">
            <v>29408</v>
          </cell>
        </row>
        <row r="1796">
          <cell r="A1796" t="str">
            <v>72300000-30007000-01080000</v>
          </cell>
          <cell r="B1796" t="str">
            <v>COMISIONES</v>
          </cell>
          <cell r="C1796">
            <v>20722</v>
          </cell>
          <cell r="D1796">
            <v>8686</v>
          </cell>
          <cell r="E1796">
            <v>0</v>
          </cell>
          <cell r="F1796">
            <v>29408</v>
          </cell>
        </row>
        <row r="1797">
          <cell r="A1797" t="str">
            <v>72300000-30008000-00000000</v>
          </cell>
          <cell r="B1797" t="str">
            <v>COSTOS/GASTOS VAR PAC CTRO</v>
          </cell>
          <cell r="C1797">
            <v>22028</v>
          </cell>
          <cell r="D1797">
            <v>13044</v>
          </cell>
          <cell r="E1797">
            <v>0</v>
          </cell>
          <cell r="F1797">
            <v>35072</v>
          </cell>
        </row>
        <row r="1798">
          <cell r="A1798" t="str">
            <v>72300000-30008000-01080000</v>
          </cell>
          <cell r="B1798" t="str">
            <v>COMISIONES</v>
          </cell>
          <cell r="C1798">
            <v>22028</v>
          </cell>
          <cell r="D1798">
            <v>13044</v>
          </cell>
          <cell r="E1798">
            <v>0</v>
          </cell>
          <cell r="F1798">
            <v>35072</v>
          </cell>
        </row>
        <row r="1799">
          <cell r="A1799" t="str">
            <v>72300000-30009000-00000000</v>
          </cell>
          <cell r="B1799" t="str">
            <v>COSTOS/GASTOS VAR GDL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</row>
        <row r="1800">
          <cell r="A1800" t="str">
            <v>72300000-30010000-00000000</v>
          </cell>
          <cell r="B1800" t="str">
            <v>COSTOS/GASTOS VAR OCCIDENTE</v>
          </cell>
          <cell r="C1800">
            <v>8788</v>
          </cell>
          <cell r="D1800">
            <v>4980</v>
          </cell>
          <cell r="E1800">
            <v>0</v>
          </cell>
          <cell r="F1800">
            <v>13768</v>
          </cell>
        </row>
        <row r="1801">
          <cell r="A1801" t="str">
            <v>72300000-30010000-01080000</v>
          </cell>
          <cell r="B1801" t="str">
            <v>COMISIONES</v>
          </cell>
          <cell r="C1801">
            <v>8788</v>
          </cell>
          <cell r="D1801">
            <v>4980</v>
          </cell>
          <cell r="E1801">
            <v>0</v>
          </cell>
          <cell r="F1801">
            <v>13768</v>
          </cell>
        </row>
        <row r="1802">
          <cell r="A1802" t="str">
            <v>72300000-30011000-00000000</v>
          </cell>
          <cell r="B1802" t="str">
            <v>COSTOS/GASTOS VAR CONURBADA</v>
          </cell>
          <cell r="C1802">
            <v>74892</v>
          </cell>
          <cell r="D1802">
            <v>26522</v>
          </cell>
          <cell r="E1802">
            <v>0</v>
          </cell>
          <cell r="F1802">
            <v>101414</v>
          </cell>
        </row>
        <row r="1803">
          <cell r="A1803" t="str">
            <v>72300000-30011000-01080000</v>
          </cell>
          <cell r="B1803" t="str">
            <v>COMISIONES</v>
          </cell>
          <cell r="C1803">
            <v>44212</v>
          </cell>
          <cell r="D1803">
            <v>26522</v>
          </cell>
          <cell r="E1803">
            <v>0</v>
          </cell>
          <cell r="F1803">
            <v>70734</v>
          </cell>
        </row>
        <row r="1804">
          <cell r="A1804" t="str">
            <v>72300000-30011000-01090000</v>
          </cell>
          <cell r="B1804" t="str">
            <v>BONOS Y PREMIOS POR LOGROS</v>
          </cell>
          <cell r="C1804">
            <v>30680</v>
          </cell>
          <cell r="D1804">
            <v>0</v>
          </cell>
          <cell r="E1804">
            <v>0</v>
          </cell>
          <cell r="F1804">
            <v>30680</v>
          </cell>
        </row>
        <row r="1805">
          <cell r="A1805" t="str">
            <v>72300000-30012000-00000000</v>
          </cell>
          <cell r="B1805" t="str">
            <v>COSTOS/GASTOS VAR PRECOR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</row>
        <row r="1806">
          <cell r="A1806" t="str">
            <v>72300000-30013000-00000000</v>
          </cell>
          <cell r="B1806" t="str">
            <v>COSTOS/GASTOS VAR CANCUN</v>
          </cell>
          <cell r="C1806">
            <v>19816.150000000001</v>
          </cell>
          <cell r="D1806">
            <v>8498.6200000000008</v>
          </cell>
          <cell r="E1806">
            <v>0</v>
          </cell>
          <cell r="F1806">
            <v>28314.77</v>
          </cell>
        </row>
        <row r="1807">
          <cell r="A1807" t="str">
            <v>72300000-30013000-05010000</v>
          </cell>
          <cell r="B1807" t="str">
            <v>SERV. PROFESIONALES EXTERNOS</v>
          </cell>
          <cell r="C1807">
            <v>19816.150000000001</v>
          </cell>
          <cell r="D1807">
            <v>8498.6200000000008</v>
          </cell>
          <cell r="E1807">
            <v>0</v>
          </cell>
          <cell r="F1807">
            <v>28314.77</v>
          </cell>
        </row>
        <row r="1808">
          <cell r="A1808" t="str">
            <v>72300000-30014000-00000000</v>
          </cell>
          <cell r="B1808" t="str">
            <v>COSTOS/GASTOS VAR G. FORANEA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</row>
        <row r="1809">
          <cell r="A1809" t="str">
            <v>72300000-30015000-00000000</v>
          </cell>
          <cell r="B1809" t="str">
            <v>COSTOS/GASTOS VAR T AGRICULTUR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</row>
        <row r="1810">
          <cell r="A1810" t="str">
            <v>72300000-30016000-00000000</v>
          </cell>
          <cell r="B1810" t="str">
            <v>COSTOS/GASTOS VAR T IZTAPALAPA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</row>
        <row r="1811">
          <cell r="A1811" t="str">
            <v>72300000-30017000-00000000</v>
          </cell>
          <cell r="B1811" t="str">
            <v>COSTOS/GASTOS VAR T JALISCO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</row>
        <row r="1812">
          <cell r="A1812" t="str">
            <v>72300000-30018000-00000000</v>
          </cell>
          <cell r="B1812" t="str">
            <v>COSTOS/GASTOS VAR T ACOXPA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</row>
        <row r="1813">
          <cell r="A1813" t="str">
            <v>72300000-30019000-00000000</v>
          </cell>
          <cell r="B1813" t="str">
            <v>COSTOS/GASTOS VAR T DIV NORTE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</row>
        <row r="1814">
          <cell r="A1814" t="str">
            <v>72300000-30020000-00000000</v>
          </cell>
          <cell r="B1814" t="str">
            <v>COSTOS/GASTOS VAR T PORTALES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</row>
        <row r="1815">
          <cell r="A1815" t="str">
            <v>72300000-30021000-00000000</v>
          </cell>
          <cell r="B1815" t="str">
            <v>COSTOS/GASTOS VAR T CUAJIMALPA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</row>
        <row r="1816">
          <cell r="A1816" t="str">
            <v>72300000-30022000-00000000</v>
          </cell>
          <cell r="B1816" t="str">
            <v>COSTOS/GASTOS VAR T ECATEPEC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</row>
        <row r="1817">
          <cell r="A1817" t="str">
            <v>72300000-30023000-00000000</v>
          </cell>
          <cell r="B1817" t="str">
            <v>COSTOS/GASTOS FIJOS COACALCO 1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</row>
        <row r="1818">
          <cell r="A1818" t="str">
            <v>72300000-30024000-00000000</v>
          </cell>
          <cell r="B1818" t="str">
            <v>COSTOS/GASTOS FIJOS COACALCO 2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</row>
        <row r="1819">
          <cell r="A1819" t="str">
            <v>72300000-30025000-00000000</v>
          </cell>
          <cell r="B1819" t="str">
            <v>COSTOS/GASTOS VAR OCCIDENTE 2</v>
          </cell>
          <cell r="C1819">
            <v>31289.01</v>
          </cell>
          <cell r="D1819">
            <v>1192.79</v>
          </cell>
          <cell r="E1819">
            <v>0</v>
          </cell>
          <cell r="F1819">
            <v>32481.8</v>
          </cell>
        </row>
        <row r="1820">
          <cell r="A1820" t="str">
            <v>72300000-30025000-05010000</v>
          </cell>
          <cell r="B1820" t="str">
            <v>SERV. PROFESIONALES EXTERNOS</v>
          </cell>
          <cell r="C1820">
            <v>31289.01</v>
          </cell>
          <cell r="D1820">
            <v>1192.79</v>
          </cell>
          <cell r="E1820">
            <v>0</v>
          </cell>
          <cell r="F1820">
            <v>32481.8</v>
          </cell>
        </row>
        <row r="1821">
          <cell r="A1821" t="str">
            <v>72300000-30026000-00000000</v>
          </cell>
          <cell r="B1821" t="str">
            <v>COSTOS/GASTOS FIJOS DF 2</v>
          </cell>
          <cell r="C1821">
            <v>55022.22</v>
          </cell>
          <cell r="D1821">
            <v>7473.84</v>
          </cell>
          <cell r="E1821">
            <v>0</v>
          </cell>
          <cell r="F1821">
            <v>62496.06</v>
          </cell>
        </row>
        <row r="1822">
          <cell r="A1822" t="str">
            <v>72300000-30026000-05010000</v>
          </cell>
          <cell r="B1822" t="str">
            <v>SERV. PROFESIONALES EXTERNOS</v>
          </cell>
          <cell r="C1822">
            <v>55022.22</v>
          </cell>
          <cell r="D1822">
            <v>7473.84</v>
          </cell>
          <cell r="E1822">
            <v>0</v>
          </cell>
          <cell r="F1822">
            <v>62496.06</v>
          </cell>
        </row>
        <row r="1823">
          <cell r="A1823" t="str">
            <v>72300000-30027000-00000000</v>
          </cell>
          <cell r="B1823" t="str">
            <v>COSTOS/GASTOS FIJOS DF 3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</row>
        <row r="1824">
          <cell r="A1824" t="str">
            <v>72300000-30028000-00000000</v>
          </cell>
          <cell r="B1824" t="str">
            <v>COSTOS/GASTOS FIJOS DF 4</v>
          </cell>
          <cell r="C1824">
            <v>0</v>
          </cell>
          <cell r="D1824">
            <v>41796</v>
          </cell>
          <cell r="E1824">
            <v>0</v>
          </cell>
          <cell r="F1824">
            <v>41796</v>
          </cell>
        </row>
        <row r="1825">
          <cell r="A1825" t="str">
            <v>72300000-30028000-01080000</v>
          </cell>
          <cell r="B1825" t="str">
            <v>COMISIONES</v>
          </cell>
          <cell r="C1825">
            <v>0</v>
          </cell>
          <cell r="D1825">
            <v>17796</v>
          </cell>
          <cell r="E1825">
            <v>0</v>
          </cell>
          <cell r="F1825">
            <v>17796</v>
          </cell>
        </row>
        <row r="1826">
          <cell r="A1826" t="str">
            <v>72300000-30028000-01090000</v>
          </cell>
          <cell r="B1826" t="str">
            <v>BONOS Y PREMIOS POR LOGROS</v>
          </cell>
          <cell r="C1826">
            <v>0</v>
          </cell>
          <cell r="D1826">
            <v>24000</v>
          </cell>
          <cell r="E1826">
            <v>0</v>
          </cell>
          <cell r="F1826">
            <v>24000</v>
          </cell>
        </row>
        <row r="1827">
          <cell r="A1827" t="str">
            <v>72300000-30029000-00000000</v>
          </cell>
          <cell r="B1827" t="str">
            <v>COSTOS/GASTOS FIJOS DF 5</v>
          </cell>
          <cell r="C1827">
            <v>20565.919999999998</v>
          </cell>
          <cell r="D1827">
            <v>5109.7</v>
          </cell>
          <cell r="E1827">
            <v>0</v>
          </cell>
          <cell r="F1827">
            <v>25675.62</v>
          </cell>
        </row>
        <row r="1828">
          <cell r="A1828" t="str">
            <v>72300000-30029000-05010000</v>
          </cell>
          <cell r="B1828" t="str">
            <v>SERV. PROFESIONALES EXTERNOS</v>
          </cell>
          <cell r="C1828">
            <v>20565.919999999998</v>
          </cell>
          <cell r="D1828">
            <v>5109.7</v>
          </cell>
          <cell r="E1828">
            <v>0</v>
          </cell>
          <cell r="F1828">
            <v>25675.62</v>
          </cell>
        </row>
        <row r="1829">
          <cell r="A1829" t="str">
            <v>72400000-00000000-00000000</v>
          </cell>
          <cell r="B1829" t="str">
            <v>COSTOS/GASTOS VAR MKT</v>
          </cell>
          <cell r="C1829">
            <v>374653.07</v>
          </cell>
          <cell r="D1829">
            <v>335737.4</v>
          </cell>
          <cell r="E1829">
            <v>6201</v>
          </cell>
          <cell r="F1829">
            <v>704189.47</v>
          </cell>
        </row>
        <row r="1830">
          <cell r="F1830">
            <v>704189.47</v>
          </cell>
        </row>
        <row r="1831">
          <cell r="A1831" t="str">
            <v>72400000-40000000-00000000</v>
          </cell>
          <cell r="B1831" t="str">
            <v>COSTOS/GASTOS VAR MKT</v>
          </cell>
          <cell r="C1831">
            <v>374653.07</v>
          </cell>
          <cell r="D1831">
            <v>335737.4</v>
          </cell>
          <cell r="E1831">
            <v>6201</v>
          </cell>
        </row>
        <row r="1832">
          <cell r="A1832" t="str">
            <v>72400000-40001000-00000000</v>
          </cell>
          <cell r="B1832" t="str">
            <v>COSTOS/GASTOS VAR MKT GRAL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</row>
        <row r="1833">
          <cell r="A1833" t="str">
            <v>72400000-40002000-00000000</v>
          </cell>
          <cell r="B1833" t="str">
            <v>COSTOS/GASTOS VAR CAPACITACION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</row>
        <row r="1834">
          <cell r="A1834" t="str">
            <v>72400000-40003000-00000000</v>
          </cell>
          <cell r="B1834" t="str">
            <v>COSTOS/GASTOS VAR PUB Y MKT</v>
          </cell>
          <cell r="C1834">
            <v>374653.07</v>
          </cell>
          <cell r="D1834">
            <v>335737.4</v>
          </cell>
          <cell r="E1834">
            <v>6201</v>
          </cell>
          <cell r="F1834">
            <v>704189.47</v>
          </cell>
        </row>
        <row r="1835">
          <cell r="A1835" t="str">
            <v>72400000-40003000-24010000</v>
          </cell>
          <cell r="B1835" t="str">
            <v>MATERIAL DE APOYO</v>
          </cell>
          <cell r="C1835">
            <v>1431.4</v>
          </cell>
          <cell r="D1835">
            <v>0</v>
          </cell>
          <cell r="E1835">
            <v>0</v>
          </cell>
          <cell r="F1835">
            <v>1431.4</v>
          </cell>
        </row>
        <row r="1836">
          <cell r="A1836" t="str">
            <v>72400000-40003000-27010000</v>
          </cell>
          <cell r="B1836" t="str">
            <v>EXPOSICIONES Y EVENTOS PROFESI</v>
          </cell>
          <cell r="C1836">
            <v>123374.97</v>
          </cell>
          <cell r="D1836">
            <v>10650.86</v>
          </cell>
          <cell r="E1836">
            <v>0</v>
          </cell>
          <cell r="F1836">
            <v>134025.82999999999</v>
          </cell>
        </row>
        <row r="1837">
          <cell r="A1837" t="str">
            <v>72400000-40003000-27020000</v>
          </cell>
          <cell r="B1837" t="str">
            <v>PUBLICIDAD REVISTAS Y PERIODIC</v>
          </cell>
          <cell r="C1837">
            <v>0</v>
          </cell>
          <cell r="D1837">
            <v>121580</v>
          </cell>
          <cell r="E1837">
            <v>0</v>
          </cell>
          <cell r="F1837">
            <v>121580</v>
          </cell>
        </row>
        <row r="1838">
          <cell r="A1838" t="str">
            <v>72400000-40003000-27050000</v>
          </cell>
          <cell r="B1838" t="str">
            <v>ROTULACION DE VEHICULOS</v>
          </cell>
          <cell r="C1838">
            <v>10300</v>
          </cell>
          <cell r="D1838">
            <v>2800</v>
          </cell>
          <cell r="E1838">
            <v>0</v>
          </cell>
          <cell r="F1838">
            <v>13100</v>
          </cell>
        </row>
        <row r="1839">
          <cell r="A1839" t="str">
            <v>72400000-40003000-27060000</v>
          </cell>
          <cell r="B1839" t="str">
            <v>ROTULACION MANTAS</v>
          </cell>
          <cell r="C1839">
            <v>300</v>
          </cell>
          <cell r="D1839">
            <v>515</v>
          </cell>
          <cell r="E1839">
            <v>0</v>
          </cell>
          <cell r="F1839">
            <v>815</v>
          </cell>
        </row>
        <row r="1840">
          <cell r="A1840" t="str">
            <v>72400000-40003000-27070000</v>
          </cell>
          <cell r="B1840" t="str">
            <v>ARTICULOS PROMOCIONALES</v>
          </cell>
          <cell r="C1840">
            <v>68179.73</v>
          </cell>
          <cell r="D1840">
            <v>111454.86</v>
          </cell>
          <cell r="E1840">
            <v>4476.8599999999997</v>
          </cell>
          <cell r="F1840">
            <v>175157.73</v>
          </cell>
        </row>
        <row r="1841">
          <cell r="A1841" t="str">
            <v>72400000-40003000-27080000</v>
          </cell>
          <cell r="B1841" t="str">
            <v>FOLLETERIA CARTA DE COLORES</v>
          </cell>
          <cell r="C1841">
            <v>108905</v>
          </cell>
          <cell r="D1841">
            <v>17300</v>
          </cell>
          <cell r="E1841">
            <v>0</v>
          </cell>
          <cell r="F1841">
            <v>126205</v>
          </cell>
        </row>
        <row r="1842">
          <cell r="A1842" t="str">
            <v>72400000-40003000-27100000</v>
          </cell>
          <cell r="B1842" t="str">
            <v>MUESTRAS</v>
          </cell>
          <cell r="C1842">
            <v>0</v>
          </cell>
          <cell r="D1842">
            <v>5570.88</v>
          </cell>
          <cell r="E1842">
            <v>0</v>
          </cell>
          <cell r="F1842">
            <v>5570.88</v>
          </cell>
        </row>
        <row r="1843">
          <cell r="A1843" t="str">
            <v>72400000-40003000-27120000</v>
          </cell>
          <cell r="B1843" t="str">
            <v>AGENCIAS PUBLICITARIAS</v>
          </cell>
          <cell r="C1843">
            <v>40000</v>
          </cell>
          <cell r="D1843">
            <v>47666.66</v>
          </cell>
          <cell r="E1843">
            <v>0</v>
          </cell>
          <cell r="F1843">
            <v>87666.66</v>
          </cell>
        </row>
        <row r="1844">
          <cell r="A1844" t="str">
            <v>72400000-40003000-27180000</v>
          </cell>
          <cell r="B1844" t="str">
            <v>REMODELA DISEÑO</v>
          </cell>
          <cell r="C1844">
            <v>6465.52</v>
          </cell>
          <cell r="D1844">
            <v>7100</v>
          </cell>
          <cell r="E1844">
            <v>0</v>
          </cell>
          <cell r="F1844">
            <v>13565.52</v>
          </cell>
        </row>
        <row r="1845">
          <cell r="A1845" t="str">
            <v>72400000-40003000-27190000</v>
          </cell>
          <cell r="B1845" t="str">
            <v>REMODELA ROTULACION</v>
          </cell>
          <cell r="C1845">
            <v>5119.2</v>
          </cell>
          <cell r="D1845">
            <v>0</v>
          </cell>
          <cell r="E1845">
            <v>0</v>
          </cell>
          <cell r="F1845">
            <v>5119.2</v>
          </cell>
        </row>
        <row r="1846">
          <cell r="A1846" t="str">
            <v>72400000-40003000-27200000</v>
          </cell>
          <cell r="B1846" t="str">
            <v>EXPOSICIONES CON DISTRIBUIDOR</v>
          </cell>
          <cell r="C1846">
            <v>6642.25</v>
          </cell>
          <cell r="D1846">
            <v>1724.14</v>
          </cell>
          <cell r="E1846">
            <v>1724.14</v>
          </cell>
          <cell r="F1846">
            <v>6642.25</v>
          </cell>
        </row>
        <row r="1847">
          <cell r="A1847" t="str">
            <v>72400000-40003000-27210000</v>
          </cell>
          <cell r="B1847" t="str">
            <v>PUBLICIDAD CON DISTRIBUIDORES</v>
          </cell>
          <cell r="C1847">
            <v>3935</v>
          </cell>
          <cell r="D1847">
            <v>9375</v>
          </cell>
          <cell r="E1847">
            <v>0</v>
          </cell>
          <cell r="F1847">
            <v>13310</v>
          </cell>
        </row>
        <row r="1848">
          <cell r="A1848" t="str">
            <v>72400000-40004000-00000000</v>
          </cell>
          <cell r="B1848" t="str">
            <v>COSTOS/GASTOS VAR EXPORT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</row>
        <row r="1849">
          <cell r="A1849" t="str">
            <v>72400000-40005000-00000000</v>
          </cell>
          <cell r="B1849" t="str">
            <v>COSTOS/GASTOS FIJOS ESPECIFIC.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</row>
        <row r="1850">
          <cell r="A1850" t="str">
            <v>72400000-40013000-00000000</v>
          </cell>
          <cell r="B1850" t="str">
            <v>COSTOS/GASTOS VAR CANCUN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</row>
        <row r="1851">
          <cell r="A1851" t="str">
            <v>72500000-00000000-00000000</v>
          </cell>
          <cell r="B1851" t="str">
            <v>COSTOS/GASTOS VAR EXPORTACION</v>
          </cell>
          <cell r="C1851">
            <v>83533.59</v>
          </cell>
          <cell r="D1851">
            <v>33656.79</v>
          </cell>
          <cell r="E1851">
            <v>13029.49</v>
          </cell>
          <cell r="F1851">
            <v>104160.89</v>
          </cell>
        </row>
        <row r="1852">
          <cell r="F1852">
            <v>104160.89</v>
          </cell>
        </row>
        <row r="1853">
          <cell r="A1853" t="str">
            <v>72500000-20000000-00000000</v>
          </cell>
          <cell r="C1853">
            <v>0</v>
          </cell>
          <cell r="D1853">
            <v>0</v>
          </cell>
          <cell r="E1853">
            <v>0</v>
          </cell>
        </row>
        <row r="1854">
          <cell r="A1854" t="str">
            <v>72500000-20001000-00000000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</row>
        <row r="1855">
          <cell r="A1855" t="str">
            <v>72500000-50000000-00000000</v>
          </cell>
          <cell r="B1855" t="str">
            <v>COSTOS/GASTOS VAR EXPORTACION</v>
          </cell>
          <cell r="C1855">
            <v>83533.59</v>
          </cell>
          <cell r="D1855">
            <v>33656.79</v>
          </cell>
          <cell r="E1855">
            <v>13029.49</v>
          </cell>
        </row>
        <row r="1856">
          <cell r="A1856" t="str">
            <v>72500000-50001000-00000000</v>
          </cell>
          <cell r="B1856" t="str">
            <v>COSTOS/GASTOS VAR ESPORT</v>
          </cell>
          <cell r="C1856">
            <v>83533.59</v>
          </cell>
          <cell r="D1856">
            <v>33656.79</v>
          </cell>
          <cell r="E1856">
            <v>13029.49</v>
          </cell>
          <cell r="F1856">
            <v>104160.89</v>
          </cell>
        </row>
        <row r="1857">
          <cell r="A1857" t="str">
            <v>72500000-50001000-22050000</v>
          </cell>
          <cell r="B1857" t="str">
            <v>COMISIONES Y ASESORIAS EXTERNA</v>
          </cell>
          <cell r="C1857">
            <v>83533.59</v>
          </cell>
          <cell r="D1857">
            <v>33656.79</v>
          </cell>
          <cell r="E1857">
            <v>13029.49</v>
          </cell>
          <cell r="F1857">
            <v>104160.89</v>
          </cell>
        </row>
        <row r="1858">
          <cell r="A1858" t="str">
            <v>80000000-00000000-00000000</v>
          </cell>
          <cell r="C1858">
            <v>222892.86</v>
          </cell>
          <cell r="D1858">
            <v>93987.48</v>
          </cell>
          <cell r="E1858">
            <v>117.07</v>
          </cell>
          <cell r="F1858">
            <v>316763.27</v>
          </cell>
        </row>
        <row r="1859">
          <cell r="B1859" t="str">
            <v>DEPRECIACIONES Y AMORTIZACIONE</v>
          </cell>
        </row>
        <row r="1866">
          <cell r="A1866" t="str">
            <v>80000000-00000000-00000000</v>
          </cell>
          <cell r="B1866" t="str">
            <v>DEPRECIACIONES Y AMORTIZACIONE</v>
          </cell>
          <cell r="C1866">
            <v>222892.86</v>
          </cell>
          <cell r="D1866">
            <v>93987.48</v>
          </cell>
          <cell r="E1866">
            <v>117.07</v>
          </cell>
          <cell r="F1866">
            <v>316763.27</v>
          </cell>
        </row>
        <row r="1869">
          <cell r="A1869" t="str">
            <v>80100000-00000000-00000000</v>
          </cell>
          <cell r="B1869" t="str">
            <v>DEPRECIACIONES Y AMORTIZACIONE</v>
          </cell>
          <cell r="C1869">
            <v>222892.86</v>
          </cell>
          <cell r="D1869">
            <v>93987.48</v>
          </cell>
          <cell r="E1869">
            <v>117.07</v>
          </cell>
          <cell r="F1869">
            <v>316763.27</v>
          </cell>
        </row>
        <row r="1870">
          <cell r="F1870">
            <v>316763.27</v>
          </cell>
        </row>
        <row r="1871">
          <cell r="A1871" t="str">
            <v>80100000-00100000-00000000</v>
          </cell>
          <cell r="B1871" t="str">
            <v>DEPRECIACIONES Y AMORTIZACIONE</v>
          </cell>
          <cell r="C1871">
            <v>222892.86</v>
          </cell>
          <cell r="D1871">
            <v>93987.48</v>
          </cell>
          <cell r="E1871">
            <v>117.07</v>
          </cell>
        </row>
        <row r="1872">
          <cell r="A1872" t="str">
            <v>80100000-00101000-00000000</v>
          </cell>
          <cell r="B1872" t="str">
            <v>DEPRECIACIONES Y AMORTIZACIONE</v>
          </cell>
          <cell r="C1872">
            <v>222892.86</v>
          </cell>
          <cell r="D1872">
            <v>93987.48</v>
          </cell>
          <cell r="E1872">
            <v>117.07</v>
          </cell>
          <cell r="F1872">
            <v>316763.27</v>
          </cell>
        </row>
        <row r="1873">
          <cell r="A1873" t="str">
            <v>80100000-00101000-00010000</v>
          </cell>
          <cell r="B1873" t="str">
            <v>DEPRECIACION EQUIPO DE COMPUTO</v>
          </cell>
          <cell r="C1873">
            <v>58919.48</v>
          </cell>
          <cell r="D1873">
            <v>20546.75</v>
          </cell>
          <cell r="E1873">
            <v>0</v>
          </cell>
          <cell r="F1873">
            <v>79466.23</v>
          </cell>
        </row>
        <row r="1874">
          <cell r="A1874" t="str">
            <v>80100000-00101000-00020000</v>
          </cell>
          <cell r="B1874" t="str">
            <v>DEPRECIACION EQUIPO DE TRANSPO</v>
          </cell>
          <cell r="C1874">
            <v>47937.26</v>
          </cell>
          <cell r="D1874">
            <v>17490.03</v>
          </cell>
          <cell r="E1874">
            <v>0</v>
          </cell>
          <cell r="F1874">
            <v>65427.29</v>
          </cell>
        </row>
        <row r="1875">
          <cell r="A1875" t="str">
            <v>80100000-00101000-00030000</v>
          </cell>
          <cell r="B1875" t="str">
            <v>DEPRECIACION MAQUINARIA Y EQUI</v>
          </cell>
          <cell r="C1875">
            <v>66708.179999999993</v>
          </cell>
          <cell r="D1875">
            <v>31835.42</v>
          </cell>
          <cell r="E1875">
            <v>0</v>
          </cell>
          <cell r="F1875">
            <v>98543.6</v>
          </cell>
        </row>
        <row r="1876">
          <cell r="A1876" t="str">
            <v>80100000-00101000-00040000</v>
          </cell>
          <cell r="B1876" t="str">
            <v>DEPRECIACION MOBILIARIO Y EQUI</v>
          </cell>
          <cell r="C1876">
            <v>12578.18</v>
          </cell>
          <cell r="D1876">
            <v>7067.2</v>
          </cell>
          <cell r="E1876">
            <v>0</v>
          </cell>
          <cell r="F1876">
            <v>19645.38</v>
          </cell>
        </row>
        <row r="1877">
          <cell r="A1877" t="str">
            <v>80100000-00101000-00050000</v>
          </cell>
          <cell r="B1877" t="str">
            <v>DEPRECIACION EDIFICIO Y CONSTR</v>
          </cell>
          <cell r="C1877">
            <v>34096.160000000003</v>
          </cell>
          <cell r="D1877">
            <v>17048.080000000002</v>
          </cell>
          <cell r="E1877">
            <v>0</v>
          </cell>
          <cell r="F1877">
            <v>51144.24</v>
          </cell>
        </row>
        <row r="1878">
          <cell r="A1878" t="str">
            <v>80100000-00101000-00060000</v>
          </cell>
          <cell r="B1878" t="str">
            <v>AMORTIZACION MEJORAS A LOCALES</v>
          </cell>
          <cell r="C1878">
            <v>2653.6</v>
          </cell>
          <cell r="D1878">
            <v>0</v>
          </cell>
          <cell r="E1878">
            <v>117.07</v>
          </cell>
          <cell r="F1878">
            <v>2536.5300000000002</v>
          </cell>
        </row>
        <row r="1879">
          <cell r="A1879" t="str">
            <v>80100000-00102000-00000000</v>
          </cell>
          <cell r="B1879" t="str">
            <v>APLICACION A PRODUCTOS FABRICA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</row>
        <row r="1880">
          <cell r="A1880" t="str">
            <v>80200000-00000000-00000000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</row>
        <row r="1881">
          <cell r="F1881">
            <v>0</v>
          </cell>
        </row>
        <row r="1882">
          <cell r="A1882" t="str">
            <v>80200000-00100000-00000000</v>
          </cell>
          <cell r="C1882">
            <v>0</v>
          </cell>
          <cell r="D1882">
            <v>0</v>
          </cell>
          <cell r="E1882">
            <v>0</v>
          </cell>
        </row>
        <row r="1883">
          <cell r="A1883" t="str">
            <v>80200000-00199000-00000000</v>
          </cell>
          <cell r="B1883" t="str">
            <v>APLICACIàN CIERRE DEL EJERCICI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</row>
        <row r="1884">
          <cell r="A1884" t="str">
            <v>90000000-00000000-00000000</v>
          </cell>
          <cell r="C1884">
            <v>528560.41</v>
          </cell>
          <cell r="D1884">
            <v>1865813.53</v>
          </cell>
          <cell r="E1884">
            <v>1364607.58</v>
          </cell>
          <cell r="F1884">
            <v>1029766.36</v>
          </cell>
        </row>
        <row r="1885">
          <cell r="B1885" t="str">
            <v>PROD/GTS FINAN Y OTROS ING/EGR</v>
          </cell>
        </row>
        <row r="1892">
          <cell r="B1892" t="str">
            <v>OTROS PRODUCTOS Y GASTOS</v>
          </cell>
        </row>
        <row r="1899">
          <cell r="A1899" t="str">
            <v>90000000-00000000-00000000</v>
          </cell>
          <cell r="B1899" t="str">
            <v>PROD/GTS FINAN Y OTROS ING/EGR</v>
          </cell>
          <cell r="C1899">
            <v>128160.41</v>
          </cell>
          <cell r="D1899">
            <v>572279.29</v>
          </cell>
          <cell r="E1899">
            <v>465675.34</v>
          </cell>
          <cell r="F1899">
            <v>234764.36</v>
          </cell>
        </row>
        <row r="1902">
          <cell r="A1902" t="str">
            <v>90000000-00000000-00000000</v>
          </cell>
          <cell r="B1902" t="str">
            <v>PROD/GTS FINAN Y OTROS ING/EGR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</row>
        <row r="1903">
          <cell r="F1903">
            <v>0</v>
          </cell>
        </row>
        <row r="1904">
          <cell r="A1904" t="str">
            <v>90000000-00000000-00000000</v>
          </cell>
          <cell r="B1904" t="str">
            <v>PROD/GTS FINAN Y OTROS ING/EGR</v>
          </cell>
          <cell r="C1904">
            <v>0</v>
          </cell>
          <cell r="D1904">
            <v>0</v>
          </cell>
          <cell r="E1904">
            <v>0</v>
          </cell>
        </row>
        <row r="1905">
          <cell r="A1905" t="str">
            <v>90000000-00000000-00000000</v>
          </cell>
          <cell r="B1905" t="str">
            <v>PROD/GTS FINAN Y OTROS ING/EGR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</row>
        <row r="1906">
          <cell r="A1906" t="str">
            <v>90100000-00000000-00000000</v>
          </cell>
          <cell r="B1906" t="str">
            <v>PRODUCTOS FINANCIEROS</v>
          </cell>
          <cell r="C1906">
            <v>-367335.47</v>
          </cell>
          <cell r="D1906">
            <v>42769.919999999998</v>
          </cell>
          <cell r="E1906">
            <v>323033.2</v>
          </cell>
          <cell r="F1906">
            <v>-647598.75</v>
          </cell>
        </row>
        <row r="1907">
          <cell r="F1907">
            <v>-647598.75</v>
          </cell>
        </row>
        <row r="1908">
          <cell r="A1908" t="str">
            <v>90100000-00100000-00000000</v>
          </cell>
          <cell r="B1908" t="str">
            <v>PRODUCTOS FINANCIEROS</v>
          </cell>
          <cell r="C1908">
            <v>-367335.47</v>
          </cell>
          <cell r="D1908">
            <v>42769.919999999998</v>
          </cell>
          <cell r="E1908">
            <v>323033.2</v>
          </cell>
        </row>
        <row r="1909">
          <cell r="A1909" t="str">
            <v>90100000-00101000-00000000</v>
          </cell>
          <cell r="B1909" t="str">
            <v>PRODUCTOS FINANCIEROS</v>
          </cell>
          <cell r="C1909">
            <v>-367335.47</v>
          </cell>
          <cell r="D1909">
            <v>42769.919999999998</v>
          </cell>
          <cell r="E1909">
            <v>323033.2</v>
          </cell>
          <cell r="F1909">
            <v>-647598.75</v>
          </cell>
        </row>
        <row r="1910">
          <cell r="A1910" t="str">
            <v>90100000-00101000-00010000</v>
          </cell>
          <cell r="B1910" t="str">
            <v>INTERESES BANCARIOS GANADOS</v>
          </cell>
          <cell r="C1910">
            <v>-39291.370000000003</v>
          </cell>
          <cell r="D1910">
            <v>0</v>
          </cell>
          <cell r="E1910">
            <v>26892.59</v>
          </cell>
          <cell r="F1910">
            <v>-66183.960000000006</v>
          </cell>
        </row>
        <row r="1911">
          <cell r="A1911" t="str">
            <v>90100000-00101000-00020000</v>
          </cell>
          <cell r="B1911" t="str">
            <v>UTILIDAD EN CAMBIOS</v>
          </cell>
          <cell r="C1911">
            <v>-328044.09999999998</v>
          </cell>
          <cell r="D1911">
            <v>42769.919999999998</v>
          </cell>
          <cell r="E1911">
            <v>296140.61</v>
          </cell>
          <cell r="F1911">
            <v>-581414.79</v>
          </cell>
        </row>
        <row r="1912">
          <cell r="A1912" t="str">
            <v>90200000-00000000-00000000</v>
          </cell>
          <cell r="B1912" t="str">
            <v>GASTOS FINANCIEROS</v>
          </cell>
          <cell r="C1912">
            <v>311886.81</v>
          </cell>
          <cell r="D1912">
            <v>493449.74</v>
          </cell>
          <cell r="E1912">
            <v>107433.12</v>
          </cell>
          <cell r="F1912">
            <v>697903.43</v>
          </cell>
        </row>
        <row r="1913">
          <cell r="F1913">
            <v>697903.43</v>
          </cell>
        </row>
        <row r="1914">
          <cell r="A1914" t="str">
            <v>90200000-00100000-00000000</v>
          </cell>
          <cell r="B1914" t="str">
            <v>GASTOS FINANCIEROS</v>
          </cell>
          <cell r="C1914">
            <v>311886.81</v>
          </cell>
          <cell r="D1914">
            <v>493449.74</v>
          </cell>
          <cell r="E1914">
            <v>107433.12</v>
          </cell>
        </row>
        <row r="1915">
          <cell r="A1915" t="str">
            <v>90200000-00102000-00000000</v>
          </cell>
          <cell r="B1915" t="str">
            <v>GASTOS FINANCIEROS</v>
          </cell>
          <cell r="C1915">
            <v>311886.81</v>
          </cell>
          <cell r="D1915">
            <v>493449.74</v>
          </cell>
          <cell r="E1915">
            <v>107433.12</v>
          </cell>
          <cell r="F1915">
            <v>697903.43</v>
          </cell>
        </row>
        <row r="1916">
          <cell r="A1916" t="str">
            <v>90200000-00102000-00010000</v>
          </cell>
          <cell r="B1916" t="str">
            <v>INTERESES BANCARIOS PAGADOS</v>
          </cell>
          <cell r="C1916">
            <v>1054.1099999999999</v>
          </cell>
          <cell r="D1916">
            <v>427.33</v>
          </cell>
          <cell r="E1916">
            <v>0</v>
          </cell>
          <cell r="F1916">
            <v>1481.44</v>
          </cell>
        </row>
        <row r="1917">
          <cell r="A1917" t="str">
            <v>90200000-00102000-00020000</v>
          </cell>
          <cell r="B1917" t="str">
            <v>INTERESES EMPRESAS DEL PAIS PA</v>
          </cell>
          <cell r="C1917">
            <v>0</v>
          </cell>
          <cell r="D1917">
            <v>123115.14</v>
          </cell>
          <cell r="E1917">
            <v>0</v>
          </cell>
          <cell r="F1917">
            <v>123115.14</v>
          </cell>
        </row>
        <row r="1918">
          <cell r="A1918" t="str">
            <v>90200000-00102000-00040000</v>
          </cell>
          <cell r="B1918" t="str">
            <v>COMISIONES BANCARIAS PAGADAS</v>
          </cell>
          <cell r="C1918">
            <v>32321.7</v>
          </cell>
          <cell r="D1918">
            <v>23142.19</v>
          </cell>
          <cell r="E1918">
            <v>0</v>
          </cell>
          <cell r="F1918">
            <v>55463.89</v>
          </cell>
        </row>
        <row r="1919">
          <cell r="A1919" t="str">
            <v>90200000-00102000-00050000</v>
          </cell>
          <cell r="B1919" t="str">
            <v>PERDIDA EN TIPO DE CAMBIO</v>
          </cell>
          <cell r="C1919">
            <v>278511</v>
          </cell>
          <cell r="D1919">
            <v>346765.08</v>
          </cell>
          <cell r="E1919">
            <v>107433.12</v>
          </cell>
          <cell r="F1919">
            <v>517842.96</v>
          </cell>
        </row>
        <row r="1920">
          <cell r="A1920" t="str">
            <v>90300000-00000000-00000000</v>
          </cell>
          <cell r="B1920" t="str">
            <v>OTROS INGRESOS</v>
          </cell>
          <cell r="C1920">
            <v>-88049.16</v>
          </cell>
          <cell r="D1920">
            <v>715.7</v>
          </cell>
          <cell r="E1920">
            <v>29110.02</v>
          </cell>
          <cell r="F1920">
            <v>-116443.48</v>
          </cell>
        </row>
        <row r="1921">
          <cell r="F1921">
            <v>-116443.48</v>
          </cell>
        </row>
        <row r="1922">
          <cell r="A1922" t="str">
            <v>90300000-00100000-00000000</v>
          </cell>
          <cell r="B1922" t="str">
            <v>OTROS INGRESOS</v>
          </cell>
          <cell r="C1922">
            <v>-88049.16</v>
          </cell>
          <cell r="D1922">
            <v>715.7</v>
          </cell>
          <cell r="E1922">
            <v>29110.02</v>
          </cell>
        </row>
        <row r="1923">
          <cell r="A1923" t="str">
            <v>90300000-00103000-00000000</v>
          </cell>
          <cell r="B1923" t="str">
            <v>OTROS INGRESOS</v>
          </cell>
          <cell r="C1923">
            <v>-88049.16</v>
          </cell>
          <cell r="D1923">
            <v>715.7</v>
          </cell>
          <cell r="E1923">
            <v>29110.02</v>
          </cell>
          <cell r="F1923">
            <v>-116443.48</v>
          </cell>
        </row>
        <row r="1924">
          <cell r="A1924" t="str">
            <v>90300000-00103000-00030000</v>
          </cell>
          <cell r="B1924" t="str">
            <v>OTROS PRODUCTOS DIVERSOS</v>
          </cell>
          <cell r="C1924">
            <v>-70657.86</v>
          </cell>
          <cell r="D1924">
            <v>715.7</v>
          </cell>
          <cell r="E1924">
            <v>3247.95</v>
          </cell>
          <cell r="F1924">
            <v>-73190.11</v>
          </cell>
        </row>
        <row r="1925">
          <cell r="A1925" t="str">
            <v>90300000-00103000-00050000</v>
          </cell>
          <cell r="B1925" t="str">
            <v>CUENTAS INCOBRABLES NO ACUMULA</v>
          </cell>
          <cell r="C1925">
            <v>-17391.3</v>
          </cell>
          <cell r="D1925">
            <v>0</v>
          </cell>
          <cell r="E1925">
            <v>25862.07</v>
          </cell>
          <cell r="F1925">
            <v>-43253.37</v>
          </cell>
        </row>
        <row r="1926">
          <cell r="A1926" t="str">
            <v>90300000-00104000-00000000</v>
          </cell>
          <cell r="B1926" t="str">
            <v>OTROS EGRESOS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</row>
        <row r="1927">
          <cell r="A1927" t="str">
            <v>90400000-00000000-00000000</v>
          </cell>
          <cell r="B1927" t="str">
            <v>OTROS EGRESOS</v>
          </cell>
          <cell r="C1927">
            <v>271658.23</v>
          </cell>
          <cell r="D1927">
            <v>35343.93</v>
          </cell>
          <cell r="E1927">
            <v>6099</v>
          </cell>
          <cell r="F1927">
            <v>300903.15999999997</v>
          </cell>
        </row>
        <row r="1928">
          <cell r="F1928">
            <v>300903.15999999997</v>
          </cell>
        </row>
        <row r="1929">
          <cell r="A1929" t="str">
            <v>90400000-00100000-00000000</v>
          </cell>
          <cell r="B1929" t="str">
            <v>OTROS EGRESOS</v>
          </cell>
          <cell r="C1929">
            <v>271658.23</v>
          </cell>
          <cell r="D1929">
            <v>35343.93</v>
          </cell>
          <cell r="E1929">
            <v>6099</v>
          </cell>
        </row>
        <row r="1930">
          <cell r="A1930" t="str">
            <v>90400000-00104000-00000000</v>
          </cell>
          <cell r="B1930" t="str">
            <v>OTROS EGRESOS</v>
          </cell>
          <cell r="C1930">
            <v>271658.23</v>
          </cell>
          <cell r="D1930">
            <v>35343.93</v>
          </cell>
          <cell r="E1930">
            <v>6099</v>
          </cell>
          <cell r="F1930">
            <v>300903.15999999997</v>
          </cell>
        </row>
        <row r="1931">
          <cell r="A1931" t="str">
            <v>90400000-00104000-00010000</v>
          </cell>
          <cell r="B1931" t="str">
            <v>COSTO DE VENTA DE ACTIVO FIJO</v>
          </cell>
          <cell r="C1931">
            <v>501.55</v>
          </cell>
          <cell r="D1931">
            <v>478.2</v>
          </cell>
          <cell r="E1931">
            <v>0</v>
          </cell>
          <cell r="F1931">
            <v>979.75</v>
          </cell>
        </row>
        <row r="1932">
          <cell r="A1932" t="str">
            <v>90400000-00104000-00030000</v>
          </cell>
          <cell r="B1932" t="str">
            <v>OTROS EGRESOS DIVERSOS</v>
          </cell>
          <cell r="C1932">
            <v>40.799999999999997</v>
          </cell>
          <cell r="D1932">
            <v>1.5</v>
          </cell>
          <cell r="E1932">
            <v>0</v>
          </cell>
          <cell r="F1932">
            <v>42.3</v>
          </cell>
        </row>
        <row r="1933">
          <cell r="A1933" t="str">
            <v>90400000-00104000-00040000</v>
          </cell>
          <cell r="B1933" t="str">
            <v>I.V.A. ACREDITABLE</v>
          </cell>
          <cell r="C1933">
            <v>16238</v>
          </cell>
          <cell r="D1933">
            <v>0</v>
          </cell>
          <cell r="E1933">
            <v>6099</v>
          </cell>
          <cell r="F1933">
            <v>10139</v>
          </cell>
        </row>
        <row r="1934">
          <cell r="A1934" t="str">
            <v>90400000-00104000-00060000</v>
          </cell>
          <cell r="B1934" t="str">
            <v>RECARGOS</v>
          </cell>
          <cell r="C1934">
            <v>0</v>
          </cell>
          <cell r="D1934">
            <v>10642</v>
          </cell>
          <cell r="E1934">
            <v>0</v>
          </cell>
          <cell r="F1934">
            <v>10642</v>
          </cell>
        </row>
        <row r="1935">
          <cell r="A1935" t="str">
            <v>90400000-00104000-00070000</v>
          </cell>
          <cell r="B1935" t="str">
            <v>ACTUALIZACION DE IMPUESTOS</v>
          </cell>
          <cell r="C1935">
            <v>0</v>
          </cell>
          <cell r="D1935">
            <v>2999</v>
          </cell>
          <cell r="E1935">
            <v>0</v>
          </cell>
          <cell r="F1935">
            <v>2999</v>
          </cell>
        </row>
        <row r="1936">
          <cell r="A1936" t="str">
            <v>90400000-00104000-00090000</v>
          </cell>
          <cell r="B1936" t="str">
            <v>O. VARIAS</v>
          </cell>
          <cell r="C1936">
            <v>80376</v>
          </cell>
          <cell r="D1936">
            <v>21223.23</v>
          </cell>
          <cell r="E1936">
            <v>0</v>
          </cell>
          <cell r="F1936">
            <v>101599.23</v>
          </cell>
        </row>
        <row r="1937">
          <cell r="A1937" t="str">
            <v>90400000-00104000-00160000</v>
          </cell>
          <cell r="B1937" t="str">
            <v>GASTOS DE EXPORTACION</v>
          </cell>
          <cell r="C1937">
            <v>174501.88</v>
          </cell>
          <cell r="D1937">
            <v>0</v>
          </cell>
          <cell r="E1937">
            <v>0</v>
          </cell>
          <cell r="F1937">
            <v>174501.88</v>
          </cell>
        </row>
        <row r="1938">
          <cell r="A1938" t="str">
            <v>90400000-00105000-00000000</v>
          </cell>
          <cell r="B1938" t="str">
            <v>APLICACIàN CIERRE DEL EJERCICI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</row>
        <row r="1939">
          <cell r="A1939" t="str">
            <v>95000000-00000000-00000000</v>
          </cell>
          <cell r="B1939" t="str">
            <v>PROVISIONES</v>
          </cell>
          <cell r="C1939">
            <v>400400</v>
          </cell>
          <cell r="D1939">
            <v>394610</v>
          </cell>
          <cell r="E1939">
            <v>8</v>
          </cell>
          <cell r="F1939">
            <v>795002</v>
          </cell>
        </row>
        <row r="1942">
          <cell r="A1942" t="str">
            <v>95100000-00000000-00000000</v>
          </cell>
          <cell r="B1942" t="str">
            <v>PROVISIONES PARA I.S.R./I.A.</v>
          </cell>
          <cell r="C1942">
            <v>317414</v>
          </cell>
          <cell r="D1942">
            <v>367994</v>
          </cell>
          <cell r="E1942">
            <v>8</v>
          </cell>
          <cell r="F1942">
            <v>685400</v>
          </cell>
        </row>
        <row r="1943">
          <cell r="F1943">
            <v>685400</v>
          </cell>
        </row>
        <row r="1944">
          <cell r="A1944" t="str">
            <v>95100000-00100000-00000000</v>
          </cell>
          <cell r="B1944" t="str">
            <v>PROV PARA I.S.R. I.A. I.E.T.U.</v>
          </cell>
          <cell r="C1944">
            <v>317414</v>
          </cell>
          <cell r="D1944">
            <v>367994</v>
          </cell>
          <cell r="E1944">
            <v>8</v>
          </cell>
        </row>
        <row r="1945">
          <cell r="A1945" t="str">
            <v>95100000-00101000-00000000</v>
          </cell>
          <cell r="B1945" t="str">
            <v>PROV PARA I.S.R. I.A. I.E.T.U.</v>
          </cell>
          <cell r="C1945">
            <v>317414</v>
          </cell>
          <cell r="D1945">
            <v>367994</v>
          </cell>
          <cell r="E1945">
            <v>8</v>
          </cell>
          <cell r="F1945">
            <v>685400</v>
          </cell>
        </row>
        <row r="1946">
          <cell r="A1946" t="str">
            <v>95100000-00101000-00010000</v>
          </cell>
          <cell r="B1946" t="str">
            <v>PROVISION I.S.R.</v>
          </cell>
          <cell r="C1946">
            <v>287653</v>
          </cell>
          <cell r="D1946">
            <v>99195</v>
          </cell>
          <cell r="E1946">
            <v>0</v>
          </cell>
          <cell r="F1946">
            <v>386848</v>
          </cell>
        </row>
        <row r="1947">
          <cell r="A1947" t="str">
            <v>95100000-00101000-00040000</v>
          </cell>
          <cell r="B1947" t="str">
            <v>PROVISION I.E.T.U.</v>
          </cell>
          <cell r="C1947">
            <v>29761</v>
          </cell>
          <cell r="D1947">
            <v>268799</v>
          </cell>
          <cell r="E1947">
            <v>8</v>
          </cell>
          <cell r="F1947">
            <v>298552</v>
          </cell>
        </row>
        <row r="1948">
          <cell r="A1948" t="str">
            <v>95200000-00000000-00000000</v>
          </cell>
          <cell r="B1948" t="str">
            <v>PROVISIONES PARA P.T.U.</v>
          </cell>
          <cell r="C1948">
            <v>82986</v>
          </cell>
          <cell r="D1948">
            <v>26616</v>
          </cell>
          <cell r="E1948">
            <v>0</v>
          </cell>
          <cell r="F1948">
            <v>109602</v>
          </cell>
        </row>
        <row r="1949">
          <cell r="F1949">
            <v>109602</v>
          </cell>
        </row>
        <row r="1950">
          <cell r="A1950" t="str">
            <v>95200000-00100000-00000000</v>
          </cell>
          <cell r="B1950" t="str">
            <v>PROVISIONES PARA P.T.U.</v>
          </cell>
          <cell r="C1950">
            <v>82986</v>
          </cell>
          <cell r="D1950">
            <v>26616</v>
          </cell>
          <cell r="E1950">
            <v>0</v>
          </cell>
        </row>
        <row r="1951">
          <cell r="A1951" t="str">
            <v>95200000-00102000-00000000</v>
          </cell>
          <cell r="B1951" t="str">
            <v>PROVISION PARA P.T.U.</v>
          </cell>
          <cell r="C1951">
            <v>82986</v>
          </cell>
          <cell r="D1951">
            <v>26616</v>
          </cell>
          <cell r="E1951">
            <v>0</v>
          </cell>
          <cell r="F1951">
            <v>109602</v>
          </cell>
        </row>
        <row r="1952">
          <cell r="A1952" t="str">
            <v>95200000-00102000-00010000</v>
          </cell>
          <cell r="B1952" t="str">
            <v>PROVISION P.T.U.</v>
          </cell>
          <cell r="C1952">
            <v>82986</v>
          </cell>
          <cell r="D1952">
            <v>26616</v>
          </cell>
          <cell r="E1952">
            <v>0</v>
          </cell>
          <cell r="F1952">
            <v>109602</v>
          </cell>
        </row>
        <row r="1953">
          <cell r="A1953" t="str">
            <v>95300000-00000000-00000000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</row>
        <row r="1954">
          <cell r="F1954">
            <v>0</v>
          </cell>
        </row>
        <row r="1955">
          <cell r="A1955" t="str">
            <v>95300000-00100000-00000000</v>
          </cell>
          <cell r="C1955">
            <v>0</v>
          </cell>
          <cell r="D1955">
            <v>0</v>
          </cell>
          <cell r="E1955">
            <v>0</v>
          </cell>
        </row>
        <row r="1956">
          <cell r="A1956" t="str">
            <v>95300000-00199000-00000000</v>
          </cell>
          <cell r="B1956" t="str">
            <v>APLICACIàN CIERRE DEL EJERCICI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</row>
        <row r="1957">
          <cell r="A1957" t="str">
            <v>96000000-00000000-00000000</v>
          </cell>
          <cell r="B1957" t="str">
            <v>ACTUALIZACION BOLETIN B-10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</row>
        <row r="1960">
          <cell r="A1960" t="str">
            <v>96000000-00000000-00000000</v>
          </cell>
          <cell r="B1960" t="str">
            <v>ACTUALIZACION BOLETIN B-10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</row>
        <row r="1961">
          <cell r="F1961">
            <v>0</v>
          </cell>
        </row>
        <row r="1962">
          <cell r="A1962" t="str">
            <v>96000000-00000000-00000000</v>
          </cell>
          <cell r="B1962" t="str">
            <v>ACTUALIZACION BOLETIN B-10</v>
          </cell>
          <cell r="C1962">
            <v>0</v>
          </cell>
          <cell r="D1962">
            <v>0</v>
          </cell>
          <cell r="E1962">
            <v>0</v>
          </cell>
        </row>
        <row r="1963">
          <cell r="A1963" t="str">
            <v>96000000-00000000-00000000</v>
          </cell>
          <cell r="B1963" t="str">
            <v>ACTUALIZACION BOLETIN B-10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</row>
        <row r="1964">
          <cell r="A1964" t="str">
            <v>96100000-00000000-00000000</v>
          </cell>
          <cell r="B1964" t="str">
            <v>RESULTADO POSICION MONETARIA O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</row>
        <row r="1965">
          <cell r="F1965">
            <v>0</v>
          </cell>
        </row>
        <row r="1966">
          <cell r="A1966" t="str">
            <v>96100000-00000000-00000000</v>
          </cell>
          <cell r="B1966" t="str">
            <v>RESULTADO POSICION MONETARIA O</v>
          </cell>
          <cell r="C1966">
            <v>0</v>
          </cell>
          <cell r="D1966">
            <v>0</v>
          </cell>
          <cell r="E1966">
            <v>0</v>
          </cell>
        </row>
        <row r="1967">
          <cell r="A1967" t="str">
            <v>96100000-00000000-00000000</v>
          </cell>
          <cell r="B1967" t="str">
            <v>RESULTADO POSICION MONETARIA O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</row>
        <row r="1968">
          <cell r="A1968" t="str">
            <v>96100000-00100000-00000000</v>
          </cell>
          <cell r="B1968" t="str">
            <v>RESULTADO POSICION MONETARIA O</v>
          </cell>
          <cell r="C1968">
            <v>0</v>
          </cell>
          <cell r="D1968">
            <v>0</v>
          </cell>
          <cell r="E1968">
            <v>0</v>
          </cell>
        </row>
        <row r="1969">
          <cell r="A1969" t="str">
            <v>96100000-00100000-00000000</v>
          </cell>
          <cell r="B1969" t="str">
            <v>RESULTADO POSICION MONETARIA O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</row>
        <row r="1970">
          <cell r="A1970" t="str">
            <v>96100000-00101000-00000000</v>
          </cell>
          <cell r="B1970" t="str">
            <v>RESULTADO POSICION MONETARIA O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</row>
        <row r="1971">
          <cell r="A1971" t="str">
            <v>96200000-00000000-00000000</v>
          </cell>
          <cell r="B1971" t="str">
            <v>ACTUALIZACION BOLETIN B-10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</row>
        <row r="1972">
          <cell r="F1972">
            <v>0</v>
          </cell>
        </row>
        <row r="1973">
          <cell r="A1973" t="str">
            <v>96200000-00000000-00000000</v>
          </cell>
          <cell r="B1973" t="str">
            <v>ACTUALIZACION BOLETIN B-10</v>
          </cell>
          <cell r="C1973">
            <v>0</v>
          </cell>
          <cell r="D1973">
            <v>0</v>
          </cell>
          <cell r="E1973">
            <v>0</v>
          </cell>
        </row>
        <row r="1974">
          <cell r="A1974" t="str">
            <v>96200000-00000000-00000000</v>
          </cell>
          <cell r="B1974" t="str">
            <v>ACTUALIZACION BOLETIN B-10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</row>
        <row r="1975">
          <cell r="A1975" t="str">
            <v>96200000-00100000-00000000</v>
          </cell>
          <cell r="B1975" t="str">
            <v>ACTUALIZACION BOLETIN B-10</v>
          </cell>
          <cell r="C1975">
            <v>0</v>
          </cell>
          <cell r="D1975">
            <v>0</v>
          </cell>
          <cell r="E1975">
            <v>0</v>
          </cell>
        </row>
        <row r="1976">
          <cell r="A1976" t="str">
            <v>96200000-00100000-00000000</v>
          </cell>
          <cell r="B1976" t="str">
            <v>ACTUALIZACION BOLETIN B-10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</row>
        <row r="1977">
          <cell r="A1977" t="str">
            <v>96200000-00102000-00000000</v>
          </cell>
          <cell r="B1977" t="str">
            <v>ACTUALIZACION BOLETIN B-10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</row>
        <row r="1978">
          <cell r="A1978" t="str">
            <v>96300000-00000000-00000000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</row>
        <row r="1979">
          <cell r="F1979">
            <v>0</v>
          </cell>
        </row>
        <row r="1980">
          <cell r="A1980" t="str">
            <v>96300000-00100000-00000000</v>
          </cell>
          <cell r="C1980">
            <v>0</v>
          </cell>
          <cell r="D1980">
            <v>0</v>
          </cell>
          <cell r="E1980">
            <v>0</v>
          </cell>
        </row>
        <row r="1981">
          <cell r="A1981" t="str">
            <v>96300000-00199000-00000000</v>
          </cell>
          <cell r="B1981" t="str">
            <v>APLICACION CIERRE DEL EJERCICI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</row>
        <row r="1982">
          <cell r="A1982" t="str">
            <v>97000000-00000000-00000000</v>
          </cell>
          <cell r="B1982" t="str">
            <v>PERDIDAS Y GANANCIAS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</row>
        <row r="1985">
          <cell r="A1985" t="str">
            <v>97100000-00000000-00000000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</row>
        <row r="1986">
          <cell r="F1986">
            <v>0</v>
          </cell>
        </row>
        <row r="1987">
          <cell r="A1987" t="str">
            <v>97100000-00100000-00000000</v>
          </cell>
          <cell r="C1987">
            <v>0</v>
          </cell>
          <cell r="D1987">
            <v>0</v>
          </cell>
          <cell r="E1987">
            <v>0</v>
          </cell>
        </row>
        <row r="1988">
          <cell r="A1988" t="str">
            <v>97100000-00101000-00000000</v>
          </cell>
          <cell r="B1988" t="str">
            <v>PERDIDAS Y GANANCIAS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</row>
        <row r="1989">
          <cell r="A1989" t="str">
            <v>97200000-00000000-00000000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</row>
        <row r="1990">
          <cell r="F1990">
            <v>0</v>
          </cell>
        </row>
        <row r="1991">
          <cell r="A1991" t="str">
            <v>97200000-00100000-00000000</v>
          </cell>
          <cell r="C1991">
            <v>0</v>
          </cell>
          <cell r="D1991">
            <v>0</v>
          </cell>
          <cell r="E1991">
            <v>0</v>
          </cell>
        </row>
        <row r="1992">
          <cell r="A1992" t="str">
            <v>97200000-00199000-00000000</v>
          </cell>
          <cell r="B1992" t="str">
            <v>APLICACION CIERRE DEL EJERCICI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</row>
        <row r="1993">
          <cell r="A1993" t="str">
            <v>99000000-00000000-00000000</v>
          </cell>
          <cell r="B1993" t="str">
            <v>OMISION</v>
          </cell>
          <cell r="C1993">
            <v>0</v>
          </cell>
          <cell r="D1993">
            <v>898924.24</v>
          </cell>
          <cell r="E1993">
            <v>898924.24</v>
          </cell>
          <cell r="F1993">
            <v>0</v>
          </cell>
        </row>
        <row r="1996">
          <cell r="A1996" t="str">
            <v>99900000-00000000-00000000</v>
          </cell>
          <cell r="B1996" t="str">
            <v>OMISION</v>
          </cell>
          <cell r="C1996">
            <v>0</v>
          </cell>
          <cell r="D1996">
            <v>898924.24</v>
          </cell>
          <cell r="E1996">
            <v>898924.24</v>
          </cell>
          <cell r="F1996">
            <v>0</v>
          </cell>
        </row>
        <row r="1997">
          <cell r="F1997">
            <v>0</v>
          </cell>
        </row>
        <row r="1998">
          <cell r="A1998" t="str">
            <v>99900000-99900000-00000000</v>
          </cell>
          <cell r="B1998" t="str">
            <v>OMISION</v>
          </cell>
          <cell r="C1998">
            <v>0</v>
          </cell>
          <cell r="D1998">
            <v>898924.24</v>
          </cell>
          <cell r="E1998">
            <v>898924.24</v>
          </cell>
        </row>
        <row r="1999">
          <cell r="A1999" t="str">
            <v>99900000-99999000-00000000</v>
          </cell>
          <cell r="C1999">
            <v>0</v>
          </cell>
          <cell r="D1999">
            <v>898924.24</v>
          </cell>
          <cell r="E1999">
            <v>898924.24</v>
          </cell>
          <cell r="F1999">
            <v>0</v>
          </cell>
        </row>
        <row r="2000">
          <cell r="A2000" t="str">
            <v>99900000-99999000-99990000</v>
          </cell>
          <cell r="B2000" t="str">
            <v>OMISION</v>
          </cell>
          <cell r="C2000">
            <v>0</v>
          </cell>
          <cell r="D2000">
            <v>898924.24</v>
          </cell>
          <cell r="E2000">
            <v>898924.24</v>
          </cell>
          <cell r="F2000">
            <v>0</v>
          </cell>
        </row>
      </sheetData>
      <sheetData sheetId="3">
        <row r="1344">
          <cell r="A1344" t="str">
            <v>71300000-00000000-00000000</v>
          </cell>
          <cell r="B1344" t="str">
            <v>COSTOS/GASTOS FIJOS VENTAS</v>
          </cell>
          <cell r="C1344">
            <v>1769872.14</v>
          </cell>
          <cell r="D1344">
            <v>655387.27</v>
          </cell>
          <cell r="E1344">
            <v>59273.22</v>
          </cell>
          <cell r="F1344">
            <v>2365986.19</v>
          </cell>
        </row>
        <row r="1345">
          <cell r="F1345">
            <v>2365986.19</v>
          </cell>
        </row>
        <row r="1346">
          <cell r="A1346" t="str">
            <v>71300000-30000000-00000000</v>
          </cell>
          <cell r="B1346" t="str">
            <v>COSTOS/GASTOS FIJOS VENTAS</v>
          </cell>
          <cell r="C1346">
            <v>1769872.14</v>
          </cell>
          <cell r="D1346">
            <v>655387.27</v>
          </cell>
          <cell r="E1346">
            <v>59273.22</v>
          </cell>
        </row>
        <row r="1347">
          <cell r="A1347" t="str">
            <v>71300000-30001000-00000000</v>
          </cell>
          <cell r="B1347" t="str">
            <v>COSTOS/GASTOS FIJOS VTAS NAL</v>
          </cell>
          <cell r="C1347">
            <v>593582.98</v>
          </cell>
          <cell r="D1347">
            <v>203741.61</v>
          </cell>
          <cell r="E1347">
            <v>519</v>
          </cell>
          <cell r="F1347">
            <v>796805.59</v>
          </cell>
        </row>
        <row r="1348">
          <cell r="A1348" t="str">
            <v>71300000-30001000-01010000</v>
          </cell>
          <cell r="B1348" t="str">
            <v>SUELDOS Y SALARIOS</v>
          </cell>
          <cell r="C1348">
            <v>57880</v>
          </cell>
          <cell r="D1348">
            <v>20400</v>
          </cell>
          <cell r="E1348">
            <v>0</v>
          </cell>
          <cell r="F1348">
            <v>78280</v>
          </cell>
        </row>
        <row r="1349">
          <cell r="A1349" t="str">
            <v>71300000-30001000-01030000</v>
          </cell>
          <cell r="B1349" t="str">
            <v>GRATIFICACIONES</v>
          </cell>
          <cell r="C1349">
            <v>1445</v>
          </cell>
          <cell r="D1349">
            <v>477</v>
          </cell>
          <cell r="E1349">
            <v>0</v>
          </cell>
          <cell r="F1349">
            <v>1922</v>
          </cell>
        </row>
        <row r="1350">
          <cell r="A1350" t="str">
            <v>71300000-30001000-01040000</v>
          </cell>
          <cell r="B1350" t="str">
            <v>VACACIONES</v>
          </cell>
          <cell r="C1350">
            <v>2720</v>
          </cell>
          <cell r="D1350">
            <v>0</v>
          </cell>
          <cell r="E1350">
            <v>0</v>
          </cell>
          <cell r="F1350">
            <v>2720</v>
          </cell>
        </row>
        <row r="1351">
          <cell r="A1351" t="str">
            <v>71300000-30001000-01050000</v>
          </cell>
          <cell r="B1351" t="str">
            <v>PRIMA VACACIONAL</v>
          </cell>
          <cell r="C1351">
            <v>1768</v>
          </cell>
          <cell r="D1351">
            <v>0</v>
          </cell>
          <cell r="E1351">
            <v>0</v>
          </cell>
          <cell r="F1351">
            <v>1768</v>
          </cell>
        </row>
        <row r="1352">
          <cell r="A1352" t="str">
            <v>71300000-30001000-03010000</v>
          </cell>
          <cell r="B1352" t="str">
            <v>FONDO DE AHORRO</v>
          </cell>
          <cell r="C1352">
            <v>4630.3999999999996</v>
          </cell>
          <cell r="D1352">
            <v>1632</v>
          </cell>
          <cell r="E1352">
            <v>0</v>
          </cell>
          <cell r="F1352">
            <v>6262.4</v>
          </cell>
        </row>
        <row r="1353">
          <cell r="A1353" t="str">
            <v>71300000-30001000-03020000</v>
          </cell>
          <cell r="B1353" t="str">
            <v>CUOTAS AL I.M.S.S.</v>
          </cell>
          <cell r="C1353">
            <v>6189.19</v>
          </cell>
          <cell r="D1353">
            <v>1729.23</v>
          </cell>
          <cell r="E1353">
            <v>0</v>
          </cell>
          <cell r="F1353">
            <v>7918.42</v>
          </cell>
        </row>
        <row r="1354">
          <cell r="A1354" t="str">
            <v>71300000-30001000-03030000</v>
          </cell>
          <cell r="B1354" t="str">
            <v>UNIFORMES Y EQUIPO</v>
          </cell>
          <cell r="C1354">
            <v>513</v>
          </cell>
          <cell r="D1354">
            <v>0</v>
          </cell>
          <cell r="E1354">
            <v>0</v>
          </cell>
          <cell r="F1354">
            <v>513</v>
          </cell>
        </row>
        <row r="1355">
          <cell r="A1355" t="str">
            <v>71300000-30001000-03040000</v>
          </cell>
          <cell r="B1355" t="str">
            <v>DESPENSA EN VALES</v>
          </cell>
          <cell r="C1355">
            <v>3030</v>
          </cell>
          <cell r="D1355">
            <v>816</v>
          </cell>
          <cell r="E1355">
            <v>0</v>
          </cell>
          <cell r="F1355">
            <v>3846</v>
          </cell>
        </row>
        <row r="1356">
          <cell r="A1356" t="str">
            <v>71300000-30001000-04010000</v>
          </cell>
          <cell r="B1356" t="str">
            <v>2.5% SOBRE NOMINAS</v>
          </cell>
          <cell r="C1356">
            <v>1887</v>
          </cell>
          <cell r="D1356">
            <v>743</v>
          </cell>
          <cell r="E1356">
            <v>0</v>
          </cell>
          <cell r="F1356">
            <v>2630</v>
          </cell>
        </row>
        <row r="1357">
          <cell r="A1357" t="str">
            <v>71300000-30001000-04020000</v>
          </cell>
          <cell r="B1357" t="str">
            <v>5% INFONAVIT</v>
          </cell>
          <cell r="C1357">
            <v>4348.28</v>
          </cell>
          <cell r="D1357">
            <v>1175.79</v>
          </cell>
          <cell r="E1357">
            <v>0</v>
          </cell>
          <cell r="F1357">
            <v>5524.07</v>
          </cell>
        </row>
        <row r="1358">
          <cell r="A1358" t="str">
            <v>71300000-30001000-04030000</v>
          </cell>
          <cell r="B1358" t="str">
            <v>2% S.A.R. / RETIRO</v>
          </cell>
          <cell r="C1358">
            <v>1739.31</v>
          </cell>
          <cell r="D1358">
            <v>470.32</v>
          </cell>
          <cell r="E1358">
            <v>0</v>
          </cell>
          <cell r="F1358">
            <v>2209.63</v>
          </cell>
        </row>
        <row r="1359">
          <cell r="A1359" t="str">
            <v>71300000-30001000-04040000</v>
          </cell>
          <cell r="B1359" t="str">
            <v>CESANTIA Y VEJEZ</v>
          </cell>
          <cell r="C1359">
            <v>2739.42</v>
          </cell>
          <cell r="D1359">
            <v>740.74</v>
          </cell>
          <cell r="E1359">
            <v>0</v>
          </cell>
          <cell r="F1359">
            <v>3480.16</v>
          </cell>
        </row>
        <row r="1360">
          <cell r="A1360" t="str">
            <v>71300000-30001000-05010000</v>
          </cell>
          <cell r="B1360" t="str">
            <v>SERV. PROFESIONALES EXTERNOS</v>
          </cell>
          <cell r="C1360">
            <v>152047.82</v>
          </cell>
          <cell r="D1360">
            <v>29536.48</v>
          </cell>
          <cell r="E1360">
            <v>0</v>
          </cell>
          <cell r="F1360">
            <v>181584.3</v>
          </cell>
        </row>
        <row r="1361">
          <cell r="A1361" t="str">
            <v>71300000-30001000-12010000</v>
          </cell>
          <cell r="B1361" t="str">
            <v>ARREND. AUTOMOVILES</v>
          </cell>
          <cell r="C1361">
            <v>6844.34</v>
          </cell>
          <cell r="D1361">
            <v>0</v>
          </cell>
          <cell r="E1361">
            <v>0</v>
          </cell>
          <cell r="F1361">
            <v>6844.34</v>
          </cell>
        </row>
        <row r="1362">
          <cell r="A1362" t="str">
            <v>71300000-30001000-14010000</v>
          </cell>
          <cell r="B1362" t="str">
            <v>SEG. AUTOMOVILES</v>
          </cell>
          <cell r="C1362">
            <v>24922.91</v>
          </cell>
          <cell r="D1362">
            <v>7183.42</v>
          </cell>
          <cell r="E1362">
            <v>0</v>
          </cell>
          <cell r="F1362">
            <v>32106.33</v>
          </cell>
        </row>
        <row r="1363">
          <cell r="A1363" t="str">
            <v>71300000-30001000-14040000</v>
          </cell>
          <cell r="B1363" t="str">
            <v>VIDA</v>
          </cell>
          <cell r="C1363">
            <v>6427.25</v>
          </cell>
          <cell r="D1363">
            <v>2726.71</v>
          </cell>
          <cell r="E1363">
            <v>0</v>
          </cell>
          <cell r="F1363">
            <v>9153.9599999999991</v>
          </cell>
        </row>
        <row r="1364">
          <cell r="A1364" t="str">
            <v>71300000-30001000-14050000</v>
          </cell>
          <cell r="B1364" t="str">
            <v>MULTIPLE EMPRESARIAL</v>
          </cell>
          <cell r="C1364">
            <v>4156.47</v>
          </cell>
          <cell r="D1364">
            <v>1326.84</v>
          </cell>
          <cell r="E1364">
            <v>0</v>
          </cell>
          <cell r="F1364">
            <v>5483.31</v>
          </cell>
        </row>
        <row r="1365">
          <cell r="A1365" t="str">
            <v>71300000-30001000-15010000</v>
          </cell>
          <cell r="B1365" t="str">
            <v>MANT. AUTOMOVILES</v>
          </cell>
          <cell r="C1365">
            <v>0</v>
          </cell>
          <cell r="D1365">
            <v>41.81</v>
          </cell>
          <cell r="E1365">
            <v>0</v>
          </cell>
          <cell r="F1365">
            <v>41.81</v>
          </cell>
        </row>
        <row r="1366">
          <cell r="A1366" t="str">
            <v>71300000-30001000-15030000</v>
          </cell>
          <cell r="B1366" t="str">
            <v>MANTTO A EDIFICIOS Y CONSTRUCC</v>
          </cell>
          <cell r="C1366">
            <v>18550</v>
          </cell>
          <cell r="D1366">
            <v>0</v>
          </cell>
          <cell r="E1366">
            <v>0</v>
          </cell>
          <cell r="F1366">
            <v>18550</v>
          </cell>
        </row>
        <row r="1367">
          <cell r="A1367" t="str">
            <v>71300000-30001000-15050000</v>
          </cell>
          <cell r="B1367" t="str">
            <v>MANTTO A EQUIPOS DE OFICINA</v>
          </cell>
          <cell r="C1367">
            <v>600</v>
          </cell>
          <cell r="D1367">
            <v>0</v>
          </cell>
          <cell r="E1367">
            <v>0</v>
          </cell>
          <cell r="F1367">
            <v>600</v>
          </cell>
        </row>
        <row r="1368">
          <cell r="A1368" t="str">
            <v>71300000-30001000-15060000</v>
          </cell>
          <cell r="B1368" t="str">
            <v>MANTTO A EQUIPOS DE COMPUTO</v>
          </cell>
          <cell r="C1368">
            <v>847.5</v>
          </cell>
          <cell r="D1368">
            <v>137.08000000000001</v>
          </cell>
          <cell r="E1368">
            <v>0</v>
          </cell>
          <cell r="F1368">
            <v>984.58</v>
          </cell>
        </row>
        <row r="1369">
          <cell r="A1369" t="str">
            <v>71300000-30001000-15080000</v>
          </cell>
          <cell r="B1369" t="str">
            <v>MANTTO A VARIOS</v>
          </cell>
          <cell r="C1369">
            <v>313.22000000000003</v>
          </cell>
          <cell r="D1369">
            <v>391.58</v>
          </cell>
          <cell r="E1369">
            <v>0</v>
          </cell>
          <cell r="F1369">
            <v>704.8</v>
          </cell>
        </row>
        <row r="1370">
          <cell r="A1370" t="str">
            <v>71300000-30001000-16010000</v>
          </cell>
          <cell r="B1370" t="str">
            <v>PAPELERIA</v>
          </cell>
          <cell r="C1370">
            <v>6144.05</v>
          </cell>
          <cell r="D1370">
            <v>5966.57</v>
          </cell>
          <cell r="E1370">
            <v>0</v>
          </cell>
          <cell r="F1370">
            <v>12110.62</v>
          </cell>
        </row>
        <row r="1371">
          <cell r="A1371" t="str">
            <v>71300000-30001000-16040000</v>
          </cell>
          <cell r="B1371" t="str">
            <v>IMPLEMENTOS DE OFICINA</v>
          </cell>
          <cell r="C1371">
            <v>0</v>
          </cell>
          <cell r="D1371">
            <v>1350</v>
          </cell>
          <cell r="E1371">
            <v>0</v>
          </cell>
          <cell r="F1371">
            <v>1350</v>
          </cell>
        </row>
        <row r="1372">
          <cell r="A1372" t="str">
            <v>71300000-30001000-17010000</v>
          </cell>
          <cell r="B1372" t="str">
            <v>ENERGIA ELECTRICA</v>
          </cell>
          <cell r="C1372">
            <v>5706.11</v>
          </cell>
          <cell r="D1372">
            <v>0</v>
          </cell>
          <cell r="E1372">
            <v>0</v>
          </cell>
          <cell r="F1372">
            <v>5706.11</v>
          </cell>
        </row>
        <row r="1373">
          <cell r="A1373" t="str">
            <v>71300000-30001000-17030000</v>
          </cell>
          <cell r="B1373" t="str">
            <v>SEGURIDAD PRIVADA</v>
          </cell>
          <cell r="C1373">
            <v>1557</v>
          </cell>
          <cell r="D1373">
            <v>1038</v>
          </cell>
          <cell r="E1373">
            <v>519</v>
          </cell>
          <cell r="F1373">
            <v>2076</v>
          </cell>
        </row>
        <row r="1374">
          <cell r="A1374" t="str">
            <v>71300000-30001000-18010000</v>
          </cell>
          <cell r="B1374" t="str">
            <v>CAPACITACION Y ADIESTRAMIENTO</v>
          </cell>
          <cell r="C1374">
            <v>19677.419999999998</v>
          </cell>
          <cell r="D1374">
            <v>6195.06</v>
          </cell>
          <cell r="E1374">
            <v>0</v>
          </cell>
          <cell r="F1374">
            <v>25872.48</v>
          </cell>
        </row>
        <row r="1375">
          <cell r="A1375" t="str">
            <v>71300000-30001000-18020000</v>
          </cell>
          <cell r="B1375" t="str">
            <v>PASAJES Y TRANSPORTES LOCALES</v>
          </cell>
          <cell r="C1375">
            <v>590</v>
          </cell>
          <cell r="D1375">
            <v>170</v>
          </cell>
          <cell r="E1375">
            <v>0</v>
          </cell>
          <cell r="F1375">
            <v>760</v>
          </cell>
        </row>
        <row r="1376">
          <cell r="A1376" t="str">
            <v>71300000-30001000-18050000</v>
          </cell>
          <cell r="B1376" t="str">
            <v>AGUA ELECTROPURA</v>
          </cell>
          <cell r="C1376">
            <v>924</v>
          </cell>
          <cell r="D1376">
            <v>560</v>
          </cell>
          <cell r="E1376">
            <v>0</v>
          </cell>
          <cell r="F1376">
            <v>1484</v>
          </cell>
        </row>
        <row r="1377">
          <cell r="A1377" t="str">
            <v>71300000-30001000-18110000</v>
          </cell>
          <cell r="B1377" t="str">
            <v>CONSUMOS RESTAURANT</v>
          </cell>
          <cell r="C1377">
            <v>17.350000000000001</v>
          </cell>
          <cell r="D1377">
            <v>0</v>
          </cell>
          <cell r="E1377">
            <v>0</v>
          </cell>
          <cell r="F1377">
            <v>17.350000000000001</v>
          </cell>
        </row>
        <row r="1378">
          <cell r="A1378" t="str">
            <v>71300000-30001000-19010000</v>
          </cell>
          <cell r="B1378" t="str">
            <v>TELEFONOS</v>
          </cell>
          <cell r="C1378">
            <v>56649.48</v>
          </cell>
          <cell r="D1378">
            <v>23385.15</v>
          </cell>
          <cell r="E1378">
            <v>0</v>
          </cell>
          <cell r="F1378">
            <v>80034.63</v>
          </cell>
        </row>
        <row r="1379">
          <cell r="A1379" t="str">
            <v>71300000-30001000-19030000</v>
          </cell>
          <cell r="B1379" t="str">
            <v>TELEFONOS CELULARES</v>
          </cell>
          <cell r="C1379">
            <v>6971.2</v>
          </cell>
          <cell r="D1379">
            <v>5952.48</v>
          </cell>
          <cell r="E1379">
            <v>0</v>
          </cell>
          <cell r="F1379">
            <v>12923.68</v>
          </cell>
        </row>
        <row r="1380">
          <cell r="A1380" t="str">
            <v>71300000-30001000-19050000</v>
          </cell>
          <cell r="B1380" t="str">
            <v>INTERNET</v>
          </cell>
          <cell r="C1380">
            <v>20640.41</v>
          </cell>
          <cell r="D1380">
            <v>6926.43</v>
          </cell>
          <cell r="E1380">
            <v>0</v>
          </cell>
          <cell r="F1380">
            <v>27566.84</v>
          </cell>
        </row>
        <row r="1381">
          <cell r="A1381" t="str">
            <v>71300000-30001000-19070000</v>
          </cell>
          <cell r="B1381" t="str">
            <v>MENSAJERIA ESPECIALIZADA</v>
          </cell>
          <cell r="C1381">
            <v>4491.97</v>
          </cell>
          <cell r="D1381">
            <v>2234.15</v>
          </cell>
          <cell r="E1381">
            <v>0</v>
          </cell>
          <cell r="F1381">
            <v>6726.12</v>
          </cell>
        </row>
        <row r="1382">
          <cell r="A1382" t="str">
            <v>71300000-30001000-20010000</v>
          </cell>
          <cell r="B1382" t="str">
            <v>COMBUSTIBLE AUTOMOVILES</v>
          </cell>
          <cell r="C1382">
            <v>9819.42</v>
          </cell>
          <cell r="D1382">
            <v>2602.3000000000002</v>
          </cell>
          <cell r="E1382">
            <v>0</v>
          </cell>
          <cell r="F1382">
            <v>12421.72</v>
          </cell>
        </row>
        <row r="1383">
          <cell r="A1383" t="str">
            <v>71300000-30001000-22050000</v>
          </cell>
          <cell r="B1383" t="str">
            <v>COMISIONES Y ASESORIAS EXTERNA</v>
          </cell>
          <cell r="C1383">
            <v>44038.54</v>
          </cell>
          <cell r="D1383">
            <v>12286.25</v>
          </cell>
          <cell r="E1383">
            <v>0</v>
          </cell>
          <cell r="F1383">
            <v>56324.79</v>
          </cell>
        </row>
        <row r="1384">
          <cell r="A1384" t="str">
            <v>71300000-30001000-23030000</v>
          </cell>
          <cell r="B1384" t="str">
            <v>DERECHOS DE AGUA</v>
          </cell>
          <cell r="C1384">
            <v>13875.45</v>
          </cell>
          <cell r="D1384">
            <v>12375</v>
          </cell>
          <cell r="E1384">
            <v>0</v>
          </cell>
          <cell r="F1384">
            <v>26250.45</v>
          </cell>
        </row>
        <row r="1385">
          <cell r="A1385" t="str">
            <v>71300000-30001000-23120000</v>
          </cell>
          <cell r="B1385" t="str">
            <v>DIVERSOS</v>
          </cell>
          <cell r="C1385">
            <v>2600.2600000000002</v>
          </cell>
          <cell r="D1385">
            <v>5301.86</v>
          </cell>
          <cell r="E1385">
            <v>0</v>
          </cell>
          <cell r="F1385">
            <v>7902.12</v>
          </cell>
        </row>
        <row r="1386">
          <cell r="A1386" t="str">
            <v>71300000-30001000-23130000</v>
          </cell>
          <cell r="B1386" t="str">
            <v>OTROS IMPUESTOS Y DERECHOS</v>
          </cell>
          <cell r="C1386">
            <v>19201</v>
          </cell>
          <cell r="D1386">
            <v>19488.07</v>
          </cell>
          <cell r="E1386">
            <v>0</v>
          </cell>
          <cell r="F1386">
            <v>38689.07</v>
          </cell>
        </row>
        <row r="1387">
          <cell r="A1387" t="str">
            <v>71300000-30001000-23140000</v>
          </cell>
          <cell r="B1387" t="str">
            <v>FLETES Y ACARREOS</v>
          </cell>
          <cell r="C1387">
            <v>249.68</v>
          </cell>
          <cell r="D1387">
            <v>132.84</v>
          </cell>
          <cell r="E1387">
            <v>0</v>
          </cell>
          <cell r="F1387">
            <v>382.52</v>
          </cell>
        </row>
        <row r="1388">
          <cell r="A1388" t="str">
            <v>71300000-30001000-23150000</v>
          </cell>
          <cell r="B1388" t="str">
            <v>ASEO LIMPIEZA E IMPLEMENTOS</v>
          </cell>
          <cell r="C1388">
            <v>4416</v>
          </cell>
          <cell r="D1388">
            <v>2469.4</v>
          </cell>
          <cell r="E1388">
            <v>0</v>
          </cell>
          <cell r="F1388">
            <v>6885.4</v>
          </cell>
        </row>
        <row r="1389">
          <cell r="A1389" t="str">
            <v>71300000-30001000-23200000</v>
          </cell>
          <cell r="B1389" t="str">
            <v>EVENTOS INTERNOS COREV</v>
          </cell>
          <cell r="C1389">
            <v>3401.2</v>
          </cell>
          <cell r="D1389">
            <v>7659.96</v>
          </cell>
          <cell r="E1389">
            <v>0</v>
          </cell>
          <cell r="F1389">
            <v>11061.16</v>
          </cell>
        </row>
        <row r="1390">
          <cell r="A1390" t="str">
            <v>71300000-30001000-27150000</v>
          </cell>
          <cell r="B1390" t="str">
            <v>SECCION AMARILLA</v>
          </cell>
          <cell r="C1390">
            <v>18845.900000000001</v>
          </cell>
          <cell r="D1390">
            <v>923.45</v>
          </cell>
          <cell r="E1390">
            <v>0</v>
          </cell>
          <cell r="F1390">
            <v>19769.349999999999</v>
          </cell>
        </row>
        <row r="1391">
          <cell r="A1391" t="str">
            <v>71300000-30001000-35020000</v>
          </cell>
          <cell r="B1391" t="str">
            <v>DIVERSOS NO DEDUCIBLES</v>
          </cell>
          <cell r="C1391">
            <v>8999.57</v>
          </cell>
          <cell r="D1391">
            <v>3474.02</v>
          </cell>
          <cell r="E1391">
            <v>0</v>
          </cell>
          <cell r="F1391">
            <v>12473.59</v>
          </cell>
        </row>
        <row r="1392">
          <cell r="A1392" t="str">
            <v>71300000-30001000-90010000</v>
          </cell>
          <cell r="B1392" t="str">
            <v>PRIMA DE ANTIGUEDAD</v>
          </cell>
          <cell r="C1392">
            <v>7113.75</v>
          </cell>
          <cell r="D1392">
            <v>2371.25</v>
          </cell>
          <cell r="E1392">
            <v>0</v>
          </cell>
          <cell r="F1392">
            <v>9485</v>
          </cell>
        </row>
        <row r="1393">
          <cell r="A1393" t="str">
            <v>71300000-30001000-90020000</v>
          </cell>
          <cell r="B1393" t="str">
            <v>PLAN DE PENSIONES</v>
          </cell>
          <cell r="C1393">
            <v>29124.12</v>
          </cell>
          <cell r="D1393">
            <v>9708.0400000000009</v>
          </cell>
          <cell r="E1393">
            <v>0</v>
          </cell>
          <cell r="F1393">
            <v>38832.160000000003</v>
          </cell>
        </row>
        <row r="1394">
          <cell r="A1394" t="str">
            <v>71300000-30001000-90030000</v>
          </cell>
          <cell r="B1394" t="str">
            <v>PROVISION AGUINALDO</v>
          </cell>
          <cell r="C1394">
            <v>4929.99</v>
          </cell>
          <cell r="D1394">
            <v>1643.33</v>
          </cell>
          <cell r="E1394">
            <v>0</v>
          </cell>
          <cell r="F1394">
            <v>6573.32</v>
          </cell>
        </row>
        <row r="1395">
          <cell r="A1395" t="str">
            <v>71300000-30002000-00000000</v>
          </cell>
          <cell r="B1395" t="str">
            <v>COSTOS/GASTOS FIJOS DF 1</v>
          </cell>
          <cell r="C1395">
            <v>55699.199999999997</v>
          </cell>
          <cell r="D1395">
            <v>17772.61</v>
          </cell>
          <cell r="E1395">
            <v>0</v>
          </cell>
          <cell r="F1395">
            <v>73471.81</v>
          </cell>
        </row>
        <row r="1396">
          <cell r="A1396" t="str">
            <v>71300000-30002000-05010000</v>
          </cell>
          <cell r="B1396" t="str">
            <v>SERV. PROFESIONALES EXTERNOS</v>
          </cell>
          <cell r="C1396">
            <v>38096.94</v>
          </cell>
          <cell r="D1396">
            <v>12959.51</v>
          </cell>
          <cell r="E1396">
            <v>0</v>
          </cell>
          <cell r="F1396">
            <v>51056.45</v>
          </cell>
        </row>
        <row r="1397">
          <cell r="A1397" t="str">
            <v>71300000-30002000-12010000</v>
          </cell>
          <cell r="B1397" t="str">
            <v>ARREND. AUTOMOVILES</v>
          </cell>
          <cell r="C1397">
            <v>6161.16</v>
          </cell>
          <cell r="D1397">
            <v>2053.7199999999998</v>
          </cell>
          <cell r="E1397">
            <v>0</v>
          </cell>
          <cell r="F1397">
            <v>8214.8799999999992</v>
          </cell>
        </row>
        <row r="1398">
          <cell r="A1398" t="str">
            <v>71300000-30002000-15010000</v>
          </cell>
          <cell r="B1398" t="str">
            <v>MANT. AUTOMOVILES</v>
          </cell>
          <cell r="C1398">
            <v>2412.06</v>
          </cell>
          <cell r="D1398">
            <v>715.52</v>
          </cell>
          <cell r="E1398">
            <v>0</v>
          </cell>
          <cell r="F1398">
            <v>3127.58</v>
          </cell>
        </row>
        <row r="1399">
          <cell r="A1399" t="str">
            <v>71300000-30002000-16010000</v>
          </cell>
          <cell r="B1399" t="str">
            <v>PAPELERIA</v>
          </cell>
          <cell r="C1399">
            <v>140</v>
          </cell>
          <cell r="D1399">
            <v>0</v>
          </cell>
          <cell r="E1399">
            <v>0</v>
          </cell>
          <cell r="F1399">
            <v>140</v>
          </cell>
        </row>
        <row r="1400">
          <cell r="A1400" t="str">
            <v>71300000-30002000-19030000</v>
          </cell>
          <cell r="B1400" t="str">
            <v>TELEFONOS CELULARES</v>
          </cell>
          <cell r="C1400">
            <v>2530.58</v>
          </cell>
          <cell r="D1400">
            <v>955.86</v>
          </cell>
          <cell r="E1400">
            <v>0</v>
          </cell>
          <cell r="F1400">
            <v>3486.44</v>
          </cell>
        </row>
        <row r="1401">
          <cell r="A1401" t="str">
            <v>71300000-30002000-20010000</v>
          </cell>
          <cell r="B1401" t="str">
            <v>COMBUSTIBLE AUTOMOVILES</v>
          </cell>
          <cell r="C1401">
            <v>3391.08</v>
          </cell>
          <cell r="D1401">
            <v>1088</v>
          </cell>
          <cell r="E1401">
            <v>0</v>
          </cell>
          <cell r="F1401">
            <v>4479.08</v>
          </cell>
        </row>
        <row r="1402">
          <cell r="A1402" t="str">
            <v>71300000-30002000-23130000</v>
          </cell>
          <cell r="B1402" t="str">
            <v>OTROS IMPUESTOS Y DERECHOS</v>
          </cell>
          <cell r="C1402">
            <v>2717.38</v>
          </cell>
          <cell r="D1402">
            <v>0</v>
          </cell>
          <cell r="E1402">
            <v>0</v>
          </cell>
          <cell r="F1402">
            <v>2717.38</v>
          </cell>
        </row>
        <row r="1403">
          <cell r="A1403" t="str">
            <v>71300000-30002000-35020000</v>
          </cell>
          <cell r="B1403" t="str">
            <v>DIVERSOS NO DEDUCIBLES</v>
          </cell>
          <cell r="C1403">
            <v>250</v>
          </cell>
          <cell r="D1403">
            <v>0</v>
          </cell>
          <cell r="E1403">
            <v>0</v>
          </cell>
          <cell r="F1403">
            <v>250</v>
          </cell>
        </row>
        <row r="1404">
          <cell r="A1404" t="str">
            <v>71300000-30003000-00000000</v>
          </cell>
          <cell r="B1404" t="str">
            <v>COSTOS/GASTOS FIJOS SUR</v>
          </cell>
          <cell r="C1404">
            <v>57190.12</v>
          </cell>
          <cell r="D1404">
            <v>26822.94</v>
          </cell>
          <cell r="E1404">
            <v>0</v>
          </cell>
          <cell r="F1404">
            <v>84013.06</v>
          </cell>
        </row>
        <row r="1405">
          <cell r="A1405" t="str">
            <v>71300000-30003000-01010000</v>
          </cell>
          <cell r="B1405" t="str">
            <v>SUELDOS Y SALARIOS</v>
          </cell>
          <cell r="C1405">
            <v>27000</v>
          </cell>
          <cell r="D1405">
            <v>8700</v>
          </cell>
          <cell r="E1405">
            <v>0</v>
          </cell>
          <cell r="F1405">
            <v>35700</v>
          </cell>
        </row>
        <row r="1406">
          <cell r="A1406" t="str">
            <v>71300000-30003000-01040000</v>
          </cell>
          <cell r="B1406" t="str">
            <v>VACACIONES</v>
          </cell>
          <cell r="C1406">
            <v>0</v>
          </cell>
          <cell r="D1406">
            <v>300</v>
          </cell>
          <cell r="E1406">
            <v>0</v>
          </cell>
          <cell r="F1406">
            <v>300</v>
          </cell>
        </row>
        <row r="1407">
          <cell r="A1407" t="str">
            <v>71300000-30003000-01050000</v>
          </cell>
          <cell r="B1407" t="str">
            <v>PRIMA VACACIONAL</v>
          </cell>
          <cell r="C1407">
            <v>0</v>
          </cell>
          <cell r="D1407">
            <v>195</v>
          </cell>
          <cell r="E1407">
            <v>0</v>
          </cell>
          <cell r="F1407">
            <v>195</v>
          </cell>
        </row>
        <row r="1408">
          <cell r="A1408" t="str">
            <v>71300000-30003000-03010000</v>
          </cell>
          <cell r="B1408" t="str">
            <v>FONDO DE AHORRO</v>
          </cell>
          <cell r="C1408">
            <v>2160</v>
          </cell>
          <cell r="D1408">
            <v>696</v>
          </cell>
          <cell r="E1408">
            <v>0</v>
          </cell>
          <cell r="F1408">
            <v>2856</v>
          </cell>
        </row>
        <row r="1409">
          <cell r="A1409" t="str">
            <v>71300000-30003000-03020000</v>
          </cell>
          <cell r="B1409" t="str">
            <v>CUOTAS AL I.M.S.S.</v>
          </cell>
          <cell r="C1409">
            <v>4809.71</v>
          </cell>
          <cell r="D1409">
            <v>1480.31</v>
          </cell>
          <cell r="E1409">
            <v>0</v>
          </cell>
          <cell r="F1409">
            <v>6290.02</v>
          </cell>
        </row>
        <row r="1410">
          <cell r="A1410" t="str">
            <v>71300000-30003000-03040000</v>
          </cell>
          <cell r="B1410" t="str">
            <v>DESPENSA EN VALES</v>
          </cell>
          <cell r="C1410">
            <v>720</v>
          </cell>
          <cell r="D1410">
            <v>360</v>
          </cell>
          <cell r="E1410">
            <v>0</v>
          </cell>
          <cell r="F1410">
            <v>1080</v>
          </cell>
        </row>
        <row r="1411">
          <cell r="A1411" t="str">
            <v>71300000-30003000-04010000</v>
          </cell>
          <cell r="B1411" t="str">
            <v>2.5% SOBRE NOMINAS</v>
          </cell>
          <cell r="C1411">
            <v>1647</v>
          </cell>
          <cell r="D1411">
            <v>353</v>
          </cell>
          <cell r="E1411">
            <v>0</v>
          </cell>
          <cell r="F1411">
            <v>2000</v>
          </cell>
        </row>
        <row r="1412">
          <cell r="A1412" t="str">
            <v>71300000-30003000-04020000</v>
          </cell>
          <cell r="B1412" t="str">
            <v>5% INFONAVIT</v>
          </cell>
          <cell r="C1412">
            <v>3217.53</v>
          </cell>
          <cell r="D1412">
            <v>971.75</v>
          </cell>
          <cell r="E1412">
            <v>0</v>
          </cell>
          <cell r="F1412">
            <v>4189.28</v>
          </cell>
        </row>
        <row r="1413">
          <cell r="A1413" t="str">
            <v>71300000-30003000-04030000</v>
          </cell>
          <cell r="B1413" t="str">
            <v>2% S.A.R. / RETIRO</v>
          </cell>
          <cell r="C1413">
            <v>1287.01</v>
          </cell>
          <cell r="D1413">
            <v>388.7</v>
          </cell>
          <cell r="E1413">
            <v>0</v>
          </cell>
          <cell r="F1413">
            <v>1675.71</v>
          </cell>
        </row>
        <row r="1414">
          <cell r="A1414" t="str">
            <v>71300000-30003000-04040000</v>
          </cell>
          <cell r="B1414" t="str">
            <v>CESANTIA Y VEJEZ</v>
          </cell>
          <cell r="C1414">
            <v>2027.05</v>
          </cell>
          <cell r="D1414">
            <v>612.20000000000005</v>
          </cell>
          <cell r="E1414">
            <v>0</v>
          </cell>
          <cell r="F1414">
            <v>2639.25</v>
          </cell>
        </row>
        <row r="1415">
          <cell r="A1415" t="str">
            <v>71300000-30003000-15010000</v>
          </cell>
          <cell r="B1415" t="str">
            <v>MANT. AUTOMOVILES</v>
          </cell>
          <cell r="C1415">
            <v>2754.9</v>
          </cell>
          <cell r="D1415">
            <v>0</v>
          </cell>
          <cell r="E1415">
            <v>0</v>
          </cell>
          <cell r="F1415">
            <v>2754.9</v>
          </cell>
        </row>
        <row r="1416">
          <cell r="A1416" t="str">
            <v>71300000-30003000-16010000</v>
          </cell>
          <cell r="B1416" t="str">
            <v>PAPELERIA</v>
          </cell>
          <cell r="C1416">
            <v>140</v>
          </cell>
          <cell r="D1416">
            <v>0</v>
          </cell>
          <cell r="E1416">
            <v>0</v>
          </cell>
          <cell r="F1416">
            <v>140</v>
          </cell>
        </row>
        <row r="1417">
          <cell r="A1417" t="str">
            <v>71300000-30003000-18020000</v>
          </cell>
          <cell r="B1417" t="str">
            <v>PASAJES Y TRANSPORTES LOCALES</v>
          </cell>
          <cell r="C1417">
            <v>0</v>
          </cell>
          <cell r="D1417">
            <v>402</v>
          </cell>
          <cell r="E1417">
            <v>0</v>
          </cell>
          <cell r="F1417">
            <v>402</v>
          </cell>
        </row>
        <row r="1418">
          <cell r="A1418" t="str">
            <v>71300000-30003000-18030000</v>
          </cell>
          <cell r="B1418" t="str">
            <v>GASTOS DE REPRESENTACION TRANS</v>
          </cell>
          <cell r="C1418">
            <v>0</v>
          </cell>
          <cell r="D1418">
            <v>7190</v>
          </cell>
          <cell r="E1418">
            <v>0</v>
          </cell>
          <cell r="F1418">
            <v>7190</v>
          </cell>
        </row>
        <row r="1419">
          <cell r="A1419" t="str">
            <v>71300000-30003000-18040000</v>
          </cell>
          <cell r="B1419" t="str">
            <v>GASTOS DE REPRESENTACION ALIME</v>
          </cell>
          <cell r="C1419">
            <v>417.48</v>
          </cell>
          <cell r="D1419">
            <v>662.67</v>
          </cell>
          <cell r="E1419">
            <v>0</v>
          </cell>
          <cell r="F1419">
            <v>1080.1500000000001</v>
          </cell>
        </row>
        <row r="1420">
          <cell r="A1420" t="str">
            <v>71300000-30003000-19030000</v>
          </cell>
          <cell r="B1420" t="str">
            <v>TELEFONOS CELULARES</v>
          </cell>
          <cell r="C1420">
            <v>859.3</v>
          </cell>
          <cell r="D1420">
            <v>1677.03</v>
          </cell>
          <cell r="E1420">
            <v>0</v>
          </cell>
          <cell r="F1420">
            <v>2536.33</v>
          </cell>
        </row>
        <row r="1421">
          <cell r="A1421" t="str">
            <v>71300000-30003000-20010000</v>
          </cell>
          <cell r="B1421" t="str">
            <v>COMBUSTIBLE AUTOMOVILES</v>
          </cell>
          <cell r="C1421">
            <v>6429.43</v>
          </cell>
          <cell r="D1421">
            <v>1272.8900000000001</v>
          </cell>
          <cell r="E1421">
            <v>0</v>
          </cell>
          <cell r="F1421">
            <v>7702.32</v>
          </cell>
        </row>
        <row r="1422">
          <cell r="A1422" t="str">
            <v>71300000-30003000-23130000</v>
          </cell>
          <cell r="B1422" t="str">
            <v>OTROS IMPUESTOS Y DERECHOS</v>
          </cell>
          <cell r="C1422">
            <v>612.08000000000004</v>
          </cell>
          <cell r="D1422">
            <v>807.14</v>
          </cell>
          <cell r="E1422">
            <v>0</v>
          </cell>
          <cell r="F1422">
            <v>1419.22</v>
          </cell>
        </row>
        <row r="1423">
          <cell r="A1423" t="str">
            <v>71300000-30003000-23140000</v>
          </cell>
          <cell r="B1423" t="str">
            <v>FLETES Y ACARREOS</v>
          </cell>
          <cell r="C1423">
            <v>755.88</v>
          </cell>
          <cell r="D1423">
            <v>0</v>
          </cell>
          <cell r="E1423">
            <v>0</v>
          </cell>
          <cell r="F1423">
            <v>755.88</v>
          </cell>
        </row>
        <row r="1424">
          <cell r="A1424" t="str">
            <v>71300000-30003000-35020000</v>
          </cell>
          <cell r="B1424" t="str">
            <v>DIVERSOS NO DEDUCIBLES</v>
          </cell>
          <cell r="C1424">
            <v>90</v>
          </cell>
          <cell r="D1424">
            <v>0</v>
          </cell>
          <cell r="E1424">
            <v>0</v>
          </cell>
          <cell r="F1424">
            <v>90</v>
          </cell>
        </row>
        <row r="1425">
          <cell r="A1425" t="str">
            <v>71300000-30003000-90030000</v>
          </cell>
          <cell r="B1425" t="str">
            <v>PROVISION AGUINALDO</v>
          </cell>
          <cell r="C1425">
            <v>2175</v>
          </cell>
          <cell r="D1425">
            <v>725</v>
          </cell>
          <cell r="E1425">
            <v>0</v>
          </cell>
          <cell r="F1425">
            <v>2900</v>
          </cell>
        </row>
        <row r="1426">
          <cell r="A1426" t="str">
            <v>71300000-30003000-90040000</v>
          </cell>
          <cell r="B1426" t="str">
            <v>BOLETIN D-3</v>
          </cell>
          <cell r="C1426">
            <v>87.75</v>
          </cell>
          <cell r="D1426">
            <v>29.25</v>
          </cell>
          <cell r="E1426">
            <v>0</v>
          </cell>
          <cell r="F1426">
            <v>117</v>
          </cell>
        </row>
        <row r="1427">
          <cell r="A1427" t="str">
            <v>71300000-30004000-00000000</v>
          </cell>
          <cell r="B1427" t="str">
            <v>COSTOS/GASTOS FIJOS GOLFO</v>
          </cell>
          <cell r="C1427">
            <v>94835.29</v>
          </cell>
          <cell r="D1427">
            <v>29139.5</v>
          </cell>
          <cell r="E1427">
            <v>0</v>
          </cell>
          <cell r="F1427">
            <v>123974.79</v>
          </cell>
        </row>
        <row r="1428">
          <cell r="A1428" t="str">
            <v>71300000-30004000-01010000</v>
          </cell>
          <cell r="B1428" t="str">
            <v>SUELDOS Y SALARIOS</v>
          </cell>
          <cell r="C1428">
            <v>20020</v>
          </cell>
          <cell r="D1428">
            <v>7767.5</v>
          </cell>
          <cell r="E1428">
            <v>0</v>
          </cell>
          <cell r="F1428">
            <v>27787.5</v>
          </cell>
        </row>
        <row r="1429">
          <cell r="A1429" t="str">
            <v>71300000-30004000-01030000</v>
          </cell>
          <cell r="B1429" t="str">
            <v>GRATIFICACIONES</v>
          </cell>
          <cell r="C1429">
            <v>689</v>
          </cell>
          <cell r="D1429">
            <v>238.5</v>
          </cell>
          <cell r="E1429">
            <v>0</v>
          </cell>
          <cell r="F1429">
            <v>927.5</v>
          </cell>
        </row>
        <row r="1430">
          <cell r="A1430" t="str">
            <v>71300000-30004000-01040000</v>
          </cell>
          <cell r="B1430" t="str">
            <v>VACACIONES</v>
          </cell>
          <cell r="C1430">
            <v>3380</v>
          </cell>
          <cell r="D1430">
            <v>0</v>
          </cell>
          <cell r="E1430">
            <v>0</v>
          </cell>
          <cell r="F1430">
            <v>3380</v>
          </cell>
        </row>
        <row r="1431">
          <cell r="A1431" t="str">
            <v>71300000-30004000-01050000</v>
          </cell>
          <cell r="B1431" t="str">
            <v>PRIMA VACACIONAL</v>
          </cell>
          <cell r="C1431">
            <v>2197</v>
          </cell>
          <cell r="D1431">
            <v>0</v>
          </cell>
          <cell r="E1431">
            <v>0</v>
          </cell>
          <cell r="F1431">
            <v>2197</v>
          </cell>
        </row>
        <row r="1432">
          <cell r="A1432" t="str">
            <v>71300000-30004000-03010000</v>
          </cell>
          <cell r="B1432" t="str">
            <v>FONDO DE AHORRO</v>
          </cell>
          <cell r="C1432">
            <v>1601.6</v>
          </cell>
          <cell r="D1432">
            <v>621.4</v>
          </cell>
          <cell r="E1432">
            <v>0</v>
          </cell>
          <cell r="F1432">
            <v>2223</v>
          </cell>
        </row>
        <row r="1433">
          <cell r="A1433" t="str">
            <v>71300000-30004000-03020000</v>
          </cell>
          <cell r="B1433" t="str">
            <v>CUOTAS AL I.M.S.S.</v>
          </cell>
          <cell r="C1433">
            <v>4816.91</v>
          </cell>
          <cell r="D1433">
            <v>1798.75</v>
          </cell>
          <cell r="E1433">
            <v>0</v>
          </cell>
          <cell r="F1433">
            <v>6615.66</v>
          </cell>
        </row>
        <row r="1434">
          <cell r="A1434" t="str">
            <v>71300000-30004000-03040000</v>
          </cell>
          <cell r="B1434" t="str">
            <v>DESPENSA EN VALES</v>
          </cell>
          <cell r="C1434">
            <v>936</v>
          </cell>
          <cell r="D1434">
            <v>312</v>
          </cell>
          <cell r="E1434">
            <v>0</v>
          </cell>
          <cell r="F1434">
            <v>1248</v>
          </cell>
        </row>
        <row r="1435">
          <cell r="A1435" t="str">
            <v>71300000-30004000-04010000</v>
          </cell>
          <cell r="B1435" t="str">
            <v>2.5% SOBRE NOMINAS</v>
          </cell>
          <cell r="C1435">
            <v>1647</v>
          </cell>
          <cell r="D1435">
            <v>495</v>
          </cell>
          <cell r="E1435">
            <v>0</v>
          </cell>
          <cell r="F1435">
            <v>2142</v>
          </cell>
        </row>
        <row r="1436">
          <cell r="A1436" t="str">
            <v>71300000-30004000-04020000</v>
          </cell>
          <cell r="B1436" t="str">
            <v>5% INFONAVIT</v>
          </cell>
          <cell r="C1436">
            <v>3223.44</v>
          </cell>
          <cell r="D1436">
            <v>1232.76</v>
          </cell>
          <cell r="E1436">
            <v>0</v>
          </cell>
          <cell r="F1436">
            <v>4456.2</v>
          </cell>
        </row>
        <row r="1437">
          <cell r="A1437" t="str">
            <v>71300000-30004000-04030000</v>
          </cell>
          <cell r="B1437" t="str">
            <v>2% S.A.R. / RETIRO</v>
          </cell>
          <cell r="C1437">
            <v>1289.3800000000001</v>
          </cell>
          <cell r="D1437">
            <v>493.1</v>
          </cell>
          <cell r="E1437">
            <v>0</v>
          </cell>
          <cell r="F1437">
            <v>1782.48</v>
          </cell>
        </row>
        <row r="1438">
          <cell r="A1438" t="str">
            <v>71300000-30004000-04040000</v>
          </cell>
          <cell r="B1438" t="str">
            <v>CESANTIA Y VEJEZ</v>
          </cell>
          <cell r="C1438">
            <v>2030.79</v>
          </cell>
          <cell r="D1438">
            <v>776.63</v>
          </cell>
          <cell r="E1438">
            <v>0</v>
          </cell>
          <cell r="F1438">
            <v>2807.42</v>
          </cell>
        </row>
        <row r="1439">
          <cell r="A1439" t="str">
            <v>71300000-30004000-12010000</v>
          </cell>
          <cell r="B1439" t="str">
            <v>ARREND. AUTOMOVILES</v>
          </cell>
          <cell r="C1439">
            <v>8007.63</v>
          </cell>
          <cell r="D1439">
            <v>2669.21</v>
          </cell>
          <cell r="E1439">
            <v>0</v>
          </cell>
          <cell r="F1439">
            <v>10676.84</v>
          </cell>
        </row>
        <row r="1440">
          <cell r="A1440" t="str">
            <v>71300000-30004000-15010000</v>
          </cell>
          <cell r="B1440" t="str">
            <v>MANT. AUTOMOVILES</v>
          </cell>
          <cell r="C1440">
            <v>777.59</v>
          </cell>
          <cell r="D1440">
            <v>300</v>
          </cell>
          <cell r="E1440">
            <v>0</v>
          </cell>
          <cell r="F1440">
            <v>1077.5899999999999</v>
          </cell>
        </row>
        <row r="1441">
          <cell r="A1441" t="str">
            <v>71300000-30004000-15090000</v>
          </cell>
          <cell r="B1441" t="str">
            <v>MANTTO A TIENDAS</v>
          </cell>
          <cell r="C1441">
            <v>14250</v>
          </cell>
          <cell r="D1441">
            <v>0</v>
          </cell>
          <cell r="E1441">
            <v>0</v>
          </cell>
          <cell r="F1441">
            <v>14250</v>
          </cell>
        </row>
        <row r="1442">
          <cell r="A1442" t="str">
            <v>71300000-30004000-18040000</v>
          </cell>
          <cell r="B1442" t="str">
            <v>GASTOS DE REPRESENTACION ALIME</v>
          </cell>
          <cell r="C1442">
            <v>7012.43</v>
          </cell>
          <cell r="D1442">
            <v>3850.7</v>
          </cell>
          <cell r="E1442">
            <v>0</v>
          </cell>
          <cell r="F1442">
            <v>10863.13</v>
          </cell>
        </row>
        <row r="1443">
          <cell r="A1443" t="str">
            <v>71300000-30004000-19030000</v>
          </cell>
          <cell r="B1443" t="str">
            <v>TELEFONOS CELULARES</v>
          </cell>
          <cell r="C1443">
            <v>1125.43</v>
          </cell>
          <cell r="D1443">
            <v>1365.73</v>
          </cell>
          <cell r="E1443">
            <v>0</v>
          </cell>
          <cell r="F1443">
            <v>2491.16</v>
          </cell>
        </row>
        <row r="1444">
          <cell r="A1444" t="str">
            <v>71300000-30004000-20010000</v>
          </cell>
          <cell r="B1444" t="str">
            <v>COMBUSTIBLE AUTOMOVILES</v>
          </cell>
          <cell r="C1444">
            <v>10996.88</v>
          </cell>
          <cell r="D1444">
            <v>4056.64</v>
          </cell>
          <cell r="E1444">
            <v>0</v>
          </cell>
          <cell r="F1444">
            <v>15053.52</v>
          </cell>
        </row>
        <row r="1445">
          <cell r="A1445" t="str">
            <v>71300000-30004000-23130000</v>
          </cell>
          <cell r="B1445" t="str">
            <v>OTROS IMPUESTOS Y DERECHOS</v>
          </cell>
          <cell r="C1445">
            <v>6750.47</v>
          </cell>
          <cell r="D1445">
            <v>1605</v>
          </cell>
          <cell r="E1445">
            <v>0</v>
          </cell>
          <cell r="F1445">
            <v>8355.4699999999993</v>
          </cell>
        </row>
        <row r="1446">
          <cell r="A1446" t="str">
            <v>71300000-30004000-35020000</v>
          </cell>
          <cell r="B1446" t="str">
            <v>DIVERSOS NO DEDUCIBLES</v>
          </cell>
          <cell r="C1446">
            <v>2111</v>
          </cell>
          <cell r="D1446">
            <v>899</v>
          </cell>
          <cell r="E1446">
            <v>0</v>
          </cell>
          <cell r="F1446">
            <v>3010</v>
          </cell>
        </row>
        <row r="1447">
          <cell r="A1447" t="str">
            <v>71300000-30004000-90030000</v>
          </cell>
          <cell r="B1447" t="str">
            <v>PROVISION AGUINALDO</v>
          </cell>
          <cell r="C1447">
            <v>1884.99</v>
          </cell>
          <cell r="D1447">
            <v>628.33000000000004</v>
          </cell>
          <cell r="E1447">
            <v>0</v>
          </cell>
          <cell r="F1447">
            <v>2513.3200000000002</v>
          </cell>
        </row>
        <row r="1448">
          <cell r="A1448" t="str">
            <v>71300000-30004000-90040000</v>
          </cell>
          <cell r="B1448" t="str">
            <v>BOLETIN D-3</v>
          </cell>
          <cell r="C1448">
            <v>87.75</v>
          </cell>
          <cell r="D1448">
            <v>29.25</v>
          </cell>
          <cell r="E1448">
            <v>0</v>
          </cell>
          <cell r="F1448">
            <v>117</v>
          </cell>
        </row>
        <row r="1449">
          <cell r="A1449" t="str">
            <v>71300000-30005000-00000000</v>
          </cell>
          <cell r="B1449" t="str">
            <v>COSTOS/GASTOS FIJOS TIENDAS</v>
          </cell>
          <cell r="C1449">
            <v>0</v>
          </cell>
          <cell r="D1449">
            <v>2082.02</v>
          </cell>
          <cell r="E1449">
            <v>0</v>
          </cell>
          <cell r="F1449">
            <v>2082.02</v>
          </cell>
        </row>
        <row r="1450">
          <cell r="A1450" t="str">
            <v>71300000-30005000-18040000</v>
          </cell>
          <cell r="B1450" t="str">
            <v>GASTOS DE REPRESENTACION ALIME</v>
          </cell>
          <cell r="C1450">
            <v>0</v>
          </cell>
          <cell r="D1450">
            <v>1106.56</v>
          </cell>
          <cell r="E1450">
            <v>0</v>
          </cell>
          <cell r="F1450">
            <v>1106.56</v>
          </cell>
        </row>
        <row r="1451">
          <cell r="A1451" t="str">
            <v>71300000-30005000-23130000</v>
          </cell>
          <cell r="B1451" t="str">
            <v>OTROS IMPUESTOS Y DERECHOS</v>
          </cell>
          <cell r="C1451">
            <v>0</v>
          </cell>
          <cell r="D1451">
            <v>625.46</v>
          </cell>
          <cell r="E1451">
            <v>0</v>
          </cell>
          <cell r="F1451">
            <v>625.46</v>
          </cell>
        </row>
        <row r="1452">
          <cell r="A1452" t="str">
            <v>71300000-30005000-35020000</v>
          </cell>
          <cell r="B1452" t="str">
            <v>DIVERSOS NO DEDUCIBLES</v>
          </cell>
          <cell r="C1452">
            <v>0</v>
          </cell>
          <cell r="D1452">
            <v>350</v>
          </cell>
          <cell r="E1452">
            <v>0</v>
          </cell>
          <cell r="F1452">
            <v>350</v>
          </cell>
        </row>
        <row r="1453">
          <cell r="A1453" t="str">
            <v>71300000-30006000-00000000</v>
          </cell>
          <cell r="B1453" t="str">
            <v>COSTOS/GASTOS FIJOS NTE CONURB</v>
          </cell>
          <cell r="C1453">
            <v>132181.64000000001</v>
          </cell>
          <cell r="D1453">
            <v>65021.69</v>
          </cell>
          <cell r="E1453">
            <v>58754.22</v>
          </cell>
          <cell r="F1453">
            <v>138449.10999999999</v>
          </cell>
        </row>
        <row r="1454">
          <cell r="A1454" t="str">
            <v>71300000-30006000-05010000</v>
          </cell>
          <cell r="B1454" t="str">
            <v>SERV. PROFESIONALES EXTERNOS</v>
          </cell>
          <cell r="C1454">
            <v>52312.15</v>
          </cell>
          <cell r="D1454">
            <v>17229.25</v>
          </cell>
          <cell r="E1454">
            <v>35485.86</v>
          </cell>
          <cell r="F1454">
            <v>34055.54</v>
          </cell>
        </row>
        <row r="1455">
          <cell r="A1455" t="str">
            <v>71300000-30006000-12010000</v>
          </cell>
          <cell r="B1455" t="str">
            <v>ARREND. AUTOMOVILES</v>
          </cell>
          <cell r="C1455">
            <v>0</v>
          </cell>
          <cell r="D1455">
            <v>7216.8</v>
          </cell>
          <cell r="E1455">
            <v>3608.4</v>
          </cell>
          <cell r="F1455">
            <v>3608.4</v>
          </cell>
        </row>
        <row r="1456">
          <cell r="A1456" t="str">
            <v>71300000-30006000-15010000</v>
          </cell>
          <cell r="B1456" t="str">
            <v>MANT. AUTOMOVILES</v>
          </cell>
          <cell r="C1456">
            <v>7542.16</v>
          </cell>
          <cell r="D1456">
            <v>0</v>
          </cell>
          <cell r="E1456">
            <v>1521.08</v>
          </cell>
          <cell r="F1456">
            <v>6021.08</v>
          </cell>
        </row>
        <row r="1457">
          <cell r="A1457" t="str">
            <v>71300000-30006000-16010000</v>
          </cell>
          <cell r="B1457" t="str">
            <v>PAPELERIA</v>
          </cell>
          <cell r="C1457">
            <v>210</v>
          </cell>
          <cell r="D1457">
            <v>0</v>
          </cell>
          <cell r="E1457">
            <v>0</v>
          </cell>
          <cell r="F1457">
            <v>210</v>
          </cell>
        </row>
        <row r="1458">
          <cell r="A1458" t="str">
            <v>71300000-30006000-18020000</v>
          </cell>
          <cell r="B1458" t="str">
            <v>PASAJES Y TRANSPORTES LOCALES</v>
          </cell>
          <cell r="C1458">
            <v>3000</v>
          </cell>
          <cell r="D1458">
            <v>0</v>
          </cell>
          <cell r="E1458">
            <v>0</v>
          </cell>
          <cell r="F1458">
            <v>3000</v>
          </cell>
        </row>
        <row r="1459">
          <cell r="A1459" t="str">
            <v>71300000-30006000-18030000</v>
          </cell>
          <cell r="B1459" t="str">
            <v>GASTOS DE REPRESENTACION TRANS</v>
          </cell>
          <cell r="C1459">
            <v>730</v>
          </cell>
          <cell r="D1459">
            <v>6962</v>
          </cell>
          <cell r="E1459">
            <v>2844.5</v>
          </cell>
          <cell r="F1459">
            <v>4847.5</v>
          </cell>
        </row>
        <row r="1460">
          <cell r="A1460" t="str">
            <v>71300000-30006000-18040000</v>
          </cell>
          <cell r="B1460" t="str">
            <v>GASTOS DE REPRESENTACION ALIME</v>
          </cell>
          <cell r="C1460">
            <v>22484.99</v>
          </cell>
          <cell r="D1460">
            <v>13310.26</v>
          </cell>
          <cell r="E1460">
            <v>1218.46</v>
          </cell>
          <cell r="F1460">
            <v>34576.79</v>
          </cell>
        </row>
        <row r="1461">
          <cell r="A1461" t="str">
            <v>71300000-30006000-19030000</v>
          </cell>
          <cell r="B1461" t="str">
            <v>TELEFONOS CELULARES</v>
          </cell>
          <cell r="C1461">
            <v>2478.2600000000002</v>
          </cell>
          <cell r="D1461">
            <v>4174.96</v>
          </cell>
          <cell r="E1461">
            <v>3326.61</v>
          </cell>
          <cell r="F1461">
            <v>3326.61</v>
          </cell>
        </row>
        <row r="1462">
          <cell r="A1462" t="str">
            <v>71300000-30006000-19050000</v>
          </cell>
          <cell r="B1462" t="str">
            <v>INTERNET</v>
          </cell>
          <cell r="C1462">
            <v>2645.96</v>
          </cell>
          <cell r="D1462">
            <v>780.86</v>
          </cell>
          <cell r="E1462">
            <v>1713.41</v>
          </cell>
          <cell r="F1462">
            <v>1713.41</v>
          </cell>
        </row>
        <row r="1463">
          <cell r="A1463" t="str">
            <v>71300000-30006000-19070000</v>
          </cell>
          <cell r="B1463" t="str">
            <v>MENSAJERIA ESPECIALIZADA</v>
          </cell>
          <cell r="C1463">
            <v>1950.12</v>
          </cell>
          <cell r="D1463">
            <v>556.9</v>
          </cell>
          <cell r="E1463">
            <v>0</v>
          </cell>
          <cell r="F1463">
            <v>2507.02</v>
          </cell>
        </row>
        <row r="1464">
          <cell r="A1464" t="str">
            <v>71300000-30006000-20010000</v>
          </cell>
          <cell r="B1464" t="str">
            <v>COMBUSTIBLE AUTOMOVILES</v>
          </cell>
          <cell r="C1464">
            <v>24906.35</v>
          </cell>
          <cell r="D1464">
            <v>5955.56</v>
          </cell>
          <cell r="E1464">
            <v>6231.3</v>
          </cell>
          <cell r="F1464">
            <v>24630.61</v>
          </cell>
        </row>
        <row r="1465">
          <cell r="A1465" t="str">
            <v>71300000-30006000-21010000</v>
          </cell>
          <cell r="B1465" t="str">
            <v>HONORARIOS PERSONAS FISICAS</v>
          </cell>
          <cell r="C1465">
            <v>0</v>
          </cell>
          <cell r="D1465">
            <v>996.54</v>
          </cell>
          <cell r="E1465">
            <v>996.54</v>
          </cell>
          <cell r="F1465">
            <v>0</v>
          </cell>
        </row>
        <row r="1466">
          <cell r="A1466" t="str">
            <v>71300000-30006000-23120000</v>
          </cell>
          <cell r="B1466" t="str">
            <v>DIVERSOS</v>
          </cell>
          <cell r="C1466">
            <v>360</v>
          </cell>
          <cell r="D1466">
            <v>0</v>
          </cell>
          <cell r="E1466">
            <v>0</v>
          </cell>
          <cell r="F1466">
            <v>360</v>
          </cell>
        </row>
        <row r="1467">
          <cell r="A1467" t="str">
            <v>71300000-30006000-23130000</v>
          </cell>
          <cell r="B1467" t="str">
            <v>OTROS IMPUESTOS Y DERECHOS</v>
          </cell>
          <cell r="C1467">
            <v>8612.19</v>
          </cell>
          <cell r="D1467">
            <v>7179.56</v>
          </cell>
          <cell r="E1467">
            <v>1587.06</v>
          </cell>
          <cell r="F1467">
            <v>14204.69</v>
          </cell>
        </row>
        <row r="1468">
          <cell r="A1468" t="str">
            <v>71300000-30006000-35020000</v>
          </cell>
          <cell r="B1468" t="str">
            <v>DIVERSOS NO DEDUCIBLES</v>
          </cell>
          <cell r="C1468">
            <v>4949.46</v>
          </cell>
          <cell r="D1468">
            <v>659</v>
          </cell>
          <cell r="E1468">
            <v>221</v>
          </cell>
          <cell r="F1468">
            <v>5387.46</v>
          </cell>
        </row>
        <row r="1469">
          <cell r="A1469" t="str">
            <v>71300000-30007000-00000000</v>
          </cell>
          <cell r="B1469" t="str">
            <v>COSTOS/GASTOS FIJOS PAC NTE</v>
          </cell>
          <cell r="C1469">
            <v>84905.98</v>
          </cell>
          <cell r="D1469">
            <v>26578.07</v>
          </cell>
          <cell r="E1469">
            <v>0</v>
          </cell>
          <cell r="F1469">
            <v>111484.05</v>
          </cell>
        </row>
        <row r="1470">
          <cell r="A1470" t="str">
            <v>71300000-30007000-01010000</v>
          </cell>
          <cell r="B1470" t="str">
            <v>SUELDOS Y SALARIOS</v>
          </cell>
          <cell r="C1470">
            <v>18850.29</v>
          </cell>
          <cell r="D1470">
            <v>6500.1</v>
          </cell>
          <cell r="E1470">
            <v>0</v>
          </cell>
          <cell r="F1470">
            <v>25350.39</v>
          </cell>
        </row>
        <row r="1471">
          <cell r="A1471" t="str">
            <v>71300000-30007000-01040000</v>
          </cell>
          <cell r="B1471" t="str">
            <v>VACACIONES</v>
          </cell>
          <cell r="C1471">
            <v>650.01</v>
          </cell>
          <cell r="D1471">
            <v>0</v>
          </cell>
          <cell r="E1471">
            <v>0</v>
          </cell>
          <cell r="F1471">
            <v>650.01</v>
          </cell>
        </row>
        <row r="1472">
          <cell r="A1472" t="str">
            <v>71300000-30007000-01050000</v>
          </cell>
          <cell r="B1472" t="str">
            <v>PRIMA VACACIONAL</v>
          </cell>
          <cell r="C1472">
            <v>422.51</v>
          </cell>
          <cell r="D1472">
            <v>0</v>
          </cell>
          <cell r="E1472">
            <v>0</v>
          </cell>
          <cell r="F1472">
            <v>422.51</v>
          </cell>
        </row>
        <row r="1473">
          <cell r="A1473" t="str">
            <v>71300000-30007000-03010000</v>
          </cell>
          <cell r="B1473" t="str">
            <v>FONDO DE AHORRO</v>
          </cell>
          <cell r="C1473">
            <v>1508</v>
          </cell>
          <cell r="D1473">
            <v>520</v>
          </cell>
          <cell r="E1473">
            <v>0</v>
          </cell>
          <cell r="F1473">
            <v>2028</v>
          </cell>
        </row>
        <row r="1474">
          <cell r="A1474" t="str">
            <v>71300000-30007000-03020000</v>
          </cell>
          <cell r="B1474" t="str">
            <v>CUOTAS AL I.M.S.S.</v>
          </cell>
          <cell r="C1474">
            <v>4306.6899999999996</v>
          </cell>
          <cell r="D1474">
            <v>1375.39</v>
          </cell>
          <cell r="E1474">
            <v>0</v>
          </cell>
          <cell r="F1474">
            <v>5682.08</v>
          </cell>
        </row>
        <row r="1475">
          <cell r="A1475" t="str">
            <v>71300000-30007000-03040000</v>
          </cell>
          <cell r="B1475" t="str">
            <v>DESPENSA EN VALES</v>
          </cell>
          <cell r="C1475">
            <v>780</v>
          </cell>
          <cell r="D1475">
            <v>260</v>
          </cell>
          <cell r="E1475">
            <v>0</v>
          </cell>
          <cell r="F1475">
            <v>1040</v>
          </cell>
        </row>
        <row r="1476">
          <cell r="A1476" t="str">
            <v>71300000-30007000-04010000</v>
          </cell>
          <cell r="B1476" t="str">
            <v>2.5% SOBRE NOMINAS</v>
          </cell>
          <cell r="C1476">
            <v>1271</v>
          </cell>
          <cell r="D1476">
            <v>441</v>
          </cell>
          <cell r="E1476">
            <v>0</v>
          </cell>
          <cell r="F1476">
            <v>1712</v>
          </cell>
        </row>
        <row r="1477">
          <cell r="A1477" t="str">
            <v>71300000-30007000-04020000</v>
          </cell>
          <cell r="B1477" t="str">
            <v>5% INFONAVIT</v>
          </cell>
          <cell r="C1477">
            <v>2805.22</v>
          </cell>
          <cell r="D1477">
            <v>885.75</v>
          </cell>
          <cell r="E1477">
            <v>0</v>
          </cell>
          <cell r="F1477">
            <v>3690.97</v>
          </cell>
        </row>
        <row r="1478">
          <cell r="A1478" t="str">
            <v>71300000-30007000-04030000</v>
          </cell>
          <cell r="B1478" t="str">
            <v>2% S.A.R. / RETIRO</v>
          </cell>
          <cell r="C1478">
            <v>1122.0899999999999</v>
          </cell>
          <cell r="D1478">
            <v>354.3</v>
          </cell>
          <cell r="E1478">
            <v>0</v>
          </cell>
          <cell r="F1478">
            <v>1476.39</v>
          </cell>
        </row>
        <row r="1479">
          <cell r="A1479" t="str">
            <v>71300000-30007000-04040000</v>
          </cell>
          <cell r="B1479" t="str">
            <v>CESANTIA Y VEJEZ</v>
          </cell>
          <cell r="C1479">
            <v>1767.28</v>
          </cell>
          <cell r="D1479">
            <v>558.01</v>
          </cell>
          <cell r="E1479">
            <v>0</v>
          </cell>
          <cell r="F1479">
            <v>2325.29</v>
          </cell>
        </row>
        <row r="1480">
          <cell r="A1480" t="str">
            <v>71300000-30007000-12010000</v>
          </cell>
          <cell r="B1480" t="str">
            <v>ARREND. AUTOMOVILES</v>
          </cell>
          <cell r="C1480">
            <v>0</v>
          </cell>
          <cell r="D1480">
            <v>3608.4</v>
          </cell>
          <cell r="E1480">
            <v>0</v>
          </cell>
          <cell r="F1480">
            <v>3608.4</v>
          </cell>
        </row>
        <row r="1481">
          <cell r="A1481" t="str">
            <v>71300000-30007000-15010000</v>
          </cell>
          <cell r="B1481" t="str">
            <v>MANT. AUTOMOVILES</v>
          </cell>
          <cell r="C1481">
            <v>11128.25</v>
          </cell>
          <cell r="D1481">
            <v>0</v>
          </cell>
          <cell r="E1481">
            <v>0</v>
          </cell>
          <cell r="F1481">
            <v>11128.25</v>
          </cell>
        </row>
        <row r="1482">
          <cell r="A1482" t="str">
            <v>71300000-30007000-15090000</v>
          </cell>
          <cell r="B1482" t="str">
            <v>MANTTO A TIENDAS</v>
          </cell>
          <cell r="C1482">
            <v>6000</v>
          </cell>
          <cell r="D1482">
            <v>0</v>
          </cell>
          <cell r="E1482">
            <v>0</v>
          </cell>
          <cell r="F1482">
            <v>6000</v>
          </cell>
        </row>
        <row r="1483">
          <cell r="A1483" t="str">
            <v>71300000-30007000-18020000</v>
          </cell>
          <cell r="B1483" t="str">
            <v>PASAJES Y TRANSPORTES LOCALES</v>
          </cell>
          <cell r="C1483">
            <v>922</v>
          </cell>
          <cell r="D1483">
            <v>0</v>
          </cell>
          <cell r="E1483">
            <v>0</v>
          </cell>
          <cell r="F1483">
            <v>922</v>
          </cell>
        </row>
        <row r="1484">
          <cell r="A1484" t="str">
            <v>71300000-30007000-18030000</v>
          </cell>
          <cell r="B1484" t="str">
            <v>GASTOS DE REPRESENTACION TRANS</v>
          </cell>
          <cell r="C1484">
            <v>3718.5</v>
          </cell>
          <cell r="D1484">
            <v>3111</v>
          </cell>
          <cell r="E1484">
            <v>0</v>
          </cell>
          <cell r="F1484">
            <v>6829.5</v>
          </cell>
        </row>
        <row r="1485">
          <cell r="A1485" t="str">
            <v>71300000-30007000-18040000</v>
          </cell>
          <cell r="B1485" t="str">
            <v>GASTOS DE REPRESENTACION ALIME</v>
          </cell>
          <cell r="C1485">
            <v>8799.67</v>
          </cell>
          <cell r="D1485">
            <v>1854</v>
          </cell>
          <cell r="E1485">
            <v>0</v>
          </cell>
          <cell r="F1485">
            <v>10653.67</v>
          </cell>
        </row>
        <row r="1486">
          <cell r="A1486" t="str">
            <v>71300000-30007000-19030000</v>
          </cell>
          <cell r="B1486" t="str">
            <v>TELEFONOS CELULARES</v>
          </cell>
          <cell r="C1486">
            <v>1203.6400000000001</v>
          </cell>
          <cell r="D1486">
            <v>1655.42</v>
          </cell>
          <cell r="E1486">
            <v>0</v>
          </cell>
          <cell r="F1486">
            <v>2859.06</v>
          </cell>
        </row>
        <row r="1487">
          <cell r="A1487" t="str">
            <v>71300000-30007000-19070000</v>
          </cell>
          <cell r="B1487" t="str">
            <v>MENSAJERIA ESPECIALIZADA</v>
          </cell>
          <cell r="C1487">
            <v>1252.8800000000001</v>
          </cell>
          <cell r="D1487">
            <v>245</v>
          </cell>
          <cell r="E1487">
            <v>0</v>
          </cell>
          <cell r="F1487">
            <v>1497.88</v>
          </cell>
        </row>
        <row r="1488">
          <cell r="A1488" t="str">
            <v>71300000-30007000-20010000</v>
          </cell>
          <cell r="B1488" t="str">
            <v>COMBUSTIBLE AUTOMOVILES</v>
          </cell>
          <cell r="C1488">
            <v>6769.37</v>
          </cell>
          <cell r="D1488">
            <v>2760.49</v>
          </cell>
          <cell r="E1488">
            <v>0</v>
          </cell>
          <cell r="F1488">
            <v>9529.86</v>
          </cell>
        </row>
        <row r="1489">
          <cell r="A1489" t="str">
            <v>71300000-30007000-21010000</v>
          </cell>
          <cell r="B1489" t="str">
            <v>HONORARIOS PERSONAS FISICAS</v>
          </cell>
          <cell r="C1489">
            <v>0</v>
          </cell>
          <cell r="D1489">
            <v>996.54</v>
          </cell>
          <cell r="E1489">
            <v>0</v>
          </cell>
          <cell r="F1489">
            <v>996.54</v>
          </cell>
        </row>
        <row r="1490">
          <cell r="A1490" t="str">
            <v>71300000-30007000-23120000</v>
          </cell>
          <cell r="B1490" t="str">
            <v>DIVERSOS</v>
          </cell>
          <cell r="C1490">
            <v>2197.6</v>
          </cell>
          <cell r="D1490">
            <v>0</v>
          </cell>
          <cell r="E1490">
            <v>0</v>
          </cell>
          <cell r="F1490">
            <v>2197.6</v>
          </cell>
        </row>
        <row r="1491">
          <cell r="A1491" t="str">
            <v>71300000-30007000-23130000</v>
          </cell>
          <cell r="B1491" t="str">
            <v>OTROS IMPUESTOS Y DERECHOS</v>
          </cell>
          <cell r="C1491">
            <v>6333.69</v>
          </cell>
          <cell r="D1491">
            <v>754.8</v>
          </cell>
          <cell r="E1491">
            <v>0</v>
          </cell>
          <cell r="F1491">
            <v>7088.49</v>
          </cell>
        </row>
        <row r="1492">
          <cell r="A1492" t="str">
            <v>71300000-30007000-35020000</v>
          </cell>
          <cell r="B1492" t="str">
            <v>DIVERSOS NO DEDUCIBLES</v>
          </cell>
          <cell r="C1492">
            <v>1438.68</v>
          </cell>
          <cell r="D1492">
            <v>145</v>
          </cell>
          <cell r="E1492">
            <v>0</v>
          </cell>
          <cell r="F1492">
            <v>1583.68</v>
          </cell>
        </row>
        <row r="1493">
          <cell r="A1493" t="str">
            <v>71300000-30007000-90030000</v>
          </cell>
          <cell r="B1493" t="str">
            <v>PROVISION AGUINALDO</v>
          </cell>
          <cell r="C1493">
            <v>1570.86</v>
          </cell>
          <cell r="D1493">
            <v>523.62</v>
          </cell>
          <cell r="E1493">
            <v>0</v>
          </cell>
          <cell r="F1493">
            <v>2094.48</v>
          </cell>
        </row>
        <row r="1494">
          <cell r="A1494" t="str">
            <v>71300000-30007000-90040000</v>
          </cell>
          <cell r="B1494" t="str">
            <v>BOLETIN D-3</v>
          </cell>
          <cell r="C1494">
            <v>87.75</v>
          </cell>
          <cell r="D1494">
            <v>29.25</v>
          </cell>
          <cell r="E1494">
            <v>0</v>
          </cell>
          <cell r="F1494">
            <v>117</v>
          </cell>
        </row>
        <row r="1495">
          <cell r="A1495" t="str">
            <v>71300000-30008000-00000000</v>
          </cell>
          <cell r="B1495" t="str">
            <v>COSTOS/GASTOS FIJOS PAC CTRO</v>
          </cell>
          <cell r="C1495">
            <v>84942.73</v>
          </cell>
          <cell r="D1495">
            <v>25235.040000000001</v>
          </cell>
          <cell r="E1495">
            <v>0</v>
          </cell>
          <cell r="F1495">
            <v>110177.77</v>
          </cell>
        </row>
        <row r="1496">
          <cell r="A1496" t="str">
            <v>71300000-30008000-01010000</v>
          </cell>
          <cell r="B1496" t="str">
            <v>SUELDOS Y SALARIOS</v>
          </cell>
          <cell r="C1496">
            <v>26999.73</v>
          </cell>
          <cell r="D1496">
            <v>9958.23</v>
          </cell>
          <cell r="E1496">
            <v>0</v>
          </cell>
          <cell r="F1496">
            <v>36957.96</v>
          </cell>
        </row>
        <row r="1497">
          <cell r="A1497" t="str">
            <v>71300000-30008000-01030000</v>
          </cell>
          <cell r="B1497" t="str">
            <v>GRATIFICACIONES</v>
          </cell>
          <cell r="C1497">
            <v>659.5</v>
          </cell>
          <cell r="D1497">
            <v>265</v>
          </cell>
          <cell r="E1497">
            <v>0</v>
          </cell>
          <cell r="F1497">
            <v>924.5</v>
          </cell>
        </row>
        <row r="1498">
          <cell r="A1498" t="str">
            <v>71300000-30008000-01040000</v>
          </cell>
          <cell r="B1498" t="str">
            <v>VACACIONES</v>
          </cell>
          <cell r="C1498">
            <v>2999.97</v>
          </cell>
          <cell r="D1498">
            <v>0</v>
          </cell>
          <cell r="E1498">
            <v>0</v>
          </cell>
          <cell r="F1498">
            <v>2999.97</v>
          </cell>
        </row>
        <row r="1499">
          <cell r="A1499" t="str">
            <v>71300000-30008000-01050000</v>
          </cell>
          <cell r="B1499" t="str">
            <v>PRIMA VACACIONAL</v>
          </cell>
          <cell r="C1499">
            <v>1949.98</v>
          </cell>
          <cell r="D1499">
            <v>0</v>
          </cell>
          <cell r="E1499">
            <v>0</v>
          </cell>
          <cell r="F1499">
            <v>1949.98</v>
          </cell>
        </row>
        <row r="1500">
          <cell r="A1500" t="str">
            <v>71300000-30008000-03010000</v>
          </cell>
          <cell r="B1500" t="str">
            <v>FONDO DE AHORRO</v>
          </cell>
          <cell r="C1500">
            <v>2159.9899999999998</v>
          </cell>
          <cell r="D1500">
            <v>796.66</v>
          </cell>
          <cell r="E1500">
            <v>0</v>
          </cell>
          <cell r="F1500">
            <v>2956.65</v>
          </cell>
        </row>
        <row r="1501">
          <cell r="A1501" t="str">
            <v>71300000-30008000-03020000</v>
          </cell>
          <cell r="B1501" t="str">
            <v>CUOTAS AL I.M.S.S.</v>
          </cell>
          <cell r="C1501">
            <v>5299.51</v>
          </cell>
          <cell r="D1501">
            <v>1672.91</v>
          </cell>
          <cell r="E1501">
            <v>0</v>
          </cell>
          <cell r="F1501">
            <v>6972.42</v>
          </cell>
        </row>
        <row r="1502">
          <cell r="A1502" t="str">
            <v>71300000-30008000-03040000</v>
          </cell>
          <cell r="B1502" t="str">
            <v>DESPENSA EN VALES</v>
          </cell>
          <cell r="C1502">
            <v>1200</v>
          </cell>
          <cell r="D1502">
            <v>400</v>
          </cell>
          <cell r="E1502">
            <v>0</v>
          </cell>
          <cell r="F1502">
            <v>1600</v>
          </cell>
        </row>
        <row r="1503">
          <cell r="A1503" t="str">
            <v>71300000-30008000-04010000</v>
          </cell>
          <cell r="B1503" t="str">
            <v>2.5% SOBRE NOMINAS</v>
          </cell>
          <cell r="C1503">
            <v>1747</v>
          </cell>
          <cell r="D1503">
            <v>946</v>
          </cell>
          <cell r="E1503">
            <v>0</v>
          </cell>
          <cell r="F1503">
            <v>2693</v>
          </cell>
        </row>
        <row r="1504">
          <cell r="A1504" t="str">
            <v>71300000-30008000-04020000</v>
          </cell>
          <cell r="B1504" t="str">
            <v>5% INFONAVIT</v>
          </cell>
          <cell r="C1504">
            <v>3618.99</v>
          </cell>
          <cell r="D1504">
            <v>1129.6199999999999</v>
          </cell>
          <cell r="E1504">
            <v>0</v>
          </cell>
          <cell r="F1504">
            <v>4748.6099999999997</v>
          </cell>
        </row>
        <row r="1505">
          <cell r="A1505" t="str">
            <v>71300000-30008000-04030000</v>
          </cell>
          <cell r="B1505" t="str">
            <v>2% S.A.R. / RETIRO</v>
          </cell>
          <cell r="C1505">
            <v>1447.6</v>
          </cell>
          <cell r="D1505">
            <v>451.85</v>
          </cell>
          <cell r="E1505">
            <v>0</v>
          </cell>
          <cell r="F1505">
            <v>1899.45</v>
          </cell>
        </row>
        <row r="1506">
          <cell r="A1506" t="str">
            <v>71300000-30008000-04040000</v>
          </cell>
          <cell r="B1506" t="str">
            <v>CESANTIA Y VEJEZ</v>
          </cell>
          <cell r="C1506">
            <v>2279.9499999999998</v>
          </cell>
          <cell r="D1506">
            <v>711.66</v>
          </cell>
          <cell r="E1506">
            <v>0</v>
          </cell>
          <cell r="F1506">
            <v>2991.61</v>
          </cell>
        </row>
        <row r="1507">
          <cell r="A1507" t="str">
            <v>71300000-30008000-12010000</v>
          </cell>
          <cell r="B1507" t="str">
            <v>ARREND. AUTOMOVILES</v>
          </cell>
          <cell r="C1507">
            <v>5338.42</v>
          </cell>
          <cell r="D1507">
            <v>0</v>
          </cell>
          <cell r="E1507">
            <v>0</v>
          </cell>
          <cell r="F1507">
            <v>5338.42</v>
          </cell>
        </row>
        <row r="1508">
          <cell r="A1508" t="str">
            <v>71300000-30008000-15010000</v>
          </cell>
          <cell r="B1508" t="str">
            <v>MANT. AUTOMOVILES</v>
          </cell>
          <cell r="C1508">
            <v>2992.06</v>
          </cell>
          <cell r="D1508">
            <v>0</v>
          </cell>
          <cell r="E1508">
            <v>0</v>
          </cell>
          <cell r="F1508">
            <v>2992.06</v>
          </cell>
        </row>
        <row r="1509">
          <cell r="A1509" t="str">
            <v>71300000-30008000-16010000</v>
          </cell>
          <cell r="B1509" t="str">
            <v>PAPELERIA</v>
          </cell>
          <cell r="C1509">
            <v>140</v>
          </cell>
          <cell r="D1509">
            <v>0</v>
          </cell>
          <cell r="E1509">
            <v>0</v>
          </cell>
          <cell r="F1509">
            <v>140</v>
          </cell>
        </row>
        <row r="1510">
          <cell r="A1510" t="str">
            <v>71300000-30008000-18040000</v>
          </cell>
          <cell r="B1510" t="str">
            <v>GASTOS DE REPRESENTACION ALIME</v>
          </cell>
          <cell r="C1510">
            <v>7032.01</v>
          </cell>
          <cell r="D1510">
            <v>3124.72</v>
          </cell>
          <cell r="E1510">
            <v>0</v>
          </cell>
          <cell r="F1510">
            <v>10156.73</v>
          </cell>
        </row>
        <row r="1511">
          <cell r="A1511" t="str">
            <v>71300000-30008000-19030000</v>
          </cell>
          <cell r="B1511" t="str">
            <v>TELEFONOS CELULARES</v>
          </cell>
          <cell r="C1511">
            <v>1145.18</v>
          </cell>
          <cell r="D1511">
            <v>1305.27</v>
          </cell>
          <cell r="E1511">
            <v>0</v>
          </cell>
          <cell r="F1511">
            <v>2450.4499999999998</v>
          </cell>
        </row>
        <row r="1512">
          <cell r="A1512" t="str">
            <v>71300000-30008000-20010000</v>
          </cell>
          <cell r="B1512" t="str">
            <v>COMBUSTIBLE AUTOMOVILES</v>
          </cell>
          <cell r="C1512">
            <v>8175.09</v>
          </cell>
          <cell r="D1512">
            <v>1527.5</v>
          </cell>
          <cell r="E1512">
            <v>0</v>
          </cell>
          <cell r="F1512">
            <v>9702.59</v>
          </cell>
        </row>
        <row r="1513">
          <cell r="A1513" t="str">
            <v>71300000-30008000-23130000</v>
          </cell>
          <cell r="B1513" t="str">
            <v>OTROS IMPUESTOS Y DERECHOS</v>
          </cell>
          <cell r="C1513">
            <v>5504.11</v>
          </cell>
          <cell r="D1513">
            <v>1304.1199999999999</v>
          </cell>
          <cell r="E1513">
            <v>0</v>
          </cell>
          <cell r="F1513">
            <v>6808.23</v>
          </cell>
        </row>
        <row r="1514">
          <cell r="A1514" t="str">
            <v>71300000-30008000-23140000</v>
          </cell>
          <cell r="B1514" t="str">
            <v>FLETES Y ACARREOS</v>
          </cell>
          <cell r="C1514">
            <v>0</v>
          </cell>
          <cell r="D1514">
            <v>53.7</v>
          </cell>
          <cell r="E1514">
            <v>0</v>
          </cell>
          <cell r="F1514">
            <v>53.7</v>
          </cell>
        </row>
        <row r="1515">
          <cell r="A1515" t="str">
            <v>71300000-30008000-35020000</v>
          </cell>
          <cell r="B1515" t="str">
            <v>DIVERSOS NO DEDUCIBLES</v>
          </cell>
          <cell r="C1515">
            <v>1749.24</v>
          </cell>
          <cell r="D1515">
            <v>753</v>
          </cell>
          <cell r="E1515">
            <v>0</v>
          </cell>
          <cell r="F1515">
            <v>2502.2399999999998</v>
          </cell>
        </row>
        <row r="1516">
          <cell r="A1516" t="str">
            <v>71300000-30008000-90030000</v>
          </cell>
          <cell r="B1516" t="str">
            <v>PROVISION AGUINALDO</v>
          </cell>
          <cell r="C1516">
            <v>2416.65</v>
          </cell>
          <cell r="D1516">
            <v>805.55</v>
          </cell>
          <cell r="E1516">
            <v>0</v>
          </cell>
          <cell r="F1516">
            <v>3222.2</v>
          </cell>
        </row>
        <row r="1517">
          <cell r="A1517" t="str">
            <v>71300000-30008000-90040000</v>
          </cell>
          <cell r="B1517" t="str">
            <v>BOLETIN D-3</v>
          </cell>
          <cell r="C1517">
            <v>87.75</v>
          </cell>
          <cell r="D1517">
            <v>29.25</v>
          </cell>
          <cell r="E1517">
            <v>0</v>
          </cell>
          <cell r="F1517">
            <v>117</v>
          </cell>
        </row>
        <row r="1518">
          <cell r="A1518" t="str">
            <v>71300000-30009000-00000000</v>
          </cell>
          <cell r="B1518" t="str">
            <v>COSTOS/GASTOS FIJOS GDL</v>
          </cell>
          <cell r="C1518">
            <v>88707.17</v>
          </cell>
          <cell r="D1518">
            <v>24813.73</v>
          </cell>
          <cell r="E1518">
            <v>0</v>
          </cell>
          <cell r="F1518">
            <v>113520.9</v>
          </cell>
        </row>
        <row r="1519">
          <cell r="A1519" t="str">
            <v>71300000-30009000-05010000</v>
          </cell>
          <cell r="B1519" t="str">
            <v>SERV. PROFESIONALES EXTERNOS</v>
          </cell>
          <cell r="C1519">
            <v>22657.15</v>
          </cell>
          <cell r="D1519">
            <v>6962.25</v>
          </cell>
          <cell r="E1519">
            <v>0</v>
          </cell>
          <cell r="F1519">
            <v>29619.4</v>
          </cell>
        </row>
        <row r="1520">
          <cell r="A1520" t="str">
            <v>71300000-30009000-13020000</v>
          </cell>
          <cell r="B1520" t="str">
            <v>ARRENDAMIENTO DE INMUEBLES PER</v>
          </cell>
          <cell r="C1520">
            <v>31500</v>
          </cell>
          <cell r="D1520">
            <v>10500</v>
          </cell>
          <cell r="E1520">
            <v>0</v>
          </cell>
          <cell r="F1520">
            <v>42000</v>
          </cell>
        </row>
        <row r="1521">
          <cell r="A1521" t="str">
            <v>71300000-30009000-15090000</v>
          </cell>
          <cell r="B1521" t="str">
            <v>MANTTO A TIENDAS</v>
          </cell>
          <cell r="C1521">
            <v>0</v>
          </cell>
          <cell r="D1521">
            <v>600</v>
          </cell>
          <cell r="E1521">
            <v>0</v>
          </cell>
          <cell r="F1521">
            <v>600</v>
          </cell>
        </row>
        <row r="1522">
          <cell r="A1522" t="str">
            <v>71300000-30009000-16010000</v>
          </cell>
          <cell r="B1522" t="str">
            <v>PAPELERIA</v>
          </cell>
          <cell r="C1522">
            <v>38.71</v>
          </cell>
          <cell r="D1522">
            <v>0</v>
          </cell>
          <cell r="E1522">
            <v>0</v>
          </cell>
          <cell r="F1522">
            <v>38.71</v>
          </cell>
        </row>
        <row r="1523">
          <cell r="A1523" t="str">
            <v>71300000-30009000-17010000</v>
          </cell>
          <cell r="B1523" t="str">
            <v>ENERGIA ELECTRICA</v>
          </cell>
          <cell r="C1523">
            <v>1139.3399999999999</v>
          </cell>
          <cell r="D1523">
            <v>0</v>
          </cell>
          <cell r="E1523">
            <v>0</v>
          </cell>
          <cell r="F1523">
            <v>1139.3399999999999</v>
          </cell>
        </row>
        <row r="1524">
          <cell r="A1524" t="str">
            <v>71300000-30009000-18020000</v>
          </cell>
          <cell r="B1524" t="str">
            <v>PASAJES Y TRANSPORTES LOCALES</v>
          </cell>
          <cell r="C1524">
            <v>480</v>
          </cell>
          <cell r="D1524">
            <v>120</v>
          </cell>
          <cell r="E1524">
            <v>0</v>
          </cell>
          <cell r="F1524">
            <v>600</v>
          </cell>
        </row>
        <row r="1525">
          <cell r="A1525" t="str">
            <v>71300000-30009000-18030000</v>
          </cell>
          <cell r="B1525" t="str">
            <v>GASTOS DE REPRESENTACION TRANS</v>
          </cell>
          <cell r="C1525">
            <v>1255</v>
          </cell>
          <cell r="D1525">
            <v>216</v>
          </cell>
          <cell r="E1525">
            <v>0</v>
          </cell>
          <cell r="F1525">
            <v>1471</v>
          </cell>
        </row>
        <row r="1526">
          <cell r="A1526" t="str">
            <v>71300000-30009000-18040000</v>
          </cell>
          <cell r="B1526" t="str">
            <v>GASTOS DE REPRESENTACION ALIME</v>
          </cell>
          <cell r="C1526">
            <v>116.38</v>
          </cell>
          <cell r="D1526">
            <v>174.02</v>
          </cell>
          <cell r="E1526">
            <v>0</v>
          </cell>
          <cell r="F1526">
            <v>290.39999999999998</v>
          </cell>
        </row>
        <row r="1527">
          <cell r="A1527" t="str">
            <v>71300000-30009000-18050000</v>
          </cell>
          <cell r="B1527" t="str">
            <v>AGUA ELECTROPURA</v>
          </cell>
          <cell r="C1527">
            <v>0</v>
          </cell>
          <cell r="D1527">
            <v>200</v>
          </cell>
          <cell r="E1527">
            <v>0</v>
          </cell>
          <cell r="F1527">
            <v>200</v>
          </cell>
        </row>
        <row r="1528">
          <cell r="A1528" t="str">
            <v>71300000-30009000-19070000</v>
          </cell>
          <cell r="B1528" t="str">
            <v>MENSAJERIA ESPECIALIZADA</v>
          </cell>
          <cell r="C1528">
            <v>1062.83</v>
          </cell>
          <cell r="D1528">
            <v>130.6</v>
          </cell>
          <cell r="E1528">
            <v>0</v>
          </cell>
          <cell r="F1528">
            <v>1193.43</v>
          </cell>
        </row>
        <row r="1529">
          <cell r="A1529" t="str">
            <v>71300000-30009000-23120000</v>
          </cell>
          <cell r="B1529" t="str">
            <v>DIVERSOS</v>
          </cell>
          <cell r="C1529">
            <v>788.5</v>
          </cell>
          <cell r="D1529">
            <v>57.36</v>
          </cell>
          <cell r="E1529">
            <v>0</v>
          </cell>
          <cell r="F1529">
            <v>845.86</v>
          </cell>
        </row>
        <row r="1530">
          <cell r="A1530" t="str">
            <v>71300000-30009000-23130000</v>
          </cell>
          <cell r="B1530" t="str">
            <v>OTROS IMPUESTOS Y DERECHOS</v>
          </cell>
          <cell r="C1530">
            <v>328.44</v>
          </cell>
          <cell r="D1530">
            <v>0</v>
          </cell>
          <cell r="E1530">
            <v>0</v>
          </cell>
          <cell r="F1530">
            <v>328.44</v>
          </cell>
        </row>
        <row r="1531">
          <cell r="A1531" t="str">
            <v>71300000-30009000-23140000</v>
          </cell>
          <cell r="B1531" t="str">
            <v>FLETES Y ACARREOS</v>
          </cell>
          <cell r="C1531">
            <v>27967.119999999999</v>
          </cell>
          <cell r="D1531">
            <v>5487.5</v>
          </cell>
          <cell r="E1531">
            <v>0</v>
          </cell>
          <cell r="F1531">
            <v>33454.620000000003</v>
          </cell>
        </row>
        <row r="1532">
          <cell r="A1532" t="str">
            <v>71300000-30009000-35020000</v>
          </cell>
          <cell r="B1532" t="str">
            <v>DIVERSOS NO DEDUCIBLES</v>
          </cell>
          <cell r="C1532">
            <v>1373.7</v>
          </cell>
          <cell r="D1532">
            <v>366</v>
          </cell>
          <cell r="E1532">
            <v>0</v>
          </cell>
          <cell r="F1532">
            <v>1739.7</v>
          </cell>
        </row>
        <row r="1533">
          <cell r="A1533" t="str">
            <v>71300000-30010000-00000000</v>
          </cell>
          <cell r="B1533" t="str">
            <v>COSTOS/GASTOS FIJOS OCCIDENTE</v>
          </cell>
          <cell r="C1533">
            <v>76257.42</v>
          </cell>
          <cell r="D1533">
            <v>26107.16</v>
          </cell>
          <cell r="E1533">
            <v>0</v>
          </cell>
          <cell r="F1533">
            <v>102364.58</v>
          </cell>
        </row>
        <row r="1534">
          <cell r="A1534" t="str">
            <v>71300000-30010000-01010000</v>
          </cell>
          <cell r="B1534" t="str">
            <v>SUELDOS Y SALARIOS</v>
          </cell>
          <cell r="C1534">
            <v>22249.71</v>
          </cell>
          <cell r="D1534">
            <v>7749.9</v>
          </cell>
          <cell r="E1534">
            <v>0</v>
          </cell>
          <cell r="F1534">
            <v>29999.61</v>
          </cell>
        </row>
        <row r="1535">
          <cell r="A1535" t="str">
            <v>71300000-30010000-01030000</v>
          </cell>
          <cell r="B1535" t="str">
            <v>GRATIFICACIONES</v>
          </cell>
          <cell r="C1535">
            <v>225</v>
          </cell>
          <cell r="D1535">
            <v>0</v>
          </cell>
          <cell r="E1535">
            <v>0</v>
          </cell>
          <cell r="F1535">
            <v>225</v>
          </cell>
        </row>
        <row r="1536">
          <cell r="A1536" t="str">
            <v>71300000-30010000-01040000</v>
          </cell>
          <cell r="B1536" t="str">
            <v>VACACIONES</v>
          </cell>
          <cell r="C1536">
            <v>774.99</v>
          </cell>
          <cell r="D1536">
            <v>0</v>
          </cell>
          <cell r="E1536">
            <v>0</v>
          </cell>
          <cell r="F1536">
            <v>774.99</v>
          </cell>
        </row>
        <row r="1537">
          <cell r="A1537" t="str">
            <v>71300000-30010000-01050000</v>
          </cell>
          <cell r="B1537" t="str">
            <v>PRIMA VACACIONAL</v>
          </cell>
          <cell r="C1537">
            <v>503.74</v>
          </cell>
          <cell r="D1537">
            <v>0</v>
          </cell>
          <cell r="E1537">
            <v>0</v>
          </cell>
          <cell r="F1537">
            <v>503.74</v>
          </cell>
        </row>
        <row r="1538">
          <cell r="A1538" t="str">
            <v>71300000-30010000-03010000</v>
          </cell>
          <cell r="B1538" t="str">
            <v>FONDO DE AHORRO</v>
          </cell>
          <cell r="C1538">
            <v>1780</v>
          </cell>
          <cell r="D1538">
            <v>620</v>
          </cell>
          <cell r="E1538">
            <v>0</v>
          </cell>
          <cell r="F1538">
            <v>2400</v>
          </cell>
        </row>
        <row r="1539">
          <cell r="A1539" t="str">
            <v>71300000-30010000-03020000</v>
          </cell>
          <cell r="B1539" t="str">
            <v>CUOTAS AL I.M.S.S.</v>
          </cell>
          <cell r="C1539">
            <v>3396.53</v>
          </cell>
          <cell r="D1539">
            <v>1096.4100000000001</v>
          </cell>
          <cell r="E1539">
            <v>0</v>
          </cell>
          <cell r="F1539">
            <v>4492.9399999999996</v>
          </cell>
        </row>
        <row r="1540">
          <cell r="A1540" t="str">
            <v>71300000-30010000-03040000</v>
          </cell>
          <cell r="B1540" t="str">
            <v>DESPENSA EN VALES</v>
          </cell>
          <cell r="C1540">
            <v>602</v>
          </cell>
          <cell r="D1540">
            <v>310</v>
          </cell>
          <cell r="E1540">
            <v>0</v>
          </cell>
          <cell r="F1540">
            <v>912</v>
          </cell>
        </row>
        <row r="1541">
          <cell r="A1541" t="str">
            <v>71300000-30010000-04010000</v>
          </cell>
          <cell r="B1541" t="str">
            <v>2.5% SOBRE NOMINAS</v>
          </cell>
          <cell r="C1541">
            <v>982</v>
          </cell>
          <cell r="D1541">
            <v>409</v>
          </cell>
          <cell r="E1541">
            <v>0</v>
          </cell>
          <cell r="F1541">
            <v>1391</v>
          </cell>
        </row>
        <row r="1542">
          <cell r="A1542" t="str">
            <v>71300000-30010000-04020000</v>
          </cell>
          <cell r="B1542" t="str">
            <v>5% INFONAVIT</v>
          </cell>
          <cell r="C1542">
            <v>2059.19</v>
          </cell>
          <cell r="D1542">
            <v>657.08</v>
          </cell>
          <cell r="E1542">
            <v>0</v>
          </cell>
          <cell r="F1542">
            <v>2716.27</v>
          </cell>
        </row>
        <row r="1543">
          <cell r="A1543" t="str">
            <v>71300000-30010000-04030000</v>
          </cell>
          <cell r="B1543" t="str">
            <v>2% S.A.R. / RETIRO</v>
          </cell>
          <cell r="C1543">
            <v>823.68</v>
          </cell>
          <cell r="D1543">
            <v>262.83</v>
          </cell>
          <cell r="E1543">
            <v>0</v>
          </cell>
          <cell r="F1543">
            <v>1086.51</v>
          </cell>
        </row>
        <row r="1544">
          <cell r="A1544" t="str">
            <v>71300000-30010000-04040000</v>
          </cell>
          <cell r="B1544" t="str">
            <v>CESANTIA Y VEJEZ</v>
          </cell>
          <cell r="C1544">
            <v>1297.3399999999999</v>
          </cell>
          <cell r="D1544">
            <v>413.97</v>
          </cell>
          <cell r="E1544">
            <v>0</v>
          </cell>
          <cell r="F1544">
            <v>1711.31</v>
          </cell>
        </row>
        <row r="1545">
          <cell r="A1545" t="str">
            <v>71300000-30010000-12010000</v>
          </cell>
          <cell r="B1545" t="str">
            <v>ARREND. AUTOMOVILES</v>
          </cell>
          <cell r="C1545">
            <v>6846.09</v>
          </cell>
          <cell r="D1545">
            <v>2282.0300000000002</v>
          </cell>
          <cell r="E1545">
            <v>0</v>
          </cell>
          <cell r="F1545">
            <v>9128.1200000000008</v>
          </cell>
        </row>
        <row r="1546">
          <cell r="A1546" t="str">
            <v>71300000-30010000-15010000</v>
          </cell>
          <cell r="B1546" t="str">
            <v>MANT. AUTOMOVILES</v>
          </cell>
          <cell r="C1546">
            <v>3915</v>
          </cell>
          <cell r="D1546">
            <v>3150.18</v>
          </cell>
          <cell r="E1546">
            <v>0</v>
          </cell>
          <cell r="F1546">
            <v>7065.18</v>
          </cell>
        </row>
        <row r="1547">
          <cell r="A1547" t="str">
            <v>71300000-30010000-15090000</v>
          </cell>
          <cell r="B1547" t="str">
            <v>MANTTO A TIENDAS</v>
          </cell>
          <cell r="C1547">
            <v>9000</v>
          </cell>
          <cell r="D1547">
            <v>3000</v>
          </cell>
          <cell r="E1547">
            <v>0</v>
          </cell>
          <cell r="F1547">
            <v>12000</v>
          </cell>
        </row>
        <row r="1548">
          <cell r="A1548" t="str">
            <v>71300000-30010000-16010000</v>
          </cell>
          <cell r="B1548" t="str">
            <v>PAPELERIA</v>
          </cell>
          <cell r="C1548">
            <v>140</v>
          </cell>
          <cell r="D1548">
            <v>0</v>
          </cell>
          <cell r="E1548">
            <v>0</v>
          </cell>
          <cell r="F1548">
            <v>140</v>
          </cell>
        </row>
        <row r="1549">
          <cell r="A1549" t="str">
            <v>71300000-30010000-18020000</v>
          </cell>
          <cell r="B1549" t="str">
            <v>PASAJES Y TRANSPORTES LOCALES</v>
          </cell>
          <cell r="C1549">
            <v>560</v>
          </cell>
          <cell r="D1549">
            <v>0</v>
          </cell>
          <cell r="E1549">
            <v>0</v>
          </cell>
          <cell r="F1549">
            <v>560</v>
          </cell>
        </row>
        <row r="1550">
          <cell r="A1550" t="str">
            <v>71300000-30010000-18030000</v>
          </cell>
          <cell r="B1550" t="str">
            <v>GASTOS DE REPRESENTACION TRANS</v>
          </cell>
          <cell r="C1550">
            <v>1130</v>
          </cell>
          <cell r="D1550">
            <v>2090</v>
          </cell>
          <cell r="E1550">
            <v>0</v>
          </cell>
          <cell r="F1550">
            <v>3220</v>
          </cell>
        </row>
        <row r="1551">
          <cell r="A1551" t="str">
            <v>71300000-30010000-18040000</v>
          </cell>
          <cell r="B1551" t="str">
            <v>GASTOS DE REPRESENTACION ALIME</v>
          </cell>
          <cell r="C1551">
            <v>3994.84</v>
          </cell>
          <cell r="D1551">
            <v>829.92</v>
          </cell>
          <cell r="E1551">
            <v>0</v>
          </cell>
          <cell r="F1551">
            <v>4824.76</v>
          </cell>
        </row>
        <row r="1552">
          <cell r="A1552" t="str">
            <v>71300000-30010000-19030000</v>
          </cell>
          <cell r="B1552" t="str">
            <v>TELEFONOS CELULARES</v>
          </cell>
          <cell r="C1552">
            <v>1285.17</v>
          </cell>
          <cell r="D1552">
            <v>1429.11</v>
          </cell>
          <cell r="E1552">
            <v>0</v>
          </cell>
          <cell r="F1552">
            <v>2714.28</v>
          </cell>
        </row>
        <row r="1553">
          <cell r="A1553" t="str">
            <v>71300000-30010000-19070000</v>
          </cell>
          <cell r="B1553" t="str">
            <v>MENSAJERIA ESPECIALIZADA</v>
          </cell>
          <cell r="C1553">
            <v>133.72</v>
          </cell>
          <cell r="D1553">
            <v>0</v>
          </cell>
          <cell r="E1553">
            <v>0</v>
          </cell>
          <cell r="F1553">
            <v>133.72</v>
          </cell>
        </row>
        <row r="1554">
          <cell r="A1554" t="str">
            <v>71300000-30010000-20010000</v>
          </cell>
          <cell r="B1554" t="str">
            <v>COMBUSTIBLE AUTOMOVILES</v>
          </cell>
          <cell r="C1554">
            <v>3125.99</v>
          </cell>
          <cell r="D1554">
            <v>661.47</v>
          </cell>
          <cell r="E1554">
            <v>0</v>
          </cell>
          <cell r="F1554">
            <v>3787.46</v>
          </cell>
        </row>
        <row r="1555">
          <cell r="A1555" t="str">
            <v>71300000-30010000-23130000</v>
          </cell>
          <cell r="B1555" t="str">
            <v>OTROS IMPUESTOS Y DERECHOS</v>
          </cell>
          <cell r="C1555">
            <v>4953.28</v>
          </cell>
          <cell r="D1555">
            <v>491.71</v>
          </cell>
          <cell r="E1555">
            <v>0</v>
          </cell>
          <cell r="F1555">
            <v>5444.99</v>
          </cell>
        </row>
        <row r="1556">
          <cell r="A1556" t="str">
            <v>71300000-30010000-35020000</v>
          </cell>
          <cell r="B1556" t="str">
            <v>DIVERSOS NO DEDUCIBLES</v>
          </cell>
          <cell r="C1556">
            <v>4518.5</v>
          </cell>
          <cell r="D1556">
            <v>0</v>
          </cell>
          <cell r="E1556">
            <v>0</v>
          </cell>
          <cell r="F1556">
            <v>4518.5</v>
          </cell>
        </row>
        <row r="1557">
          <cell r="A1557" t="str">
            <v>71300000-30010000-90030000</v>
          </cell>
          <cell r="B1557" t="str">
            <v>PROVISION AGUINALDO</v>
          </cell>
          <cell r="C1557">
            <v>1872.9</v>
          </cell>
          <cell r="D1557">
            <v>624.29999999999995</v>
          </cell>
          <cell r="E1557">
            <v>0</v>
          </cell>
          <cell r="F1557">
            <v>2497.1999999999998</v>
          </cell>
        </row>
        <row r="1558">
          <cell r="A1558" t="str">
            <v>71300000-30010000-90040000</v>
          </cell>
          <cell r="B1558" t="str">
            <v>BOLETIN D-3</v>
          </cell>
          <cell r="C1558">
            <v>87.75</v>
          </cell>
          <cell r="D1558">
            <v>29.25</v>
          </cell>
          <cell r="E1558">
            <v>0</v>
          </cell>
          <cell r="F1558">
            <v>117</v>
          </cell>
        </row>
        <row r="1559">
          <cell r="A1559" t="str">
            <v>71300000-30011000-00000000</v>
          </cell>
          <cell r="B1559" t="str">
            <v>COSTOS/GASTOS FIJOS CONURBADA</v>
          </cell>
          <cell r="C1559">
            <v>85451.67</v>
          </cell>
          <cell r="D1559">
            <v>34247.21</v>
          </cell>
          <cell r="E1559">
            <v>0</v>
          </cell>
          <cell r="F1559">
            <v>119698.88</v>
          </cell>
        </row>
        <row r="1560">
          <cell r="A1560" t="str">
            <v>71300000-30011000-01010000</v>
          </cell>
          <cell r="B1560" t="str">
            <v>SUELDOS Y SALARIOS</v>
          </cell>
          <cell r="C1560">
            <v>24000.3</v>
          </cell>
          <cell r="D1560">
            <v>8000.1</v>
          </cell>
          <cell r="E1560">
            <v>0</v>
          </cell>
          <cell r="F1560">
            <v>32000.400000000001</v>
          </cell>
        </row>
        <row r="1561">
          <cell r="A1561" t="str">
            <v>71300000-30011000-01030000</v>
          </cell>
          <cell r="B1561" t="str">
            <v>GRATIFICACIONES</v>
          </cell>
          <cell r="C1561">
            <v>643</v>
          </cell>
          <cell r="D1561">
            <v>238.5</v>
          </cell>
          <cell r="E1561">
            <v>0</v>
          </cell>
          <cell r="F1561">
            <v>881.5</v>
          </cell>
        </row>
        <row r="1562">
          <cell r="A1562" t="str">
            <v>71300000-30011000-03010000</v>
          </cell>
          <cell r="B1562" t="str">
            <v>FONDO DE AHORRO</v>
          </cell>
          <cell r="C1562">
            <v>1920</v>
          </cell>
          <cell r="D1562">
            <v>640</v>
          </cell>
          <cell r="E1562">
            <v>0</v>
          </cell>
          <cell r="F1562">
            <v>2560</v>
          </cell>
        </row>
        <row r="1563">
          <cell r="A1563" t="str">
            <v>71300000-30011000-03020000</v>
          </cell>
          <cell r="B1563" t="str">
            <v>CUOTAS AL I.M.S.S.</v>
          </cell>
          <cell r="C1563">
            <v>6910.83</v>
          </cell>
          <cell r="D1563">
            <v>2923.58</v>
          </cell>
          <cell r="E1563">
            <v>0</v>
          </cell>
          <cell r="F1563">
            <v>9834.41</v>
          </cell>
        </row>
        <row r="1564">
          <cell r="A1564" t="str">
            <v>71300000-30011000-03040000</v>
          </cell>
          <cell r="B1564" t="str">
            <v>DESPENSA EN VALES</v>
          </cell>
          <cell r="C1564">
            <v>640</v>
          </cell>
          <cell r="D1564">
            <v>320</v>
          </cell>
          <cell r="E1564">
            <v>0</v>
          </cell>
          <cell r="F1564">
            <v>960</v>
          </cell>
        </row>
        <row r="1565">
          <cell r="A1565" t="str">
            <v>71300000-30011000-04010000</v>
          </cell>
          <cell r="B1565" t="str">
            <v>2.5% SOBRE NOMINAS</v>
          </cell>
          <cell r="C1565">
            <v>3200</v>
          </cell>
          <cell r="D1565">
            <v>935</v>
          </cell>
          <cell r="E1565">
            <v>0</v>
          </cell>
          <cell r="F1565">
            <v>4135</v>
          </cell>
        </row>
        <row r="1566">
          <cell r="A1566" t="str">
            <v>71300000-30011000-04020000</v>
          </cell>
          <cell r="B1566" t="str">
            <v>5% INFONAVIT</v>
          </cell>
          <cell r="C1566">
            <v>4939.76</v>
          </cell>
          <cell r="D1566">
            <v>2154.75</v>
          </cell>
          <cell r="E1566">
            <v>0</v>
          </cell>
          <cell r="F1566">
            <v>7094.51</v>
          </cell>
        </row>
        <row r="1567">
          <cell r="A1567" t="str">
            <v>71300000-30011000-04030000</v>
          </cell>
          <cell r="B1567" t="str">
            <v>2% S.A.R. / RETIRO</v>
          </cell>
          <cell r="C1567">
            <v>1975.9</v>
          </cell>
          <cell r="D1567">
            <v>861.9</v>
          </cell>
          <cell r="E1567">
            <v>0</v>
          </cell>
          <cell r="F1567">
            <v>2837.8</v>
          </cell>
        </row>
        <row r="1568">
          <cell r="A1568" t="str">
            <v>71300000-30011000-04040000</v>
          </cell>
          <cell r="B1568" t="str">
            <v>CESANTIA Y VEJEZ</v>
          </cell>
          <cell r="C1568">
            <v>3112.04</v>
          </cell>
          <cell r="D1568">
            <v>1357.49</v>
          </cell>
          <cell r="E1568">
            <v>0</v>
          </cell>
          <cell r="F1568">
            <v>4469.53</v>
          </cell>
        </row>
        <row r="1569">
          <cell r="A1569" t="str">
            <v>71300000-30011000-15010000</v>
          </cell>
          <cell r="B1569" t="str">
            <v>MANT. AUTOMOVILES</v>
          </cell>
          <cell r="C1569">
            <v>6580.52</v>
          </cell>
          <cell r="D1569">
            <v>0</v>
          </cell>
          <cell r="E1569">
            <v>0</v>
          </cell>
          <cell r="F1569">
            <v>6580.52</v>
          </cell>
        </row>
        <row r="1570">
          <cell r="A1570" t="str">
            <v>71300000-30011000-16010000</v>
          </cell>
          <cell r="B1570" t="str">
            <v>PAPELERIA</v>
          </cell>
          <cell r="C1570">
            <v>140</v>
          </cell>
          <cell r="D1570">
            <v>0</v>
          </cell>
          <cell r="E1570">
            <v>0</v>
          </cell>
          <cell r="F1570">
            <v>140</v>
          </cell>
        </row>
        <row r="1571">
          <cell r="A1571" t="str">
            <v>71300000-30011000-18040000</v>
          </cell>
          <cell r="B1571" t="str">
            <v>GASTOS DE REPRESENTACION ALIME</v>
          </cell>
          <cell r="C1571">
            <v>6517.73</v>
          </cell>
          <cell r="D1571">
            <v>3950.67</v>
          </cell>
          <cell r="E1571">
            <v>0</v>
          </cell>
          <cell r="F1571">
            <v>10468.4</v>
          </cell>
        </row>
        <row r="1572">
          <cell r="A1572" t="str">
            <v>71300000-30011000-19030000</v>
          </cell>
          <cell r="B1572" t="str">
            <v>TELEFONOS CELULARES</v>
          </cell>
          <cell r="C1572">
            <v>1190.52</v>
          </cell>
          <cell r="D1572">
            <v>1266.03</v>
          </cell>
          <cell r="E1572">
            <v>0</v>
          </cell>
          <cell r="F1572">
            <v>2456.5500000000002</v>
          </cell>
        </row>
        <row r="1573">
          <cell r="A1573" t="str">
            <v>71300000-30011000-20010000</v>
          </cell>
          <cell r="B1573" t="str">
            <v>COMBUSTIBLE AUTOMOVILES</v>
          </cell>
          <cell r="C1573">
            <v>14791.61</v>
          </cell>
          <cell r="D1573">
            <v>7936.99</v>
          </cell>
          <cell r="E1573">
            <v>0</v>
          </cell>
          <cell r="F1573">
            <v>22728.6</v>
          </cell>
        </row>
        <row r="1574">
          <cell r="A1574" t="str">
            <v>71300000-30011000-23130000</v>
          </cell>
          <cell r="B1574" t="str">
            <v>OTROS IMPUESTOS Y DERECHOS</v>
          </cell>
          <cell r="C1574">
            <v>4199.84</v>
          </cell>
          <cell r="D1574">
            <v>2340.5</v>
          </cell>
          <cell r="E1574">
            <v>0</v>
          </cell>
          <cell r="F1574">
            <v>6540.34</v>
          </cell>
        </row>
        <row r="1575">
          <cell r="A1575" t="str">
            <v>71300000-30011000-35020000</v>
          </cell>
          <cell r="B1575" t="str">
            <v>DIVERSOS NO DEDUCIBLES</v>
          </cell>
          <cell r="C1575">
            <v>2668.52</v>
          </cell>
          <cell r="D1575">
            <v>648</v>
          </cell>
          <cell r="E1575">
            <v>0</v>
          </cell>
          <cell r="F1575">
            <v>3316.52</v>
          </cell>
        </row>
        <row r="1576">
          <cell r="A1576" t="str">
            <v>71300000-30011000-90030000</v>
          </cell>
          <cell r="B1576" t="str">
            <v>PROVISION AGUINALDO</v>
          </cell>
          <cell r="C1576">
            <v>1933.35</v>
          </cell>
          <cell r="D1576">
            <v>644.45000000000005</v>
          </cell>
          <cell r="E1576">
            <v>0</v>
          </cell>
          <cell r="F1576">
            <v>2577.8000000000002</v>
          </cell>
        </row>
        <row r="1577">
          <cell r="A1577" t="str">
            <v>71300000-30011000-90040000</v>
          </cell>
          <cell r="B1577" t="str">
            <v>BOLETIN D-3</v>
          </cell>
          <cell r="C1577">
            <v>87.75</v>
          </cell>
          <cell r="D1577">
            <v>29.25</v>
          </cell>
          <cell r="E1577">
            <v>0</v>
          </cell>
          <cell r="F1577">
            <v>117</v>
          </cell>
        </row>
        <row r="1578">
          <cell r="A1578" t="str">
            <v>71300000-30012000-00000000</v>
          </cell>
          <cell r="B1578" t="str">
            <v>COSTOS/GTOS LAB FIJOS PRECOR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</row>
        <row r="1579">
          <cell r="A1579" t="str">
            <v>71300000-30013000-00000000</v>
          </cell>
          <cell r="B1579" t="str">
            <v>COSTOS/GASTOS FIJOS CANCUN</v>
          </cell>
          <cell r="C1579">
            <v>223114.45</v>
          </cell>
          <cell r="D1579">
            <v>40565.410000000003</v>
          </cell>
          <cell r="E1579">
            <v>0</v>
          </cell>
          <cell r="F1579">
            <v>263679.86</v>
          </cell>
        </row>
        <row r="1580">
          <cell r="A1580" t="str">
            <v>71300000-30013000-03040000</v>
          </cell>
          <cell r="B1580" t="str">
            <v>DESPENSAS EN VALES</v>
          </cell>
          <cell r="C1580">
            <v>360</v>
          </cell>
          <cell r="D1580">
            <v>0</v>
          </cell>
          <cell r="E1580">
            <v>0</v>
          </cell>
          <cell r="F1580">
            <v>360</v>
          </cell>
        </row>
        <row r="1581">
          <cell r="A1581" t="str">
            <v>71300000-30013000-05010000</v>
          </cell>
          <cell r="B1581" t="str">
            <v>SERV. PROFESIONALES EXTERNOS</v>
          </cell>
          <cell r="C1581">
            <v>30569.24</v>
          </cell>
          <cell r="D1581">
            <v>5974.41</v>
          </cell>
          <cell r="E1581">
            <v>0</v>
          </cell>
          <cell r="F1581">
            <v>36543.65</v>
          </cell>
        </row>
        <row r="1582">
          <cell r="A1582" t="str">
            <v>71300000-30013000-13030000</v>
          </cell>
          <cell r="B1582" t="str">
            <v>ARRENDAMIENTO INMUEBLES SOCIED</v>
          </cell>
          <cell r="C1582">
            <v>80400</v>
          </cell>
          <cell r="D1582">
            <v>0</v>
          </cell>
          <cell r="E1582">
            <v>0</v>
          </cell>
          <cell r="F1582">
            <v>80400</v>
          </cell>
        </row>
        <row r="1583">
          <cell r="A1583" t="str">
            <v>71300000-30013000-15010000</v>
          </cell>
          <cell r="B1583" t="str">
            <v>MANT. AUTOMOVILES</v>
          </cell>
          <cell r="C1583">
            <v>2768.32</v>
          </cell>
          <cell r="D1583">
            <v>163.80000000000001</v>
          </cell>
          <cell r="E1583">
            <v>0</v>
          </cell>
          <cell r="F1583">
            <v>2932.12</v>
          </cell>
        </row>
        <row r="1584">
          <cell r="A1584" t="str">
            <v>71300000-30013000-15090000</v>
          </cell>
          <cell r="B1584" t="str">
            <v>MANTTO A TIENDAS</v>
          </cell>
          <cell r="C1584">
            <v>30169</v>
          </cell>
          <cell r="D1584">
            <v>5800</v>
          </cell>
          <cell r="E1584">
            <v>0</v>
          </cell>
          <cell r="F1584">
            <v>35969</v>
          </cell>
        </row>
        <row r="1585">
          <cell r="A1585" t="str">
            <v>71300000-30013000-16010000</v>
          </cell>
          <cell r="B1585" t="str">
            <v>PAPELERIA</v>
          </cell>
          <cell r="C1585">
            <v>1176.93</v>
          </cell>
          <cell r="D1585">
            <v>537.75</v>
          </cell>
          <cell r="E1585">
            <v>0</v>
          </cell>
          <cell r="F1585">
            <v>1714.68</v>
          </cell>
        </row>
        <row r="1586">
          <cell r="A1586" t="str">
            <v>71300000-30013000-17010000</v>
          </cell>
          <cell r="B1586" t="str">
            <v>ENERGIA ELECTRICA</v>
          </cell>
          <cell r="C1586">
            <v>388.29</v>
          </cell>
          <cell r="D1586">
            <v>0</v>
          </cell>
          <cell r="E1586">
            <v>0</v>
          </cell>
          <cell r="F1586">
            <v>388.29</v>
          </cell>
        </row>
        <row r="1587">
          <cell r="A1587" t="str">
            <v>71300000-30013000-18030000</v>
          </cell>
          <cell r="B1587" t="str">
            <v>GASTOS DE REPRESENTACION TRANS</v>
          </cell>
          <cell r="C1587">
            <v>1446.65</v>
          </cell>
          <cell r="D1587">
            <v>2723</v>
          </cell>
          <cell r="E1587">
            <v>0</v>
          </cell>
          <cell r="F1587">
            <v>4169.6499999999996</v>
          </cell>
        </row>
        <row r="1588">
          <cell r="A1588" t="str">
            <v>71300000-30013000-18040000</v>
          </cell>
          <cell r="B1588" t="str">
            <v>GASTOS DE REPRESENTACION ALIME</v>
          </cell>
          <cell r="C1588">
            <v>5150.74</v>
          </cell>
          <cell r="D1588">
            <v>838.35</v>
          </cell>
          <cell r="E1588">
            <v>0</v>
          </cell>
          <cell r="F1588">
            <v>5989.09</v>
          </cell>
        </row>
        <row r="1589">
          <cell r="A1589" t="str">
            <v>71300000-30013000-19030000</v>
          </cell>
          <cell r="B1589" t="str">
            <v>TELEFONOS CELULARES</v>
          </cell>
          <cell r="C1589">
            <v>2016.07</v>
          </cell>
          <cell r="D1589">
            <v>1661.82</v>
          </cell>
          <cell r="E1589">
            <v>0</v>
          </cell>
          <cell r="F1589">
            <v>3677.89</v>
          </cell>
        </row>
        <row r="1590">
          <cell r="A1590" t="str">
            <v>71300000-30013000-19070000</v>
          </cell>
          <cell r="B1590" t="str">
            <v>MENSAJERIA ESPECIALIZADA</v>
          </cell>
          <cell r="C1590">
            <v>857.8</v>
          </cell>
          <cell r="D1590">
            <v>313.45999999999998</v>
          </cell>
          <cell r="E1590">
            <v>0</v>
          </cell>
          <cell r="F1590">
            <v>1171.26</v>
          </cell>
        </row>
        <row r="1591">
          <cell r="A1591" t="str">
            <v>71300000-30013000-20010000</v>
          </cell>
          <cell r="B1591" t="str">
            <v>COMBUSTIBLE AUTOMOVILES</v>
          </cell>
          <cell r="C1591">
            <v>3516.23</v>
          </cell>
          <cell r="D1591">
            <v>1349.34</v>
          </cell>
          <cell r="E1591">
            <v>0</v>
          </cell>
          <cell r="F1591">
            <v>4865.57</v>
          </cell>
        </row>
        <row r="1592">
          <cell r="A1592" t="str">
            <v>71300000-30013000-23010000</v>
          </cell>
          <cell r="B1592" t="str">
            <v>RECOLECCION DE BASURA</v>
          </cell>
          <cell r="C1592">
            <v>6040</v>
          </cell>
          <cell r="D1592">
            <v>0</v>
          </cell>
          <cell r="E1592">
            <v>0</v>
          </cell>
          <cell r="F1592">
            <v>6040</v>
          </cell>
        </row>
        <row r="1593">
          <cell r="A1593" t="str">
            <v>71300000-30013000-23120000</v>
          </cell>
          <cell r="B1593" t="str">
            <v>DIVERSOS</v>
          </cell>
          <cell r="C1593">
            <v>7424.78</v>
          </cell>
          <cell r="D1593">
            <v>2242.5</v>
          </cell>
          <cell r="E1593">
            <v>0</v>
          </cell>
          <cell r="F1593">
            <v>9667.2800000000007</v>
          </cell>
        </row>
        <row r="1594">
          <cell r="A1594" t="str">
            <v>71300000-30013000-23130000</v>
          </cell>
          <cell r="B1594" t="str">
            <v>OTROS IMPUESTOS Y DERECHOS</v>
          </cell>
          <cell r="C1594">
            <v>2429.85</v>
          </cell>
          <cell r="D1594">
            <v>843.71</v>
          </cell>
          <cell r="E1594">
            <v>0</v>
          </cell>
          <cell r="F1594">
            <v>3273.56</v>
          </cell>
        </row>
        <row r="1595">
          <cell r="A1595" t="str">
            <v>71300000-30013000-23140000</v>
          </cell>
          <cell r="B1595" t="str">
            <v>FLETES Y ACARREOS</v>
          </cell>
          <cell r="C1595">
            <v>45328.79</v>
          </cell>
          <cell r="D1595">
            <v>17767.27</v>
          </cell>
          <cell r="E1595">
            <v>0</v>
          </cell>
          <cell r="F1595">
            <v>63096.06</v>
          </cell>
        </row>
        <row r="1596">
          <cell r="A1596" t="str">
            <v>71300000-30013000-23150000</v>
          </cell>
          <cell r="B1596" t="str">
            <v>ASEO LIMPIEZA E IMPLEMENTOS</v>
          </cell>
          <cell r="C1596">
            <v>260.76</v>
          </cell>
          <cell r="D1596">
            <v>0</v>
          </cell>
          <cell r="E1596">
            <v>0</v>
          </cell>
          <cell r="F1596">
            <v>260.76</v>
          </cell>
        </row>
        <row r="1597">
          <cell r="A1597" t="str">
            <v>71300000-30013000-35020000</v>
          </cell>
          <cell r="B1597" t="str">
            <v>DIVERSOS NO DEDUCIBLES</v>
          </cell>
          <cell r="C1597">
            <v>2811</v>
          </cell>
          <cell r="D1597">
            <v>350</v>
          </cell>
          <cell r="E1597">
            <v>0</v>
          </cell>
          <cell r="F1597">
            <v>3161</v>
          </cell>
        </row>
        <row r="1598">
          <cell r="A1598" t="str">
            <v>71300000-30014000-00000000</v>
          </cell>
          <cell r="B1598" t="str">
            <v>COSTOS/GASTOS FIJOS G. FORANEA</v>
          </cell>
          <cell r="C1598">
            <v>814.8</v>
          </cell>
          <cell r="D1598">
            <v>0</v>
          </cell>
          <cell r="E1598">
            <v>0</v>
          </cell>
          <cell r="F1598">
            <v>814.8</v>
          </cell>
        </row>
        <row r="1599">
          <cell r="A1599" t="str">
            <v>71300000-30014000-05010000</v>
          </cell>
          <cell r="B1599" t="str">
            <v>SERV. PROFESIONALES EXTERNOS</v>
          </cell>
          <cell r="C1599">
            <v>814.8</v>
          </cell>
          <cell r="D1599">
            <v>0</v>
          </cell>
          <cell r="E1599">
            <v>0</v>
          </cell>
          <cell r="F1599">
            <v>814.8</v>
          </cell>
        </row>
        <row r="1600">
          <cell r="A1600" t="str">
            <v>71300000-30015000-00000000</v>
          </cell>
          <cell r="B1600" t="str">
            <v>COSTOS/GASTOS FIJOS T AGRICULT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</row>
        <row r="1601">
          <cell r="A1601" t="str">
            <v>71300000-30016000-00000000</v>
          </cell>
          <cell r="B1601" t="str">
            <v>COSTOS/GASTOS FIJOS T IZTAPALA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</row>
        <row r="1602">
          <cell r="A1602" t="str">
            <v>71300000-30017000-00000000</v>
          </cell>
          <cell r="B1602" t="str">
            <v>COSTOS/GASTOS FIJOS T JALISCO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</row>
        <row r="1603">
          <cell r="A1603" t="str">
            <v>71300000-30018000-00000000</v>
          </cell>
          <cell r="B1603" t="str">
            <v>COSTOS/GASTOS FIJOS T ACOXPA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</row>
        <row r="1604">
          <cell r="A1604" t="str">
            <v>71300000-30019000-00000000</v>
          </cell>
          <cell r="B1604" t="str">
            <v>COSTOS/GASTOS FIJOS T DIV NTE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</row>
        <row r="1605">
          <cell r="A1605" t="str">
            <v>71300000-30020000-00000000</v>
          </cell>
          <cell r="B1605" t="str">
            <v>COSTOS/GASTOS FIJOS T PORTALES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</row>
        <row r="1606">
          <cell r="A1606" t="str">
            <v>71300000-30021000-00000000</v>
          </cell>
          <cell r="B1606" t="str">
            <v>COSTOS/GASTOS FIJOS T CUAJIMAL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</row>
        <row r="1607">
          <cell r="A1607" t="str">
            <v>71300000-30022000-00000000</v>
          </cell>
          <cell r="B1607" t="str">
            <v>COSTOS/GASTOS FIJOS T ECATEPEC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</row>
        <row r="1608">
          <cell r="A1608" t="str">
            <v>71300000-30023000-00000000</v>
          </cell>
          <cell r="B1608" t="str">
            <v>COSTOS/GASTOS FIJOS COACALCO 1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</row>
        <row r="1609">
          <cell r="A1609" t="str">
            <v>71300000-30024000-00000000</v>
          </cell>
          <cell r="B1609" t="str">
            <v>COSTOS/GASTOS FIJOS COACALCO 2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</row>
        <row r="1610">
          <cell r="A1610" t="str">
            <v>71300000-30025000-00000000</v>
          </cell>
          <cell r="B1610" t="str">
            <v>COSTOS/GASTOS FIJOS OCCIDENT 2</v>
          </cell>
          <cell r="C1610">
            <v>58328.7</v>
          </cell>
          <cell r="D1610">
            <v>25681.15</v>
          </cell>
          <cell r="E1610">
            <v>0</v>
          </cell>
          <cell r="F1610">
            <v>84009.85</v>
          </cell>
        </row>
        <row r="1611">
          <cell r="A1611" t="str">
            <v>71300000-30025000-05010000</v>
          </cell>
          <cell r="B1611" t="str">
            <v>SERV. PROFESIONALES EXTERNOS</v>
          </cell>
          <cell r="C1611">
            <v>28300.57</v>
          </cell>
          <cell r="D1611">
            <v>4580.07</v>
          </cell>
          <cell r="E1611">
            <v>0</v>
          </cell>
          <cell r="F1611">
            <v>32880.639999999999</v>
          </cell>
        </row>
        <row r="1612">
          <cell r="A1612" t="str">
            <v>71300000-30025000-12010000</v>
          </cell>
          <cell r="B1612" t="str">
            <v>ARREND. AUTOMOVILES</v>
          </cell>
          <cell r="C1612">
            <v>6161.07</v>
          </cell>
          <cell r="D1612">
            <v>2053.69</v>
          </cell>
          <cell r="E1612">
            <v>0</v>
          </cell>
          <cell r="F1612">
            <v>8214.76</v>
          </cell>
        </row>
        <row r="1613">
          <cell r="A1613" t="str">
            <v>71300000-30025000-15010000</v>
          </cell>
          <cell r="B1613" t="str">
            <v>MANT. AUTOMOVILES</v>
          </cell>
          <cell r="C1613">
            <v>3217.03</v>
          </cell>
          <cell r="D1613">
            <v>4040.85</v>
          </cell>
          <cell r="E1613">
            <v>0</v>
          </cell>
          <cell r="F1613">
            <v>7257.88</v>
          </cell>
        </row>
        <row r="1614">
          <cell r="A1614" t="str">
            <v>71300000-30025000-16010000</v>
          </cell>
          <cell r="B1614" t="str">
            <v>PAPELERIA</v>
          </cell>
          <cell r="C1614">
            <v>140</v>
          </cell>
          <cell r="D1614">
            <v>0</v>
          </cell>
          <cell r="E1614">
            <v>0</v>
          </cell>
          <cell r="F1614">
            <v>140</v>
          </cell>
        </row>
        <row r="1615">
          <cell r="A1615" t="str">
            <v>71300000-30025000-18020000</v>
          </cell>
          <cell r="B1615" t="str">
            <v>PASAJES Y TRANSPORTES LOCALES</v>
          </cell>
          <cell r="C1615">
            <v>0</v>
          </cell>
          <cell r="D1615">
            <v>627</v>
          </cell>
          <cell r="E1615">
            <v>0</v>
          </cell>
          <cell r="F1615">
            <v>627</v>
          </cell>
        </row>
        <row r="1616">
          <cell r="A1616" t="str">
            <v>71300000-30025000-18030000</v>
          </cell>
          <cell r="B1616" t="str">
            <v>GASTOS DE REPRESENTACION TRANS</v>
          </cell>
          <cell r="C1616">
            <v>0</v>
          </cell>
          <cell r="D1616">
            <v>2292</v>
          </cell>
          <cell r="E1616">
            <v>0</v>
          </cell>
          <cell r="F1616">
            <v>2292</v>
          </cell>
        </row>
        <row r="1617">
          <cell r="A1617" t="str">
            <v>71300000-30025000-18040000</v>
          </cell>
          <cell r="B1617" t="str">
            <v>GASTOS DE REPRESENTACION ALIME</v>
          </cell>
          <cell r="C1617">
            <v>4622.8999999999996</v>
          </cell>
          <cell r="D1617">
            <v>3641.19</v>
          </cell>
          <cell r="E1617">
            <v>0</v>
          </cell>
          <cell r="F1617">
            <v>8264.09</v>
          </cell>
        </row>
        <row r="1618">
          <cell r="A1618" t="str">
            <v>71300000-30025000-19030000</v>
          </cell>
          <cell r="B1618" t="str">
            <v>TELEFONOS CELULARES</v>
          </cell>
          <cell r="C1618">
            <v>1262.06</v>
          </cell>
          <cell r="D1618">
            <v>1413.32</v>
          </cell>
          <cell r="E1618">
            <v>0</v>
          </cell>
          <cell r="F1618">
            <v>2675.38</v>
          </cell>
        </row>
        <row r="1619">
          <cell r="A1619" t="str">
            <v>71300000-30025000-19070000</v>
          </cell>
          <cell r="B1619" t="str">
            <v>MENSAJERIA ESPECIALIZADA</v>
          </cell>
          <cell r="C1619">
            <v>267.81</v>
          </cell>
          <cell r="D1619">
            <v>777.38</v>
          </cell>
          <cell r="E1619">
            <v>0</v>
          </cell>
          <cell r="F1619">
            <v>1045.19</v>
          </cell>
        </row>
        <row r="1620">
          <cell r="A1620" t="str">
            <v>71300000-30025000-20010000</v>
          </cell>
          <cell r="B1620" t="str">
            <v>COMBUSTIBLE AUTOMOVILES</v>
          </cell>
          <cell r="C1620">
            <v>9200.89</v>
          </cell>
          <cell r="D1620">
            <v>1029.44</v>
          </cell>
          <cell r="E1620">
            <v>0</v>
          </cell>
          <cell r="F1620">
            <v>10230.33</v>
          </cell>
        </row>
        <row r="1621">
          <cell r="A1621" t="str">
            <v>71300000-30025000-23120000</v>
          </cell>
          <cell r="B1621" t="str">
            <v>DIVERSOS</v>
          </cell>
          <cell r="C1621">
            <v>48.15</v>
          </cell>
          <cell r="D1621">
            <v>0</v>
          </cell>
          <cell r="E1621">
            <v>0</v>
          </cell>
          <cell r="F1621">
            <v>48.15</v>
          </cell>
        </row>
        <row r="1622">
          <cell r="A1622" t="str">
            <v>71300000-30025000-23130000</v>
          </cell>
          <cell r="B1622" t="str">
            <v>OTROS IMPUESTOS Y DERECHOS</v>
          </cell>
          <cell r="C1622">
            <v>2386.7199999999998</v>
          </cell>
          <cell r="D1622">
            <v>3147.21</v>
          </cell>
          <cell r="E1622">
            <v>0</v>
          </cell>
          <cell r="F1622">
            <v>5533.93</v>
          </cell>
        </row>
        <row r="1623">
          <cell r="A1623" t="str">
            <v>71300000-30025000-35020000</v>
          </cell>
          <cell r="B1623" t="str">
            <v>DIVERSOS NO DEDUCIBLES</v>
          </cell>
          <cell r="C1623">
            <v>2721.5</v>
          </cell>
          <cell r="D1623">
            <v>2079</v>
          </cell>
          <cell r="E1623">
            <v>0</v>
          </cell>
          <cell r="F1623">
            <v>4800.5</v>
          </cell>
        </row>
        <row r="1624">
          <cell r="A1624" t="str">
            <v>71300000-30026000-00000000</v>
          </cell>
          <cell r="B1624" t="str">
            <v>COSTOS/GASTOS FIJOS DF 2</v>
          </cell>
          <cell r="C1624">
            <v>47073.51</v>
          </cell>
          <cell r="D1624">
            <v>19401.88</v>
          </cell>
          <cell r="E1624">
            <v>0</v>
          </cell>
          <cell r="F1624">
            <v>66475.39</v>
          </cell>
        </row>
        <row r="1625">
          <cell r="A1625" t="str">
            <v>71300000-30026000-05010000</v>
          </cell>
          <cell r="B1625" t="str">
            <v>SERV. PROFESIONALES EXTERNOS</v>
          </cell>
          <cell r="C1625">
            <v>31540.75</v>
          </cell>
          <cell r="D1625">
            <v>9978.31</v>
          </cell>
          <cell r="E1625">
            <v>0</v>
          </cell>
          <cell r="F1625">
            <v>41519.06</v>
          </cell>
        </row>
        <row r="1626">
          <cell r="A1626" t="str">
            <v>71300000-30026000-12010000</v>
          </cell>
          <cell r="B1626" t="str">
            <v>ARREND. AUTOMOVILES</v>
          </cell>
          <cell r="C1626">
            <v>6161.16</v>
          </cell>
          <cell r="D1626">
            <v>2053.7199999999998</v>
          </cell>
          <cell r="E1626">
            <v>0</v>
          </cell>
          <cell r="F1626">
            <v>8214.8799999999992</v>
          </cell>
        </row>
        <row r="1627">
          <cell r="A1627" t="str">
            <v>71300000-30026000-15010000</v>
          </cell>
          <cell r="B1627" t="str">
            <v>MANT. AUTOMOVILES</v>
          </cell>
          <cell r="C1627">
            <v>2525.5700000000002</v>
          </cell>
          <cell r="D1627">
            <v>5698.77</v>
          </cell>
          <cell r="E1627">
            <v>0</v>
          </cell>
          <cell r="F1627">
            <v>8224.34</v>
          </cell>
        </row>
        <row r="1628">
          <cell r="A1628" t="str">
            <v>71300000-30026000-19030000</v>
          </cell>
          <cell r="B1628" t="str">
            <v>TELEFONOS CELULARES</v>
          </cell>
          <cell r="C1628">
            <v>929.27</v>
          </cell>
          <cell r="D1628">
            <v>523.07000000000005</v>
          </cell>
          <cell r="E1628">
            <v>0</v>
          </cell>
          <cell r="F1628">
            <v>1452.34</v>
          </cell>
        </row>
        <row r="1629">
          <cell r="A1629" t="str">
            <v>71300000-30026000-20010000</v>
          </cell>
          <cell r="B1629" t="str">
            <v>COMBUSTIBLE AUTOMOVILES</v>
          </cell>
          <cell r="C1629">
            <v>3699.76</v>
          </cell>
          <cell r="D1629">
            <v>1148.01</v>
          </cell>
          <cell r="E1629">
            <v>0</v>
          </cell>
          <cell r="F1629">
            <v>4847.7700000000004</v>
          </cell>
        </row>
        <row r="1630">
          <cell r="A1630" t="str">
            <v>71300000-30026000-23130000</v>
          </cell>
          <cell r="B1630" t="str">
            <v>OTROS IMPUESTOS Y DERECHOS</v>
          </cell>
          <cell r="C1630">
            <v>2217</v>
          </cell>
          <cell r="D1630">
            <v>0</v>
          </cell>
          <cell r="E1630">
            <v>0</v>
          </cell>
          <cell r="F1630">
            <v>2217</v>
          </cell>
        </row>
        <row r="1631">
          <cell r="A1631" t="str">
            <v>71300000-30027000-00000000</v>
          </cell>
          <cell r="B1631" t="str">
            <v>COSTOS/GASTOS FIJOS DF 3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</row>
        <row r="1632">
          <cell r="A1632" t="str">
            <v>71300000-30028000-00000000</v>
          </cell>
          <cell r="B1632" t="str">
            <v>COSTOS/GASTOS FIJOS DF 4</v>
          </cell>
          <cell r="C1632">
            <v>53240.61</v>
          </cell>
          <cell r="D1632">
            <v>20805.43</v>
          </cell>
          <cell r="E1632">
            <v>0</v>
          </cell>
          <cell r="F1632">
            <v>74046.039999999994</v>
          </cell>
        </row>
        <row r="1633">
          <cell r="A1633" t="str">
            <v>71300000-30028000-01010000</v>
          </cell>
          <cell r="B1633" t="str">
            <v>SUELDO Y SALARIOS</v>
          </cell>
          <cell r="C1633">
            <v>18236.05</v>
          </cell>
          <cell r="D1633">
            <v>6545</v>
          </cell>
          <cell r="E1633">
            <v>0</v>
          </cell>
          <cell r="F1633">
            <v>24781.05</v>
          </cell>
        </row>
        <row r="1634">
          <cell r="A1634" t="str">
            <v>71300000-30028000-01030000</v>
          </cell>
          <cell r="B1634" t="str">
            <v>GRATIFICACIONES</v>
          </cell>
          <cell r="C1634">
            <v>1187.5</v>
          </cell>
          <cell r="D1634">
            <v>477</v>
          </cell>
          <cell r="E1634">
            <v>0</v>
          </cell>
          <cell r="F1634">
            <v>1664.5</v>
          </cell>
        </row>
        <row r="1635">
          <cell r="A1635" t="str">
            <v>71300000-30028000-01040000</v>
          </cell>
          <cell r="B1635" t="str">
            <v>VACACIONES</v>
          </cell>
          <cell r="C1635">
            <v>440</v>
          </cell>
          <cell r="D1635">
            <v>0</v>
          </cell>
          <cell r="E1635">
            <v>0</v>
          </cell>
          <cell r="F1635">
            <v>440</v>
          </cell>
        </row>
        <row r="1636">
          <cell r="A1636" t="str">
            <v>71300000-30028000-01050000</v>
          </cell>
          <cell r="B1636" t="str">
            <v>PRIMA VACACIONAL</v>
          </cell>
          <cell r="C1636">
            <v>286</v>
          </cell>
          <cell r="D1636">
            <v>0</v>
          </cell>
          <cell r="E1636">
            <v>0</v>
          </cell>
          <cell r="F1636">
            <v>286</v>
          </cell>
        </row>
        <row r="1637">
          <cell r="A1637" t="str">
            <v>71300000-30028000-03010000</v>
          </cell>
          <cell r="B1637" t="str">
            <v>FONDO DE AHORRO</v>
          </cell>
          <cell r="C1637">
            <v>1458.88</v>
          </cell>
          <cell r="D1637">
            <v>523.6</v>
          </cell>
          <cell r="E1637">
            <v>0</v>
          </cell>
          <cell r="F1637">
            <v>1982.48</v>
          </cell>
        </row>
        <row r="1638">
          <cell r="A1638" t="str">
            <v>71300000-30028000-03020000</v>
          </cell>
          <cell r="B1638" t="str">
            <v>CUOTAS AL I.M.S.S.</v>
          </cell>
          <cell r="C1638">
            <v>4406.97</v>
          </cell>
          <cell r="D1638">
            <v>2050.5</v>
          </cell>
          <cell r="E1638">
            <v>0</v>
          </cell>
          <cell r="F1638">
            <v>6457.47</v>
          </cell>
        </row>
        <row r="1639">
          <cell r="A1639" t="str">
            <v>71300000-30028000-03040000</v>
          </cell>
          <cell r="B1639" t="str">
            <v>DESPENSA EN VALES</v>
          </cell>
          <cell r="C1639">
            <v>776</v>
          </cell>
          <cell r="D1639">
            <v>264</v>
          </cell>
          <cell r="E1639">
            <v>0</v>
          </cell>
          <cell r="F1639">
            <v>1040</v>
          </cell>
        </row>
        <row r="1640">
          <cell r="A1640" t="str">
            <v>71300000-30028000-04010000</v>
          </cell>
          <cell r="B1640" t="str">
            <v>2.5% SOBRE NOMINAS</v>
          </cell>
          <cell r="C1640">
            <v>1585</v>
          </cell>
          <cell r="D1640">
            <v>248</v>
          </cell>
          <cell r="E1640">
            <v>0</v>
          </cell>
          <cell r="F1640">
            <v>1833</v>
          </cell>
        </row>
        <row r="1641">
          <cell r="A1641" t="str">
            <v>71300000-30028000-04020000</v>
          </cell>
          <cell r="B1641" t="str">
            <v>5% INFONAVIT</v>
          </cell>
          <cell r="C1641">
            <v>2887.41</v>
          </cell>
          <cell r="D1641">
            <v>1439.13</v>
          </cell>
          <cell r="E1641">
            <v>0</v>
          </cell>
          <cell r="F1641">
            <v>4326.54</v>
          </cell>
        </row>
        <row r="1642">
          <cell r="A1642" t="str">
            <v>71300000-30028000-04030000</v>
          </cell>
          <cell r="B1642" t="str">
            <v>2% S.A.R. / RETIRO</v>
          </cell>
          <cell r="C1642">
            <v>1154.96</v>
          </cell>
          <cell r="D1642">
            <v>575.65</v>
          </cell>
          <cell r="E1642">
            <v>0</v>
          </cell>
          <cell r="F1642">
            <v>1730.61</v>
          </cell>
        </row>
        <row r="1643">
          <cell r="A1643" t="str">
            <v>71300000-30028000-04040000</v>
          </cell>
          <cell r="B1643" t="str">
            <v>CESANTIA Y VEJEZ</v>
          </cell>
          <cell r="C1643">
            <v>1819.06</v>
          </cell>
          <cell r="D1643">
            <v>906.65</v>
          </cell>
          <cell r="E1643">
            <v>0</v>
          </cell>
          <cell r="F1643">
            <v>2725.71</v>
          </cell>
        </row>
        <row r="1644">
          <cell r="A1644" t="str">
            <v>71300000-30028000-15010000</v>
          </cell>
          <cell r="B1644" t="str">
            <v>MANT. AUTOMOVILES</v>
          </cell>
          <cell r="C1644">
            <v>3905</v>
          </cell>
          <cell r="D1644">
            <v>1508.62</v>
          </cell>
          <cell r="E1644">
            <v>0</v>
          </cell>
          <cell r="F1644">
            <v>5413.62</v>
          </cell>
        </row>
        <row r="1645">
          <cell r="A1645" t="str">
            <v>71300000-30028000-15090000</v>
          </cell>
          <cell r="B1645" t="str">
            <v>MANTTO A TIENDAS</v>
          </cell>
          <cell r="C1645">
            <v>8700</v>
          </cell>
          <cell r="D1645">
            <v>3565.51</v>
          </cell>
          <cell r="E1645">
            <v>0</v>
          </cell>
          <cell r="F1645">
            <v>12265.51</v>
          </cell>
        </row>
        <row r="1646">
          <cell r="A1646" t="str">
            <v>71300000-30028000-19030000</v>
          </cell>
          <cell r="B1646" t="str">
            <v>TELEFONOS CELULARES</v>
          </cell>
          <cell r="C1646">
            <v>444.66</v>
          </cell>
          <cell r="D1646">
            <v>861.82</v>
          </cell>
          <cell r="E1646">
            <v>0</v>
          </cell>
          <cell r="F1646">
            <v>1306.48</v>
          </cell>
        </row>
        <row r="1647">
          <cell r="A1647" t="str">
            <v>71300000-30028000-20010000</v>
          </cell>
          <cell r="B1647" t="str">
            <v>COMBUSTIBLE AUTOMOVILES</v>
          </cell>
          <cell r="C1647">
            <v>3868.61</v>
          </cell>
          <cell r="D1647">
            <v>1249.78</v>
          </cell>
          <cell r="E1647">
            <v>0</v>
          </cell>
          <cell r="F1647">
            <v>5118.3900000000003</v>
          </cell>
        </row>
        <row r="1648">
          <cell r="A1648" t="str">
            <v>71300000-30028000-35020000</v>
          </cell>
          <cell r="B1648" t="str">
            <v>DIVERSOS NO DEDUCIBLES</v>
          </cell>
          <cell r="C1648">
            <v>314</v>
          </cell>
          <cell r="D1648">
            <v>0</v>
          </cell>
          <cell r="E1648">
            <v>0</v>
          </cell>
          <cell r="F1648">
            <v>314</v>
          </cell>
        </row>
        <row r="1649">
          <cell r="A1649" t="str">
            <v>71300000-30028000-90030000</v>
          </cell>
          <cell r="B1649" t="str">
            <v>PROVISION AGUINALDO</v>
          </cell>
          <cell r="C1649">
            <v>1595.01</v>
          </cell>
          <cell r="D1649">
            <v>531.66999999999996</v>
          </cell>
          <cell r="E1649">
            <v>0</v>
          </cell>
          <cell r="F1649">
            <v>2126.6799999999998</v>
          </cell>
        </row>
        <row r="1650">
          <cell r="A1650" t="str">
            <v>71300000-30028000-90040000</v>
          </cell>
          <cell r="B1650" t="str">
            <v>BOLETIN D-3</v>
          </cell>
          <cell r="C1650">
            <v>175.5</v>
          </cell>
          <cell r="D1650">
            <v>58.5</v>
          </cell>
          <cell r="E1650">
            <v>0</v>
          </cell>
          <cell r="F1650">
            <v>234</v>
          </cell>
        </row>
        <row r="1651">
          <cell r="A1651" t="str">
            <v>71300000-30029000-00000000</v>
          </cell>
          <cell r="B1651" t="str">
            <v>COSTOS/GASTOS FIJOS DF 5</v>
          </cell>
          <cell r="C1651">
            <v>33545.870000000003</v>
          </cell>
          <cell r="D1651">
            <v>8617.6</v>
          </cell>
          <cell r="E1651">
            <v>0</v>
          </cell>
          <cell r="F1651">
            <v>42163.47</v>
          </cell>
        </row>
        <row r="1652">
          <cell r="A1652" t="str">
            <v>71300000-30029000-05010000</v>
          </cell>
          <cell r="B1652" t="str">
            <v>SERV. PROFESIONALES EXTERNOS</v>
          </cell>
          <cell r="C1652">
            <v>26334.69</v>
          </cell>
          <cell r="D1652">
            <v>6577.46</v>
          </cell>
          <cell r="E1652">
            <v>0</v>
          </cell>
          <cell r="F1652">
            <v>32912.15</v>
          </cell>
        </row>
        <row r="1653">
          <cell r="A1653" t="str">
            <v>71300000-30029000-15010000</v>
          </cell>
          <cell r="B1653" t="str">
            <v>MANT. AUTOMOVILES</v>
          </cell>
          <cell r="C1653">
            <v>1637.93</v>
          </cell>
          <cell r="D1653">
            <v>0</v>
          </cell>
          <cell r="E1653">
            <v>0</v>
          </cell>
          <cell r="F1653">
            <v>1637.93</v>
          </cell>
        </row>
        <row r="1654">
          <cell r="A1654" t="str">
            <v>71300000-30029000-16010000</v>
          </cell>
          <cell r="B1654" t="str">
            <v>PAPELERIA</v>
          </cell>
          <cell r="C1654">
            <v>70</v>
          </cell>
          <cell r="D1654">
            <v>0</v>
          </cell>
          <cell r="E1654">
            <v>0</v>
          </cell>
          <cell r="F1654">
            <v>70</v>
          </cell>
        </row>
        <row r="1655">
          <cell r="A1655" t="str">
            <v>71300000-30029000-19030000</v>
          </cell>
          <cell r="B1655" t="str">
            <v>TELEFONOS CELULARES</v>
          </cell>
          <cell r="C1655">
            <v>0</v>
          </cell>
          <cell r="D1655">
            <v>1135.97</v>
          </cell>
          <cell r="E1655">
            <v>0</v>
          </cell>
          <cell r="F1655">
            <v>1135.97</v>
          </cell>
        </row>
        <row r="1656">
          <cell r="A1656" t="str">
            <v>71300000-30029000-20010000</v>
          </cell>
          <cell r="B1656" t="str">
            <v>COMBUSTIBLE AUTOMOVILES</v>
          </cell>
          <cell r="C1656">
            <v>3286.25</v>
          </cell>
          <cell r="D1656">
            <v>904.17</v>
          </cell>
          <cell r="E1656">
            <v>0</v>
          </cell>
          <cell r="F1656">
            <v>4190.42</v>
          </cell>
        </row>
        <row r="1657">
          <cell r="A1657" t="str">
            <v>71300000-30029000-23130000</v>
          </cell>
          <cell r="B1657" t="str">
            <v>OTROS IMPUESTOS Y DERECHOS</v>
          </cell>
          <cell r="C1657">
            <v>2217</v>
          </cell>
          <cell r="D1657">
            <v>0</v>
          </cell>
          <cell r="E1657">
            <v>0</v>
          </cell>
          <cell r="F1657">
            <v>2217</v>
          </cell>
        </row>
        <row r="1658">
          <cell r="A1658" t="str">
            <v>71300000-30030000-00000000</v>
          </cell>
          <cell r="B1658" t="str">
            <v>COSTOS/GASTOS FIJOS NTE</v>
          </cell>
          <cell r="C1658">
            <v>0</v>
          </cell>
          <cell r="D1658">
            <v>58754.22</v>
          </cell>
          <cell r="E1658">
            <v>0</v>
          </cell>
          <cell r="F1658">
            <v>58754.22</v>
          </cell>
        </row>
        <row r="1659">
          <cell r="A1659" t="str">
            <v>71300000-30030000-05010000</v>
          </cell>
          <cell r="B1659" t="str">
            <v>SERV. PROFESIONALES EXTERNOS</v>
          </cell>
          <cell r="C1659">
            <v>0</v>
          </cell>
          <cell r="D1659">
            <v>35485.86</v>
          </cell>
          <cell r="E1659">
            <v>0</v>
          </cell>
          <cell r="F1659">
            <v>35485.86</v>
          </cell>
        </row>
        <row r="1660">
          <cell r="A1660" t="str">
            <v>71300000-30030000-12010000</v>
          </cell>
          <cell r="B1660" t="str">
            <v>ARREND. AUTOMOVILES</v>
          </cell>
          <cell r="C1660">
            <v>0</v>
          </cell>
          <cell r="D1660">
            <v>3608.4</v>
          </cell>
          <cell r="E1660">
            <v>0</v>
          </cell>
          <cell r="F1660">
            <v>3608.4</v>
          </cell>
        </row>
        <row r="1661">
          <cell r="A1661" t="str">
            <v>71300000-30030000-15010000</v>
          </cell>
          <cell r="B1661" t="str">
            <v>MANT. AUTOMOVILES</v>
          </cell>
          <cell r="C1661">
            <v>0</v>
          </cell>
          <cell r="D1661">
            <v>1521.08</v>
          </cell>
          <cell r="E1661">
            <v>0</v>
          </cell>
          <cell r="F1661">
            <v>1521.08</v>
          </cell>
        </row>
        <row r="1662">
          <cell r="A1662" t="str">
            <v>71300000-30030000-18030000</v>
          </cell>
          <cell r="B1662" t="str">
            <v>GASTOS DE REPRESENTACION TRANS</v>
          </cell>
          <cell r="C1662">
            <v>0</v>
          </cell>
          <cell r="D1662">
            <v>2844.5</v>
          </cell>
          <cell r="E1662">
            <v>0</v>
          </cell>
          <cell r="F1662">
            <v>2844.5</v>
          </cell>
        </row>
        <row r="1663">
          <cell r="A1663" t="str">
            <v>71300000-30030000-18040000</v>
          </cell>
          <cell r="B1663" t="str">
            <v>GASTOS DE REPRESENTACION ALIME</v>
          </cell>
          <cell r="C1663">
            <v>0</v>
          </cell>
          <cell r="D1663">
            <v>1218.46</v>
          </cell>
          <cell r="E1663">
            <v>0</v>
          </cell>
          <cell r="F1663">
            <v>1218.46</v>
          </cell>
        </row>
        <row r="1664">
          <cell r="A1664" t="str">
            <v>71300000-30030000-19030000</v>
          </cell>
          <cell r="B1664" t="str">
            <v>TELEFONOS CELULARES</v>
          </cell>
          <cell r="C1664">
            <v>0</v>
          </cell>
          <cell r="D1664">
            <v>3326.61</v>
          </cell>
          <cell r="E1664">
            <v>0</v>
          </cell>
          <cell r="F1664">
            <v>3326.61</v>
          </cell>
        </row>
        <row r="1665">
          <cell r="A1665" t="str">
            <v>71300000-30030000-19050000</v>
          </cell>
          <cell r="B1665" t="str">
            <v>INTERNET</v>
          </cell>
          <cell r="C1665">
            <v>0</v>
          </cell>
          <cell r="D1665">
            <v>1713.41</v>
          </cell>
          <cell r="E1665">
            <v>0</v>
          </cell>
          <cell r="F1665">
            <v>1713.41</v>
          </cell>
        </row>
        <row r="1666">
          <cell r="A1666" t="str">
            <v>71300000-30030000-20010000</v>
          </cell>
          <cell r="B1666" t="str">
            <v>COMBUSTIBLE AUTOMOVILES</v>
          </cell>
          <cell r="C1666">
            <v>0</v>
          </cell>
          <cell r="D1666">
            <v>6231.3</v>
          </cell>
          <cell r="E1666">
            <v>0</v>
          </cell>
          <cell r="F1666">
            <v>6231.3</v>
          </cell>
        </row>
        <row r="1667">
          <cell r="A1667" t="str">
            <v>71300000-30030000-21010000</v>
          </cell>
          <cell r="B1667" t="str">
            <v>HONORARIOS PERSONAS FISICAS</v>
          </cell>
          <cell r="C1667">
            <v>0</v>
          </cell>
          <cell r="D1667">
            <v>996.54</v>
          </cell>
          <cell r="E1667">
            <v>0</v>
          </cell>
          <cell r="F1667">
            <v>996.54</v>
          </cell>
        </row>
        <row r="1668">
          <cell r="A1668" t="str">
            <v>71300000-30030000-23130000</v>
          </cell>
          <cell r="B1668" t="str">
            <v>OTROS IMPUESTOS Y DERECHOS</v>
          </cell>
          <cell r="C1668">
            <v>0</v>
          </cell>
          <cell r="D1668">
            <v>1587.06</v>
          </cell>
          <cell r="E1668">
            <v>0</v>
          </cell>
          <cell r="F1668">
            <v>1587.06</v>
          </cell>
        </row>
        <row r="1669">
          <cell r="A1669" t="str">
            <v>71300000-30030000-35020000</v>
          </cell>
          <cell r="B1669" t="str">
            <v>DIVERSOS NO DEDUCIBLES</v>
          </cell>
          <cell r="C1669">
            <v>0</v>
          </cell>
          <cell r="D1669">
            <v>221</v>
          </cell>
          <cell r="E1669">
            <v>0</v>
          </cell>
          <cell r="F1669">
            <v>221</v>
          </cell>
        </row>
        <row r="1670">
          <cell r="A1670" t="str">
            <v>71300000-30031000-00000000</v>
          </cell>
          <cell r="B1670" t="str">
            <v>COSTOS/GASTOS FIJOS PROYEC ESP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</row>
        <row r="1671">
          <cell r="A1671" t="str">
            <v>71400000-00000000-00000000</v>
          </cell>
          <cell r="B1671" t="str">
            <v>COSTOS/GASTOS FIJOS MKT</v>
          </cell>
          <cell r="C1671">
            <v>792087.46</v>
          </cell>
          <cell r="D1671">
            <v>342832.31</v>
          </cell>
          <cell r="E1671">
            <v>0</v>
          </cell>
          <cell r="F1671">
            <v>1134919.77</v>
          </cell>
        </row>
        <row r="1672">
          <cell r="F1672">
            <v>1134919.77</v>
          </cell>
        </row>
        <row r="1673">
          <cell r="A1673" t="str">
            <v>71400000-40000000-00000000</v>
          </cell>
          <cell r="B1673" t="str">
            <v>COSTOS/GASTOS FIJOS MKT GRAL.</v>
          </cell>
          <cell r="C1673">
            <v>792087.46</v>
          </cell>
          <cell r="D1673">
            <v>342832.31</v>
          </cell>
          <cell r="E1673">
            <v>0</v>
          </cell>
        </row>
        <row r="1674">
          <cell r="A1674" t="str">
            <v>71400000-40001000-00000000</v>
          </cell>
          <cell r="B1674" t="str">
            <v>COSTOS/GASTOS FIJOS MKT GRAL</v>
          </cell>
          <cell r="C1674">
            <v>253164.04</v>
          </cell>
          <cell r="D1674">
            <v>114584.92</v>
          </cell>
          <cell r="E1674">
            <v>0</v>
          </cell>
          <cell r="F1674">
            <v>367748.96</v>
          </cell>
        </row>
        <row r="1675">
          <cell r="A1675" t="str">
            <v>71400000-40001000-01010000</v>
          </cell>
          <cell r="B1675" t="str">
            <v>SUELDOS Y SALARIOS</v>
          </cell>
          <cell r="C1675">
            <v>99280</v>
          </cell>
          <cell r="D1675">
            <v>33640</v>
          </cell>
          <cell r="E1675">
            <v>0</v>
          </cell>
          <cell r="F1675">
            <v>132920</v>
          </cell>
        </row>
        <row r="1676">
          <cell r="A1676" t="str">
            <v>71400000-40001000-01030000</v>
          </cell>
          <cell r="B1676" t="str">
            <v>GRATIFICACIONES</v>
          </cell>
          <cell r="C1676">
            <v>3480</v>
          </cell>
          <cell r="D1676">
            <v>0</v>
          </cell>
          <cell r="E1676">
            <v>0</v>
          </cell>
          <cell r="F1676">
            <v>3480</v>
          </cell>
        </row>
        <row r="1677">
          <cell r="A1677" t="str">
            <v>71400000-40001000-01040000</v>
          </cell>
          <cell r="B1677" t="str">
            <v>VACACIONES</v>
          </cell>
          <cell r="C1677">
            <v>1072</v>
          </cell>
          <cell r="D1677">
            <v>1160</v>
          </cell>
          <cell r="E1677">
            <v>0</v>
          </cell>
          <cell r="F1677">
            <v>2232</v>
          </cell>
        </row>
        <row r="1678">
          <cell r="A1678" t="str">
            <v>71400000-40001000-01050000</v>
          </cell>
          <cell r="B1678" t="str">
            <v>PRIMA VACACIONAL</v>
          </cell>
          <cell r="C1678">
            <v>696.8</v>
          </cell>
          <cell r="D1678">
            <v>754</v>
          </cell>
          <cell r="E1678">
            <v>0</v>
          </cell>
          <cell r="F1678">
            <v>1450.8</v>
          </cell>
        </row>
        <row r="1679">
          <cell r="A1679" t="str">
            <v>71400000-40001000-01080000</v>
          </cell>
          <cell r="B1679" t="str">
            <v>COMISIONES</v>
          </cell>
          <cell r="C1679">
            <v>0</v>
          </cell>
          <cell r="D1679">
            <v>9750.4</v>
          </cell>
          <cell r="E1679">
            <v>0</v>
          </cell>
          <cell r="F1679">
            <v>9750.4</v>
          </cell>
        </row>
        <row r="1680">
          <cell r="A1680" t="str">
            <v>71400000-40001000-03010000</v>
          </cell>
          <cell r="B1680" t="str">
            <v>FONDO DE AHORRO</v>
          </cell>
          <cell r="C1680">
            <v>6648.15</v>
          </cell>
          <cell r="D1680">
            <v>2166.27</v>
          </cell>
          <cell r="E1680">
            <v>0</v>
          </cell>
          <cell r="F1680">
            <v>8814.42</v>
          </cell>
        </row>
        <row r="1681">
          <cell r="A1681" t="str">
            <v>71400000-40001000-03020000</v>
          </cell>
          <cell r="B1681" t="str">
            <v>CUOTAS AL I.M.S.S.</v>
          </cell>
          <cell r="C1681">
            <v>8770.7000000000007</v>
          </cell>
          <cell r="D1681">
            <v>2923.58</v>
          </cell>
          <cell r="E1681">
            <v>0</v>
          </cell>
          <cell r="F1681">
            <v>11694.28</v>
          </cell>
        </row>
        <row r="1682">
          <cell r="A1682" t="str">
            <v>71400000-40001000-03040000</v>
          </cell>
          <cell r="B1682" t="str">
            <v>DESPENSA EN VALES</v>
          </cell>
          <cell r="C1682">
            <v>4998</v>
          </cell>
          <cell r="D1682">
            <v>1724</v>
          </cell>
          <cell r="E1682">
            <v>0</v>
          </cell>
          <cell r="F1682">
            <v>6722</v>
          </cell>
        </row>
        <row r="1683">
          <cell r="A1683" t="str">
            <v>71400000-40001000-04010000</v>
          </cell>
          <cell r="B1683" t="str">
            <v>2.5% SOBRE NOMINAS</v>
          </cell>
          <cell r="C1683">
            <v>3454</v>
          </cell>
          <cell r="D1683">
            <v>1479</v>
          </cell>
          <cell r="E1683">
            <v>0</v>
          </cell>
          <cell r="F1683">
            <v>4933</v>
          </cell>
        </row>
        <row r="1684">
          <cell r="A1684" t="str">
            <v>71400000-40001000-04020000</v>
          </cell>
          <cell r="B1684" t="str">
            <v>5% INFONAVIT</v>
          </cell>
          <cell r="C1684">
            <v>6464.27</v>
          </cell>
          <cell r="D1684">
            <v>2154.75</v>
          </cell>
          <cell r="E1684">
            <v>0</v>
          </cell>
          <cell r="F1684">
            <v>8619.02</v>
          </cell>
        </row>
        <row r="1685">
          <cell r="A1685" t="str">
            <v>71400000-40001000-04030000</v>
          </cell>
          <cell r="B1685" t="str">
            <v>2% S.A.R. / RETIRO</v>
          </cell>
          <cell r="C1685">
            <v>2585.6999999999998</v>
          </cell>
          <cell r="D1685">
            <v>861.9</v>
          </cell>
          <cell r="E1685">
            <v>0</v>
          </cell>
          <cell r="F1685">
            <v>3447.6</v>
          </cell>
        </row>
        <row r="1686">
          <cell r="A1686" t="str">
            <v>71400000-40001000-04040000</v>
          </cell>
          <cell r="B1686" t="str">
            <v>CESANTIA Y VEJEZ</v>
          </cell>
          <cell r="C1686">
            <v>4072.48</v>
          </cell>
          <cell r="D1686">
            <v>1357.49</v>
          </cell>
          <cell r="E1686">
            <v>0</v>
          </cell>
          <cell r="F1686">
            <v>5429.97</v>
          </cell>
        </row>
        <row r="1687">
          <cell r="A1687" t="str">
            <v>71400000-40001000-14010000</v>
          </cell>
          <cell r="B1687" t="str">
            <v>SEG. AUTOMOVILES</v>
          </cell>
          <cell r="C1687">
            <v>3811.22</v>
          </cell>
          <cell r="D1687">
            <v>1559.86</v>
          </cell>
          <cell r="E1687">
            <v>0</v>
          </cell>
          <cell r="F1687">
            <v>5371.08</v>
          </cell>
        </row>
        <row r="1688">
          <cell r="A1688" t="str">
            <v>71400000-40001000-14040000</v>
          </cell>
          <cell r="B1688" t="str">
            <v>VIDA</v>
          </cell>
          <cell r="C1688">
            <v>838.33</v>
          </cell>
          <cell r="D1688">
            <v>355.66</v>
          </cell>
          <cell r="E1688">
            <v>0</v>
          </cell>
          <cell r="F1688">
            <v>1193.99</v>
          </cell>
        </row>
        <row r="1689">
          <cell r="A1689" t="str">
            <v>71400000-40001000-15060000</v>
          </cell>
          <cell r="B1689" t="str">
            <v>MANTTO A EQUIPOS DE COMPUTO</v>
          </cell>
          <cell r="C1689">
            <v>282.5</v>
          </cell>
          <cell r="D1689">
            <v>0</v>
          </cell>
          <cell r="E1689">
            <v>0</v>
          </cell>
          <cell r="F1689">
            <v>282.5</v>
          </cell>
        </row>
        <row r="1690">
          <cell r="A1690" t="str">
            <v>71400000-40001000-16010000</v>
          </cell>
          <cell r="B1690" t="str">
            <v>PAPELERIA</v>
          </cell>
          <cell r="C1690">
            <v>365.7</v>
          </cell>
          <cell r="D1690">
            <v>2005.57</v>
          </cell>
          <cell r="E1690">
            <v>0</v>
          </cell>
          <cell r="F1690">
            <v>2371.27</v>
          </cell>
        </row>
        <row r="1691">
          <cell r="A1691" t="str">
            <v>71400000-40001000-17010000</v>
          </cell>
          <cell r="B1691" t="str">
            <v>ENERGIA ELECTRICA</v>
          </cell>
          <cell r="C1691">
            <v>2444.75</v>
          </cell>
          <cell r="D1691">
            <v>0</v>
          </cell>
          <cell r="E1691">
            <v>0</v>
          </cell>
          <cell r="F1691">
            <v>2444.75</v>
          </cell>
        </row>
        <row r="1692">
          <cell r="A1692" t="str">
            <v>71400000-40001000-18010000</v>
          </cell>
          <cell r="B1692" t="str">
            <v>CAPACITACION Y ADIESTRAMIENTO</v>
          </cell>
          <cell r="C1692">
            <v>3279.57</v>
          </cell>
          <cell r="D1692">
            <v>2065.02</v>
          </cell>
          <cell r="E1692">
            <v>0</v>
          </cell>
          <cell r="F1692">
            <v>5344.59</v>
          </cell>
        </row>
        <row r="1693">
          <cell r="A1693" t="str">
            <v>71400000-40001000-18020000</v>
          </cell>
          <cell r="B1693" t="str">
            <v>PASAJES Y TRANSPORTES LOCALES</v>
          </cell>
          <cell r="C1693">
            <v>3830</v>
          </cell>
          <cell r="D1693">
            <v>1167</v>
          </cell>
          <cell r="E1693">
            <v>0</v>
          </cell>
          <cell r="F1693">
            <v>4997</v>
          </cell>
        </row>
        <row r="1694">
          <cell r="A1694" t="str">
            <v>71400000-40001000-18030000</v>
          </cell>
          <cell r="B1694" t="str">
            <v>GASTOS DE REPRESENTACION TRANS</v>
          </cell>
          <cell r="C1694">
            <v>7966</v>
          </cell>
          <cell r="D1694">
            <v>0</v>
          </cell>
          <cell r="E1694">
            <v>0</v>
          </cell>
          <cell r="F1694">
            <v>7966</v>
          </cell>
        </row>
        <row r="1695">
          <cell r="A1695" t="str">
            <v>71400000-40001000-18040000</v>
          </cell>
          <cell r="B1695" t="str">
            <v>GASTOS DE REPRESENTACION ALIME</v>
          </cell>
          <cell r="C1695">
            <v>0</v>
          </cell>
          <cell r="D1695">
            <v>7678.53</v>
          </cell>
          <cell r="E1695">
            <v>0</v>
          </cell>
          <cell r="F1695">
            <v>7678.53</v>
          </cell>
        </row>
        <row r="1696">
          <cell r="A1696" t="str">
            <v>71400000-40001000-18080000</v>
          </cell>
          <cell r="B1696" t="str">
            <v>COMEDOR</v>
          </cell>
          <cell r="C1696">
            <v>37.46</v>
          </cell>
          <cell r="D1696">
            <v>596.16</v>
          </cell>
          <cell r="E1696">
            <v>0</v>
          </cell>
          <cell r="F1696">
            <v>633.62</v>
          </cell>
        </row>
        <row r="1697">
          <cell r="A1697" t="str">
            <v>71400000-40001000-18110000</v>
          </cell>
          <cell r="B1697" t="str">
            <v>CONSUMOS RESTAURANT</v>
          </cell>
          <cell r="C1697">
            <v>433.56</v>
          </cell>
          <cell r="D1697">
            <v>477.81</v>
          </cell>
          <cell r="E1697">
            <v>0</v>
          </cell>
          <cell r="F1697">
            <v>911.37</v>
          </cell>
        </row>
        <row r="1698">
          <cell r="A1698" t="str">
            <v>71400000-40001000-19010000</v>
          </cell>
          <cell r="B1698" t="str">
            <v>TELEFONOS</v>
          </cell>
          <cell r="C1698">
            <v>16994.84</v>
          </cell>
          <cell r="D1698">
            <v>7015.54</v>
          </cell>
          <cell r="E1698">
            <v>0</v>
          </cell>
          <cell r="F1698">
            <v>24010.38</v>
          </cell>
        </row>
        <row r="1699">
          <cell r="A1699" t="str">
            <v>71400000-40001000-19030000</v>
          </cell>
          <cell r="B1699" t="str">
            <v>TELEFONOS CELULARES</v>
          </cell>
          <cell r="C1699">
            <v>2412.96</v>
          </cell>
          <cell r="D1699">
            <v>3272.99</v>
          </cell>
          <cell r="E1699">
            <v>0</v>
          </cell>
          <cell r="F1699">
            <v>5685.95</v>
          </cell>
        </row>
        <row r="1700">
          <cell r="A1700" t="str">
            <v>71400000-40001000-19050000</v>
          </cell>
          <cell r="B1700" t="str">
            <v>INTERNET</v>
          </cell>
          <cell r="C1700">
            <v>4660.7299999999996</v>
          </cell>
          <cell r="D1700">
            <v>1564.03</v>
          </cell>
          <cell r="E1700">
            <v>0</v>
          </cell>
          <cell r="F1700">
            <v>6224.76</v>
          </cell>
        </row>
        <row r="1701">
          <cell r="A1701" t="str">
            <v>71400000-40001000-20010000</v>
          </cell>
          <cell r="B1701" t="str">
            <v>COMBUSTIBLE AUTOMOVILES</v>
          </cell>
          <cell r="C1701">
            <v>4216.92</v>
          </cell>
          <cell r="D1701">
            <v>1486.93</v>
          </cell>
          <cell r="E1701">
            <v>0</v>
          </cell>
          <cell r="F1701">
            <v>5703.85</v>
          </cell>
        </row>
        <row r="1702">
          <cell r="A1702" t="str">
            <v>71400000-40001000-22050000</v>
          </cell>
          <cell r="B1702" t="str">
            <v>COMISIONES Y ASESORIAS EXTERNA</v>
          </cell>
          <cell r="C1702">
            <v>661.86</v>
          </cell>
          <cell r="D1702">
            <v>196.55</v>
          </cell>
          <cell r="E1702">
            <v>0</v>
          </cell>
          <cell r="F1702">
            <v>858.41</v>
          </cell>
        </row>
        <row r="1703">
          <cell r="A1703" t="str">
            <v>71400000-40001000-23120000</v>
          </cell>
          <cell r="B1703" t="str">
            <v>DIVERSOS</v>
          </cell>
          <cell r="C1703">
            <v>284.26</v>
          </cell>
          <cell r="D1703">
            <v>1741.26</v>
          </cell>
          <cell r="E1703">
            <v>0</v>
          </cell>
          <cell r="F1703">
            <v>2025.52</v>
          </cell>
        </row>
        <row r="1704">
          <cell r="A1704" t="str">
            <v>71400000-40001000-23130000</v>
          </cell>
          <cell r="B1704" t="str">
            <v>OTROS IMPUESTOS Y DERECHOS</v>
          </cell>
          <cell r="C1704">
            <v>11830.74</v>
          </cell>
          <cell r="D1704">
            <v>3076.19</v>
          </cell>
          <cell r="E1704">
            <v>0</v>
          </cell>
          <cell r="F1704">
            <v>14906.93</v>
          </cell>
        </row>
        <row r="1705">
          <cell r="A1705" t="str">
            <v>71400000-40001000-23200000</v>
          </cell>
          <cell r="B1705" t="str">
            <v>EVENTOS INTERNOS COREV</v>
          </cell>
          <cell r="C1705">
            <v>800.3</v>
          </cell>
          <cell r="D1705">
            <v>68.59</v>
          </cell>
          <cell r="E1705">
            <v>0</v>
          </cell>
          <cell r="F1705">
            <v>868.89</v>
          </cell>
        </row>
        <row r="1706">
          <cell r="A1706" t="str">
            <v>71400000-40001000-27140000</v>
          </cell>
          <cell r="B1706" t="str">
            <v>INVESTIGACION DE MERCADOS</v>
          </cell>
          <cell r="C1706">
            <v>19678</v>
          </cell>
          <cell r="D1706">
            <v>9746.58</v>
          </cell>
          <cell r="E1706">
            <v>0</v>
          </cell>
          <cell r="F1706">
            <v>29424.58</v>
          </cell>
        </row>
        <row r="1707">
          <cell r="A1707" t="str">
            <v>71400000-40001000-35020000</v>
          </cell>
          <cell r="B1707" t="str">
            <v>DIVERSOS NO DEDUCIBLES</v>
          </cell>
          <cell r="C1707">
            <v>11455.3</v>
          </cell>
          <cell r="D1707">
            <v>7420.28</v>
          </cell>
          <cell r="E1707">
            <v>0</v>
          </cell>
          <cell r="F1707">
            <v>18875.580000000002</v>
          </cell>
        </row>
        <row r="1708">
          <cell r="A1708" t="str">
            <v>71400000-40001000-90010000</v>
          </cell>
          <cell r="B1708" t="str">
            <v>PRIMA DE ANTIGUEDAD</v>
          </cell>
          <cell r="C1708">
            <v>1185.5999999999999</v>
          </cell>
          <cell r="D1708">
            <v>395.2</v>
          </cell>
          <cell r="E1708">
            <v>0</v>
          </cell>
          <cell r="F1708">
            <v>1580.8</v>
          </cell>
        </row>
        <row r="1709">
          <cell r="A1709" t="str">
            <v>71400000-40001000-90020000</v>
          </cell>
          <cell r="B1709" t="str">
            <v>PLAN DE PENSIONES</v>
          </cell>
          <cell r="C1709">
            <v>4368.6000000000004</v>
          </cell>
          <cell r="D1709">
            <v>1456.2</v>
          </cell>
          <cell r="E1709">
            <v>0</v>
          </cell>
          <cell r="F1709">
            <v>5824.8</v>
          </cell>
        </row>
        <row r="1710">
          <cell r="A1710" t="str">
            <v>71400000-40001000-90030000</v>
          </cell>
          <cell r="B1710" t="str">
            <v>PROVISION AGUINALDO</v>
          </cell>
          <cell r="C1710">
            <v>9714.99</v>
          </cell>
          <cell r="D1710">
            <v>3238.33</v>
          </cell>
          <cell r="E1710">
            <v>0</v>
          </cell>
          <cell r="F1710">
            <v>12953.32</v>
          </cell>
        </row>
        <row r="1711">
          <cell r="A1711" t="str">
            <v>71400000-40001000-90040000</v>
          </cell>
          <cell r="B1711" t="str">
            <v>BOLETIN D-3</v>
          </cell>
          <cell r="C1711">
            <v>87.75</v>
          </cell>
          <cell r="D1711">
            <v>29.25</v>
          </cell>
          <cell r="E1711">
            <v>0</v>
          </cell>
          <cell r="F1711">
            <v>117</v>
          </cell>
        </row>
        <row r="1712">
          <cell r="A1712" t="str">
            <v>71400000-40002000-00000000</v>
          </cell>
          <cell r="B1712" t="str">
            <v>COSTOS/GASTOS FIJOS CAPACITACI</v>
          </cell>
          <cell r="C1712">
            <v>345528.93</v>
          </cell>
          <cell r="D1712">
            <v>169277.74</v>
          </cell>
          <cell r="E1712">
            <v>0</v>
          </cell>
          <cell r="F1712">
            <v>514806.67</v>
          </cell>
        </row>
        <row r="1713">
          <cell r="A1713" t="str">
            <v>71400000-40002000-01010000</v>
          </cell>
          <cell r="B1713" t="str">
            <v>SUELDOS Y SALARIOS</v>
          </cell>
          <cell r="C1713">
            <v>53696.27</v>
          </cell>
          <cell r="D1713">
            <v>21669.9</v>
          </cell>
          <cell r="E1713">
            <v>0</v>
          </cell>
          <cell r="F1713">
            <v>75366.17</v>
          </cell>
        </row>
        <row r="1714">
          <cell r="A1714" t="str">
            <v>71400000-40002000-01030000</v>
          </cell>
          <cell r="B1714" t="str">
            <v>GRATIFICACIONES</v>
          </cell>
          <cell r="C1714">
            <v>1815.05</v>
          </cell>
          <cell r="D1714">
            <v>0</v>
          </cell>
          <cell r="E1714">
            <v>0</v>
          </cell>
          <cell r="F1714">
            <v>1815.05</v>
          </cell>
        </row>
        <row r="1715">
          <cell r="A1715" t="str">
            <v>71400000-40002000-01040000</v>
          </cell>
          <cell r="B1715" t="str">
            <v>VACACIONES</v>
          </cell>
          <cell r="C1715">
            <v>5473.64</v>
          </cell>
          <cell r="D1715">
            <v>0</v>
          </cell>
          <cell r="E1715">
            <v>0</v>
          </cell>
          <cell r="F1715">
            <v>5473.64</v>
          </cell>
        </row>
        <row r="1716">
          <cell r="A1716" t="str">
            <v>71400000-40002000-01050000</v>
          </cell>
          <cell r="B1716" t="str">
            <v>PRIMA VACACIONAL</v>
          </cell>
          <cell r="C1716">
            <v>3557.86</v>
          </cell>
          <cell r="D1716">
            <v>0</v>
          </cell>
          <cell r="E1716">
            <v>0</v>
          </cell>
          <cell r="F1716">
            <v>3557.86</v>
          </cell>
        </row>
        <row r="1717">
          <cell r="A1717" t="str">
            <v>71400000-40002000-01080000</v>
          </cell>
          <cell r="B1717" t="str">
            <v>COMISIONES</v>
          </cell>
          <cell r="C1717">
            <v>18900</v>
          </cell>
          <cell r="D1717">
            <v>8500</v>
          </cell>
          <cell r="E1717">
            <v>0</v>
          </cell>
          <cell r="F1717">
            <v>27400</v>
          </cell>
        </row>
        <row r="1718">
          <cell r="A1718" t="str">
            <v>71400000-40002000-03010000</v>
          </cell>
          <cell r="B1718" t="str">
            <v>FONDO DE AHORRO</v>
          </cell>
          <cell r="C1718">
            <v>4295.6899999999996</v>
          </cell>
          <cell r="D1718">
            <v>1733.6</v>
          </cell>
          <cell r="E1718">
            <v>0</v>
          </cell>
          <cell r="F1718">
            <v>6029.29</v>
          </cell>
        </row>
        <row r="1719">
          <cell r="A1719" t="str">
            <v>71400000-40002000-03020000</v>
          </cell>
          <cell r="B1719" t="str">
            <v>CUOTAS AL I.M.S.S.</v>
          </cell>
          <cell r="C1719">
            <v>7018.43</v>
          </cell>
          <cell r="D1719">
            <v>2284.96</v>
          </cell>
          <cell r="E1719">
            <v>0</v>
          </cell>
          <cell r="F1719">
            <v>9303.39</v>
          </cell>
        </row>
        <row r="1720">
          <cell r="A1720" t="str">
            <v>71400000-40002000-03030000</v>
          </cell>
          <cell r="B1720" t="str">
            <v>UNIFORMES Y EQUIPO</v>
          </cell>
          <cell r="C1720">
            <v>0</v>
          </cell>
          <cell r="D1720">
            <v>4200</v>
          </cell>
          <cell r="E1720">
            <v>0</v>
          </cell>
          <cell r="F1720">
            <v>4200</v>
          </cell>
        </row>
        <row r="1721">
          <cell r="A1721" t="str">
            <v>71400000-40002000-03040000</v>
          </cell>
          <cell r="B1721" t="str">
            <v>DESPENSA EN VALES</v>
          </cell>
          <cell r="C1721">
            <v>2492</v>
          </cell>
          <cell r="D1721">
            <v>867</v>
          </cell>
          <cell r="E1721">
            <v>0</v>
          </cell>
          <cell r="F1721">
            <v>3359</v>
          </cell>
        </row>
        <row r="1722">
          <cell r="A1722" t="str">
            <v>71400000-40002000-04010000</v>
          </cell>
          <cell r="B1722" t="str">
            <v>2.5% SOBRE NOMINAS</v>
          </cell>
          <cell r="C1722">
            <v>2194</v>
          </cell>
          <cell r="D1722">
            <v>798</v>
          </cell>
          <cell r="E1722">
            <v>0</v>
          </cell>
          <cell r="F1722">
            <v>2992</v>
          </cell>
        </row>
        <row r="1723">
          <cell r="A1723" t="str">
            <v>71400000-40002000-04020000</v>
          </cell>
          <cell r="B1723" t="str">
            <v>5% INFONAVIT</v>
          </cell>
          <cell r="C1723">
            <v>5027.96</v>
          </cell>
          <cell r="D1723">
            <v>1631.31</v>
          </cell>
          <cell r="E1723">
            <v>0</v>
          </cell>
          <cell r="F1723">
            <v>6659.27</v>
          </cell>
        </row>
        <row r="1724">
          <cell r="A1724" t="str">
            <v>71400000-40002000-04030000</v>
          </cell>
          <cell r="B1724" t="str">
            <v>2% S.A.R. / RETIRO</v>
          </cell>
          <cell r="C1724">
            <v>2011.17</v>
          </cell>
          <cell r="D1724">
            <v>652.52</v>
          </cell>
          <cell r="E1724">
            <v>0</v>
          </cell>
          <cell r="F1724">
            <v>2663.69</v>
          </cell>
        </row>
        <row r="1725">
          <cell r="A1725" t="str">
            <v>71400000-40002000-04040000</v>
          </cell>
          <cell r="B1725" t="str">
            <v>CESANTIA Y VEJEZ</v>
          </cell>
          <cell r="C1725">
            <v>3167.61</v>
          </cell>
          <cell r="D1725">
            <v>1027.73</v>
          </cell>
          <cell r="E1725">
            <v>0</v>
          </cell>
          <cell r="F1725">
            <v>4195.34</v>
          </cell>
        </row>
        <row r="1726">
          <cell r="A1726" t="str">
            <v>71400000-40002000-05010000</v>
          </cell>
          <cell r="B1726" t="str">
            <v>SERV. PROFESIONALES EXTERNOS</v>
          </cell>
          <cell r="C1726">
            <v>47957.27</v>
          </cell>
          <cell r="D1726">
            <v>17365.97</v>
          </cell>
          <cell r="E1726">
            <v>0</v>
          </cell>
          <cell r="F1726">
            <v>65323.24</v>
          </cell>
        </row>
        <row r="1727">
          <cell r="A1727" t="str">
            <v>71400000-40002000-12010000</v>
          </cell>
          <cell r="B1727" t="str">
            <v>ARREND. AUTOMOVILES</v>
          </cell>
          <cell r="C1727">
            <v>6161.16</v>
          </cell>
          <cell r="D1727">
            <v>2053.7199999999998</v>
          </cell>
          <cell r="E1727">
            <v>0</v>
          </cell>
          <cell r="F1727">
            <v>8214.8799999999992</v>
          </cell>
        </row>
        <row r="1728">
          <cell r="A1728" t="str">
            <v>71400000-40002000-12020000</v>
          </cell>
          <cell r="B1728" t="str">
            <v>CAMIONES Y CAMIONETAS</v>
          </cell>
          <cell r="C1728">
            <v>0</v>
          </cell>
          <cell r="D1728">
            <v>21600</v>
          </cell>
          <cell r="E1728">
            <v>0</v>
          </cell>
          <cell r="F1728">
            <v>21600</v>
          </cell>
        </row>
        <row r="1729">
          <cell r="A1729" t="str">
            <v>71400000-40002000-13020000</v>
          </cell>
          <cell r="B1729" t="str">
            <v>ARRENDAMIENTO DE INMUEBLES PER</v>
          </cell>
          <cell r="C1729">
            <v>35610</v>
          </cell>
          <cell r="D1729">
            <v>17805</v>
          </cell>
          <cell r="E1729">
            <v>0</v>
          </cell>
          <cell r="F1729">
            <v>53415</v>
          </cell>
        </row>
        <row r="1730">
          <cell r="A1730" t="str">
            <v>71400000-40002000-15020000</v>
          </cell>
          <cell r="B1730" t="str">
            <v>CAMIONES Y CAMIONETAS</v>
          </cell>
          <cell r="C1730">
            <v>23654.79</v>
          </cell>
          <cell r="D1730">
            <v>646.54999999999995</v>
          </cell>
          <cell r="E1730">
            <v>0</v>
          </cell>
          <cell r="F1730">
            <v>24301.34</v>
          </cell>
        </row>
        <row r="1731">
          <cell r="A1731" t="str">
            <v>71400000-40002000-15070000</v>
          </cell>
          <cell r="B1731" t="str">
            <v>MANTTO A INMUEBLES ARRENDADOS</v>
          </cell>
          <cell r="C1731">
            <v>7750</v>
          </cell>
          <cell r="D1731">
            <v>0</v>
          </cell>
          <cell r="E1731">
            <v>0</v>
          </cell>
          <cell r="F1731">
            <v>7750</v>
          </cell>
        </row>
        <row r="1732">
          <cell r="A1732" t="str">
            <v>71400000-40002000-16010000</v>
          </cell>
          <cell r="B1732" t="str">
            <v>PAPELERIA</v>
          </cell>
          <cell r="C1732">
            <v>1276.8599999999999</v>
          </cell>
          <cell r="D1732">
            <v>0</v>
          </cell>
          <cell r="E1732">
            <v>0</v>
          </cell>
          <cell r="F1732">
            <v>1276.8599999999999</v>
          </cell>
        </row>
        <row r="1733">
          <cell r="A1733" t="str">
            <v>71400000-40002000-16040000</v>
          </cell>
          <cell r="B1733" t="str">
            <v>IMPLEMENTOS DE OFICINA</v>
          </cell>
          <cell r="C1733">
            <v>2000</v>
          </cell>
          <cell r="D1733">
            <v>0</v>
          </cell>
          <cell r="E1733">
            <v>0</v>
          </cell>
          <cell r="F1733">
            <v>2000</v>
          </cell>
        </row>
        <row r="1734">
          <cell r="A1734" t="str">
            <v>71400000-40002000-17010000</v>
          </cell>
          <cell r="B1734" t="str">
            <v>ENERGIA ELECTRICA</v>
          </cell>
          <cell r="C1734">
            <v>0</v>
          </cell>
          <cell r="D1734">
            <v>2279.31</v>
          </cell>
          <cell r="E1734">
            <v>0</v>
          </cell>
          <cell r="F1734">
            <v>2279.31</v>
          </cell>
        </row>
        <row r="1735">
          <cell r="A1735" t="str">
            <v>71400000-40002000-18020000</v>
          </cell>
          <cell r="B1735" t="str">
            <v>PASAJES Y TRANSPORTES LOCALES</v>
          </cell>
          <cell r="C1735">
            <v>1535</v>
          </cell>
          <cell r="D1735">
            <v>805</v>
          </cell>
          <cell r="E1735">
            <v>0</v>
          </cell>
          <cell r="F1735">
            <v>2340</v>
          </cell>
        </row>
        <row r="1736">
          <cell r="A1736" t="str">
            <v>71400000-40002000-19030000</v>
          </cell>
          <cell r="B1736" t="str">
            <v>TELEFONOS CELULARES</v>
          </cell>
          <cell r="C1736">
            <v>1330.7</v>
          </cell>
          <cell r="D1736">
            <v>1250.4000000000001</v>
          </cell>
          <cell r="E1736">
            <v>0</v>
          </cell>
          <cell r="F1736">
            <v>2581.1</v>
          </cell>
        </row>
        <row r="1737">
          <cell r="A1737" t="str">
            <v>71400000-40002000-20010000</v>
          </cell>
          <cell r="B1737" t="str">
            <v>COMBUSTIBLE AUTOMOVILES</v>
          </cell>
          <cell r="C1737">
            <v>10819.48</v>
          </cell>
          <cell r="D1737">
            <v>3003.79</v>
          </cell>
          <cell r="E1737">
            <v>0</v>
          </cell>
          <cell r="F1737">
            <v>13823.27</v>
          </cell>
        </row>
        <row r="1738">
          <cell r="A1738" t="str">
            <v>71400000-40002000-20020000</v>
          </cell>
          <cell r="B1738" t="str">
            <v>CAMIONES Y CAMIONETAS</v>
          </cell>
          <cell r="C1738">
            <v>21690.76</v>
          </cell>
          <cell r="D1738">
            <v>6114.19</v>
          </cell>
          <cell r="E1738">
            <v>0</v>
          </cell>
          <cell r="F1738">
            <v>27804.95</v>
          </cell>
        </row>
        <row r="1739">
          <cell r="A1739" t="str">
            <v>71400000-40002000-21010000</v>
          </cell>
          <cell r="B1739" t="str">
            <v>HONORARIOS PERSONAS FISICAS</v>
          </cell>
          <cell r="C1739">
            <v>17805</v>
          </cell>
          <cell r="D1739">
            <v>0</v>
          </cell>
          <cell r="E1739">
            <v>0</v>
          </cell>
          <cell r="F1739">
            <v>17805</v>
          </cell>
        </row>
        <row r="1740">
          <cell r="A1740" t="str">
            <v>71400000-40002000-23120000</v>
          </cell>
          <cell r="B1740" t="str">
            <v>DIVERSOS</v>
          </cell>
          <cell r="C1740">
            <v>311.62</v>
          </cell>
          <cell r="D1740">
            <v>1481.26</v>
          </cell>
          <cell r="E1740">
            <v>0</v>
          </cell>
          <cell r="F1740">
            <v>1792.88</v>
          </cell>
        </row>
        <row r="1741">
          <cell r="A1741" t="str">
            <v>71400000-40002000-23130000</v>
          </cell>
          <cell r="B1741" t="str">
            <v>OTROS IMPUESTOS Y DERECHOS</v>
          </cell>
          <cell r="C1741">
            <v>4006.82</v>
          </cell>
          <cell r="D1741">
            <v>1669.11</v>
          </cell>
          <cell r="E1741">
            <v>0</v>
          </cell>
          <cell r="F1741">
            <v>5675.93</v>
          </cell>
        </row>
        <row r="1742">
          <cell r="A1742" t="str">
            <v>71400000-40002000-24010000</v>
          </cell>
          <cell r="B1742" t="str">
            <v>MATERIAL DE APOYO</v>
          </cell>
          <cell r="C1742">
            <v>2447.98</v>
          </cell>
          <cell r="D1742">
            <v>2162.17</v>
          </cell>
          <cell r="E1742">
            <v>0</v>
          </cell>
          <cell r="F1742">
            <v>4610.1499999999996</v>
          </cell>
        </row>
        <row r="1743">
          <cell r="A1743" t="str">
            <v>71400000-40002000-24020000</v>
          </cell>
          <cell r="B1743" t="str">
            <v>CAFETERIA</v>
          </cell>
          <cell r="C1743">
            <v>10637.74</v>
          </cell>
          <cell r="D1743">
            <v>2539.65</v>
          </cell>
          <cell r="E1743">
            <v>0</v>
          </cell>
          <cell r="F1743">
            <v>13177.39</v>
          </cell>
        </row>
        <row r="1744">
          <cell r="A1744" t="str">
            <v>71400000-40002000-24070000</v>
          </cell>
          <cell r="B1744" t="str">
            <v>GTS DE REPRESENTACION TRANSPOR</v>
          </cell>
          <cell r="C1744">
            <v>4387.2</v>
          </cell>
          <cell r="D1744">
            <v>8803.02</v>
          </cell>
          <cell r="E1744">
            <v>0</v>
          </cell>
          <cell r="F1744">
            <v>13190.22</v>
          </cell>
        </row>
        <row r="1745">
          <cell r="A1745" t="str">
            <v>71400000-40002000-24080000</v>
          </cell>
          <cell r="B1745" t="str">
            <v>GTS DE REPRESENTACION ALIMENTO</v>
          </cell>
          <cell r="C1745">
            <v>19332.34</v>
          </cell>
          <cell r="D1745">
            <v>29194.87</v>
          </cell>
          <cell r="E1745">
            <v>0</v>
          </cell>
          <cell r="F1745">
            <v>48527.21</v>
          </cell>
        </row>
        <row r="1746">
          <cell r="A1746" t="str">
            <v>71400000-40002000-35020000</v>
          </cell>
          <cell r="B1746" t="str">
            <v>DIVERSOS NO DEDUCIBLES</v>
          </cell>
          <cell r="C1746">
            <v>12194.4</v>
          </cell>
          <cell r="D1746">
            <v>5482</v>
          </cell>
          <cell r="E1746">
            <v>0</v>
          </cell>
          <cell r="F1746">
            <v>17676.400000000001</v>
          </cell>
        </row>
        <row r="1747">
          <cell r="A1747" t="str">
            <v>71400000-40002000-90030000</v>
          </cell>
          <cell r="B1747" t="str">
            <v>PROVISION AGUINALDO</v>
          </cell>
          <cell r="C1747">
            <v>4794.63</v>
          </cell>
          <cell r="D1747">
            <v>1598.21</v>
          </cell>
          <cell r="E1747">
            <v>0</v>
          </cell>
          <cell r="F1747">
            <v>6392.84</v>
          </cell>
        </row>
        <row r="1748">
          <cell r="A1748" t="str">
            <v>71400000-40002000-90040000</v>
          </cell>
          <cell r="B1748" t="str">
            <v>BOLETIN D-3</v>
          </cell>
          <cell r="C1748">
            <v>175.5</v>
          </cell>
          <cell r="D1748">
            <v>58.5</v>
          </cell>
          <cell r="E1748">
            <v>0</v>
          </cell>
          <cell r="F1748">
            <v>234</v>
          </cell>
        </row>
        <row r="1749">
          <cell r="A1749" t="str">
            <v>71400000-40003000-00000000</v>
          </cell>
          <cell r="B1749" t="str">
            <v>COSTOS/GASTOS FIJOS PUB Y MKT</v>
          </cell>
          <cell r="C1749">
            <v>139617.85</v>
          </cell>
          <cell r="D1749">
            <v>39925.440000000002</v>
          </cell>
          <cell r="E1749">
            <v>0</v>
          </cell>
          <cell r="F1749">
            <v>179543.29</v>
          </cell>
        </row>
        <row r="1750">
          <cell r="A1750" t="str">
            <v>71400000-40003000-03040000</v>
          </cell>
          <cell r="B1750" t="str">
            <v>DESPENSA EN VALES</v>
          </cell>
          <cell r="C1750">
            <v>243</v>
          </cell>
          <cell r="D1750">
            <v>235</v>
          </cell>
          <cell r="E1750">
            <v>0</v>
          </cell>
          <cell r="F1750">
            <v>478</v>
          </cell>
        </row>
        <row r="1751">
          <cell r="A1751" t="str">
            <v>71400000-40003000-05010000</v>
          </cell>
          <cell r="B1751" t="str">
            <v>SERV. PROFESIONALES EXTERNOS</v>
          </cell>
          <cell r="C1751">
            <v>110528.46</v>
          </cell>
          <cell r="D1751">
            <v>34343.64</v>
          </cell>
          <cell r="E1751">
            <v>0</v>
          </cell>
          <cell r="F1751">
            <v>144872.1</v>
          </cell>
        </row>
        <row r="1752">
          <cell r="A1752" t="str">
            <v>71400000-40003000-13010000</v>
          </cell>
          <cell r="B1752" t="str">
            <v>ARRENDAMIENTO DE EQUIPO DE OFI</v>
          </cell>
          <cell r="C1752">
            <v>4200</v>
          </cell>
          <cell r="D1752">
            <v>0</v>
          </cell>
          <cell r="E1752">
            <v>0</v>
          </cell>
          <cell r="F1752">
            <v>4200</v>
          </cell>
        </row>
        <row r="1753">
          <cell r="A1753" t="str">
            <v>71400000-40003000-16010000</v>
          </cell>
          <cell r="B1753" t="str">
            <v>PAPELERIA</v>
          </cell>
          <cell r="C1753">
            <v>14187.87</v>
          </cell>
          <cell r="D1753">
            <v>22.41</v>
          </cell>
          <cell r="E1753">
            <v>0</v>
          </cell>
          <cell r="F1753">
            <v>14210.28</v>
          </cell>
        </row>
        <row r="1754">
          <cell r="A1754" t="str">
            <v>71400000-40003000-16040000</v>
          </cell>
          <cell r="B1754" t="str">
            <v>IMPLEMENTOS DE OFICINA</v>
          </cell>
          <cell r="C1754">
            <v>2000</v>
          </cell>
          <cell r="D1754">
            <v>0</v>
          </cell>
          <cell r="E1754">
            <v>0</v>
          </cell>
          <cell r="F1754">
            <v>2000</v>
          </cell>
        </row>
        <row r="1755">
          <cell r="A1755" t="str">
            <v>71400000-40003000-18020000</v>
          </cell>
          <cell r="B1755" t="str">
            <v>PASAJES Y TRANSPORTES LOCALES</v>
          </cell>
          <cell r="C1755">
            <v>651</v>
          </cell>
          <cell r="D1755">
            <v>516</v>
          </cell>
          <cell r="E1755">
            <v>0</v>
          </cell>
          <cell r="F1755">
            <v>1167</v>
          </cell>
        </row>
        <row r="1756">
          <cell r="A1756" t="str">
            <v>71400000-40003000-19010000</v>
          </cell>
          <cell r="B1756" t="str">
            <v>TELEFONOS</v>
          </cell>
          <cell r="C1756">
            <v>660.86</v>
          </cell>
          <cell r="D1756">
            <v>330.43</v>
          </cell>
          <cell r="E1756">
            <v>0</v>
          </cell>
          <cell r="F1756">
            <v>991.29</v>
          </cell>
        </row>
        <row r="1757">
          <cell r="A1757" t="str">
            <v>71400000-40003000-19030000</v>
          </cell>
          <cell r="B1757" t="str">
            <v>TELEFONOS CELULARES</v>
          </cell>
          <cell r="C1757">
            <v>2706.9</v>
          </cell>
          <cell r="D1757">
            <v>2773.36</v>
          </cell>
          <cell r="E1757">
            <v>0</v>
          </cell>
          <cell r="F1757">
            <v>5480.26</v>
          </cell>
        </row>
        <row r="1758">
          <cell r="A1758" t="str">
            <v>71400000-40003000-20010000</v>
          </cell>
          <cell r="B1758" t="str">
            <v>COMBUSTIBLE AUTOMOVILES</v>
          </cell>
          <cell r="C1758">
            <v>1495.37</v>
          </cell>
          <cell r="D1758">
            <v>1286.0999999999999</v>
          </cell>
          <cell r="E1758">
            <v>0</v>
          </cell>
          <cell r="F1758">
            <v>2781.47</v>
          </cell>
        </row>
        <row r="1759">
          <cell r="A1759" t="str">
            <v>71400000-40003000-23120000</v>
          </cell>
          <cell r="B1759" t="str">
            <v>DIVERSOS</v>
          </cell>
          <cell r="C1759">
            <v>601.29</v>
          </cell>
          <cell r="D1759">
            <v>0</v>
          </cell>
          <cell r="E1759">
            <v>0</v>
          </cell>
          <cell r="F1759">
            <v>601.29</v>
          </cell>
        </row>
        <row r="1760">
          <cell r="A1760" t="str">
            <v>71400000-40003000-35020000</v>
          </cell>
          <cell r="B1760" t="str">
            <v>DIVERSOS NO DEDUCIBLES</v>
          </cell>
          <cell r="C1760">
            <v>2343.1</v>
          </cell>
          <cell r="D1760">
            <v>418.5</v>
          </cell>
          <cell r="E1760">
            <v>0</v>
          </cell>
          <cell r="F1760">
            <v>2761.6</v>
          </cell>
        </row>
        <row r="1761">
          <cell r="A1761" t="str">
            <v>71400000-40004000-00000000</v>
          </cell>
          <cell r="B1761" t="str">
            <v>COSTOS/GASTOS FIJOS EXPORT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</row>
        <row r="1762">
          <cell r="A1762" t="str">
            <v>71400000-40005000-00000000</v>
          </cell>
          <cell r="B1762" t="str">
            <v>COSTOS/GASTOS FIJOS ESPECIFIC.</v>
          </cell>
          <cell r="C1762">
            <v>53776.639999999999</v>
          </cell>
          <cell r="D1762">
            <v>19044.21</v>
          </cell>
          <cell r="E1762">
            <v>0</v>
          </cell>
          <cell r="F1762">
            <v>72820.850000000006</v>
          </cell>
        </row>
        <row r="1763">
          <cell r="A1763" t="str">
            <v>71400000-40005000-05010000</v>
          </cell>
          <cell r="B1763" t="str">
            <v>SERV. PROFESIONALES EXTERNOS</v>
          </cell>
          <cell r="C1763">
            <v>39612.1</v>
          </cell>
          <cell r="D1763">
            <v>9192.19</v>
          </cell>
          <cell r="E1763">
            <v>0</v>
          </cell>
          <cell r="F1763">
            <v>48804.29</v>
          </cell>
        </row>
        <row r="1764">
          <cell r="A1764" t="str">
            <v>71400000-40005000-15010000</v>
          </cell>
          <cell r="B1764" t="str">
            <v>MANT. AUTOMOVILES</v>
          </cell>
          <cell r="C1764">
            <v>3950</v>
          </cell>
          <cell r="D1764">
            <v>4620.68</v>
          </cell>
          <cell r="E1764">
            <v>0</v>
          </cell>
          <cell r="F1764">
            <v>8570.68</v>
          </cell>
        </row>
        <row r="1765">
          <cell r="A1765" t="str">
            <v>71400000-40005000-16010000</v>
          </cell>
          <cell r="B1765" t="str">
            <v>PAPELERIA</v>
          </cell>
          <cell r="C1765">
            <v>280</v>
          </cell>
          <cell r="D1765">
            <v>0</v>
          </cell>
          <cell r="E1765">
            <v>0</v>
          </cell>
          <cell r="F1765">
            <v>280</v>
          </cell>
        </row>
        <row r="1766">
          <cell r="A1766" t="str">
            <v>71400000-40005000-18020000</v>
          </cell>
          <cell r="B1766" t="str">
            <v>PASAJES Y TRANSPORTES LOCALES</v>
          </cell>
          <cell r="C1766">
            <v>3417</v>
          </cell>
          <cell r="D1766">
            <v>403</v>
          </cell>
          <cell r="E1766">
            <v>0</v>
          </cell>
          <cell r="F1766">
            <v>3820</v>
          </cell>
        </row>
        <row r="1767">
          <cell r="A1767" t="str">
            <v>71400000-40005000-19030000</v>
          </cell>
          <cell r="B1767" t="str">
            <v>TELEFONOS CELULARES</v>
          </cell>
          <cell r="C1767">
            <v>110.06</v>
          </cell>
          <cell r="D1767">
            <v>1142.48</v>
          </cell>
          <cell r="E1767">
            <v>0</v>
          </cell>
          <cell r="F1767">
            <v>1252.54</v>
          </cell>
        </row>
        <row r="1768">
          <cell r="A1768" t="str">
            <v>71400000-40005000-20010000</v>
          </cell>
          <cell r="B1768" t="str">
            <v>COMBUSTIBLE AUTOMOVILES</v>
          </cell>
          <cell r="C1768">
            <v>2430.02</v>
          </cell>
          <cell r="D1768">
            <v>1543.84</v>
          </cell>
          <cell r="E1768">
            <v>0</v>
          </cell>
          <cell r="F1768">
            <v>3973.86</v>
          </cell>
        </row>
        <row r="1769">
          <cell r="A1769" t="str">
            <v>71400000-40005000-23120000</v>
          </cell>
          <cell r="B1769" t="str">
            <v>DIVERSOS</v>
          </cell>
          <cell r="C1769">
            <v>291.38</v>
          </cell>
          <cell r="D1769">
            <v>1185</v>
          </cell>
          <cell r="E1769">
            <v>0</v>
          </cell>
          <cell r="F1769">
            <v>1476.38</v>
          </cell>
        </row>
        <row r="1770">
          <cell r="A1770" t="str">
            <v>71400000-40005000-23130000</v>
          </cell>
          <cell r="B1770" t="str">
            <v>OTROS IMPUESTOS Y DERECHOS</v>
          </cell>
          <cell r="C1770">
            <v>2027.68</v>
          </cell>
          <cell r="D1770">
            <v>96</v>
          </cell>
          <cell r="E1770">
            <v>0</v>
          </cell>
          <cell r="F1770">
            <v>2123.6799999999998</v>
          </cell>
        </row>
        <row r="1771">
          <cell r="A1771" t="str">
            <v>71400000-40005000-35020000</v>
          </cell>
          <cell r="B1771" t="str">
            <v>DIVERSOS NO DEDUCIBLES</v>
          </cell>
          <cell r="C1771">
            <v>1658.4</v>
          </cell>
          <cell r="D1771">
            <v>861.02</v>
          </cell>
          <cell r="E1771">
            <v>0</v>
          </cell>
          <cell r="F1771">
            <v>2519.42</v>
          </cell>
        </row>
        <row r="1772">
          <cell r="A1772" t="str">
            <v>71500000-00000000-00000000</v>
          </cell>
          <cell r="B1772" t="str">
            <v>COSTOS/GASTOS FIJOS EXPORTACIO</v>
          </cell>
          <cell r="C1772">
            <v>241140.37</v>
          </cell>
          <cell r="D1772">
            <v>95226.71</v>
          </cell>
          <cell r="E1772">
            <v>0</v>
          </cell>
          <cell r="F1772">
            <v>336367.08</v>
          </cell>
        </row>
        <row r="1773">
          <cell r="F1773">
            <v>336367.08</v>
          </cell>
        </row>
        <row r="1774">
          <cell r="A1774" t="str">
            <v>71500000-50000000-00000000</v>
          </cell>
          <cell r="B1774" t="str">
            <v>COSTOS/GASTOS FIJOS EXPORTACIO</v>
          </cell>
          <cell r="C1774">
            <v>241140.37</v>
          </cell>
          <cell r="D1774">
            <v>95226.71</v>
          </cell>
          <cell r="E1774">
            <v>0</v>
          </cell>
        </row>
        <row r="1775">
          <cell r="A1775" t="str">
            <v>71500000-50001000-00000000</v>
          </cell>
          <cell r="B1775" t="str">
            <v>COSTOS/GASTOS FIJOS EXPORTACIO</v>
          </cell>
          <cell r="C1775">
            <v>241140.37</v>
          </cell>
          <cell r="D1775">
            <v>95226.71</v>
          </cell>
          <cell r="E1775">
            <v>0</v>
          </cell>
          <cell r="F1775">
            <v>336367.08</v>
          </cell>
        </row>
        <row r="1776">
          <cell r="A1776" t="str">
            <v>71500000-50001000-01010000</v>
          </cell>
          <cell r="B1776" t="str">
            <v>SUELDOS Y SALARIOS</v>
          </cell>
          <cell r="C1776">
            <v>41681.18</v>
          </cell>
          <cell r="D1776">
            <v>14290</v>
          </cell>
          <cell r="E1776">
            <v>0</v>
          </cell>
          <cell r="F1776">
            <v>55971.18</v>
          </cell>
        </row>
        <row r="1777">
          <cell r="A1777" t="str">
            <v>71500000-50001000-01030000</v>
          </cell>
          <cell r="B1777" t="str">
            <v>GRATIFICACIONES</v>
          </cell>
          <cell r="C1777">
            <v>2031.55</v>
          </cell>
          <cell r="D1777">
            <v>556.5</v>
          </cell>
          <cell r="E1777">
            <v>0</v>
          </cell>
          <cell r="F1777">
            <v>2588.0500000000002</v>
          </cell>
        </row>
        <row r="1778">
          <cell r="A1778" t="str">
            <v>71500000-50001000-01040000</v>
          </cell>
          <cell r="B1778" t="str">
            <v>VACACIONES</v>
          </cell>
          <cell r="C1778">
            <v>464</v>
          </cell>
          <cell r="D1778">
            <v>290</v>
          </cell>
          <cell r="E1778">
            <v>0</v>
          </cell>
          <cell r="F1778">
            <v>754</v>
          </cell>
        </row>
        <row r="1779">
          <cell r="A1779" t="str">
            <v>71500000-50001000-01050000</v>
          </cell>
          <cell r="B1779" t="str">
            <v>PRIMA VACACIONAL</v>
          </cell>
          <cell r="C1779">
            <v>301.60000000000002</v>
          </cell>
          <cell r="D1779">
            <v>188.5</v>
          </cell>
          <cell r="E1779">
            <v>0</v>
          </cell>
          <cell r="F1779">
            <v>490.1</v>
          </cell>
        </row>
        <row r="1780">
          <cell r="A1780" t="str">
            <v>71500000-50001000-01080000</v>
          </cell>
          <cell r="B1780" t="str">
            <v>COMISIONES</v>
          </cell>
          <cell r="C1780">
            <v>0</v>
          </cell>
          <cell r="D1780">
            <v>2437.6</v>
          </cell>
          <cell r="E1780">
            <v>0</v>
          </cell>
          <cell r="F1780">
            <v>2437.6</v>
          </cell>
        </row>
        <row r="1781">
          <cell r="A1781" t="str">
            <v>71500000-50001000-03010000</v>
          </cell>
          <cell r="B1781" t="str">
            <v>FONDO DE AHORRO</v>
          </cell>
          <cell r="C1781">
            <v>1348.9</v>
          </cell>
          <cell r="D1781">
            <v>470.4</v>
          </cell>
          <cell r="E1781">
            <v>0</v>
          </cell>
          <cell r="F1781">
            <v>1819.3</v>
          </cell>
        </row>
        <row r="1782">
          <cell r="A1782" t="str">
            <v>71500000-50001000-03020000</v>
          </cell>
          <cell r="B1782" t="str">
            <v>CUOTAS AL I.M.S.S.</v>
          </cell>
          <cell r="C1782">
            <v>2423.1999999999998</v>
          </cell>
          <cell r="D1782">
            <v>714.58</v>
          </cell>
          <cell r="E1782">
            <v>0</v>
          </cell>
          <cell r="F1782">
            <v>3137.78</v>
          </cell>
        </row>
        <row r="1783">
          <cell r="A1783" t="str">
            <v>71500000-50001000-03040000</v>
          </cell>
          <cell r="B1783" t="str">
            <v>DESPENSA EN VALES</v>
          </cell>
          <cell r="C1783">
            <v>440</v>
          </cell>
          <cell r="D1783">
            <v>0</v>
          </cell>
          <cell r="E1783">
            <v>0</v>
          </cell>
          <cell r="F1783">
            <v>440</v>
          </cell>
        </row>
        <row r="1784">
          <cell r="A1784" t="str">
            <v>71500000-50001000-04010000</v>
          </cell>
          <cell r="B1784" t="str">
            <v>2% SOBRE NOMINAS</v>
          </cell>
          <cell r="C1784">
            <v>493</v>
          </cell>
          <cell r="D1784">
            <v>173</v>
          </cell>
          <cell r="E1784">
            <v>0</v>
          </cell>
          <cell r="F1784">
            <v>666</v>
          </cell>
        </row>
        <row r="1785">
          <cell r="A1785" t="str">
            <v>71500000-50001000-04020000</v>
          </cell>
          <cell r="B1785" t="str">
            <v>5% INFONAVIT</v>
          </cell>
          <cell r="C1785">
            <v>1261.3900000000001</v>
          </cell>
          <cell r="D1785">
            <v>344.12</v>
          </cell>
          <cell r="E1785">
            <v>0</v>
          </cell>
          <cell r="F1785">
            <v>1605.51</v>
          </cell>
        </row>
        <row r="1786">
          <cell r="A1786" t="str">
            <v>71500000-50001000-04030000</v>
          </cell>
          <cell r="B1786" t="str">
            <v>2% SAR / RETIRO</v>
          </cell>
          <cell r="C1786">
            <v>504.55</v>
          </cell>
          <cell r="D1786">
            <v>137.65</v>
          </cell>
          <cell r="E1786">
            <v>0</v>
          </cell>
          <cell r="F1786">
            <v>642.20000000000005</v>
          </cell>
        </row>
        <row r="1787">
          <cell r="A1787" t="str">
            <v>71500000-50001000-04040000</v>
          </cell>
          <cell r="B1787" t="str">
            <v>CESANTIA Y VEJEZ</v>
          </cell>
          <cell r="C1787">
            <v>794.7</v>
          </cell>
          <cell r="D1787">
            <v>216.8</v>
          </cell>
          <cell r="E1787">
            <v>0</v>
          </cell>
          <cell r="F1787">
            <v>1011.5</v>
          </cell>
        </row>
        <row r="1788">
          <cell r="A1788" t="str">
            <v>71500000-50001000-14080000</v>
          </cell>
          <cell r="B1788" t="str">
            <v>CARGA</v>
          </cell>
          <cell r="C1788">
            <v>11914.34</v>
          </cell>
          <cell r="D1788">
            <v>3698.24</v>
          </cell>
          <cell r="E1788">
            <v>0</v>
          </cell>
          <cell r="F1788">
            <v>15612.58</v>
          </cell>
        </row>
        <row r="1789">
          <cell r="A1789" t="str">
            <v>71500000-50001000-18020000</v>
          </cell>
          <cell r="B1789" t="str">
            <v>PASAJES Y TRANSPORTES LOCALES</v>
          </cell>
          <cell r="C1789">
            <v>170</v>
          </cell>
          <cell r="D1789">
            <v>1192.96</v>
          </cell>
          <cell r="E1789">
            <v>0</v>
          </cell>
          <cell r="F1789">
            <v>1362.96</v>
          </cell>
        </row>
        <row r="1790">
          <cell r="A1790" t="str">
            <v>71500000-50001000-18090000</v>
          </cell>
          <cell r="B1790" t="str">
            <v>GASTOS DE REPRESENTACION AGENT</v>
          </cell>
          <cell r="C1790">
            <v>9434.2900000000009</v>
          </cell>
          <cell r="D1790">
            <v>0</v>
          </cell>
          <cell r="E1790">
            <v>0</v>
          </cell>
          <cell r="F1790">
            <v>9434.2900000000009</v>
          </cell>
        </row>
        <row r="1791">
          <cell r="A1791" t="str">
            <v>71500000-50001000-18100000</v>
          </cell>
          <cell r="B1791" t="str">
            <v>GASTOS DE REPRESENTACION DIREC</v>
          </cell>
          <cell r="C1791">
            <v>4236.67</v>
          </cell>
          <cell r="D1791">
            <v>10163.629999999999</v>
          </cell>
          <cell r="E1791">
            <v>0</v>
          </cell>
          <cell r="F1791">
            <v>14400.3</v>
          </cell>
        </row>
        <row r="1792">
          <cell r="A1792" t="str">
            <v>71500000-50001000-19030000</v>
          </cell>
          <cell r="B1792" t="str">
            <v>TELEFONOS CELULARES</v>
          </cell>
          <cell r="C1792">
            <v>5280.21</v>
          </cell>
          <cell r="D1792">
            <v>3292.64</v>
          </cell>
          <cell r="E1792">
            <v>0</v>
          </cell>
          <cell r="F1792">
            <v>8572.85</v>
          </cell>
        </row>
        <row r="1793">
          <cell r="A1793" t="str">
            <v>71500000-50001000-19070000</v>
          </cell>
          <cell r="B1793" t="str">
            <v>MENSAJERIA ESPECIALIZADA</v>
          </cell>
          <cell r="C1793">
            <v>3355</v>
          </cell>
          <cell r="D1793">
            <v>1958</v>
          </cell>
          <cell r="E1793">
            <v>0</v>
          </cell>
          <cell r="F1793">
            <v>5313</v>
          </cell>
        </row>
        <row r="1794">
          <cell r="A1794" t="str">
            <v>71500000-50001000-22050000</v>
          </cell>
          <cell r="B1794" t="str">
            <v>COMISIONES Y ASESORIAS EXTERNA</v>
          </cell>
          <cell r="C1794">
            <v>48000</v>
          </cell>
          <cell r="D1794">
            <v>43304.32</v>
          </cell>
          <cell r="E1794">
            <v>0</v>
          </cell>
          <cell r="F1794">
            <v>91304.320000000007</v>
          </cell>
        </row>
        <row r="1795">
          <cell r="A1795" t="str">
            <v>71500000-50001000-23070000</v>
          </cell>
          <cell r="B1795" t="str">
            <v>TARIMAS</v>
          </cell>
          <cell r="C1795">
            <v>103738.38</v>
          </cell>
          <cell r="D1795">
            <v>9391.2000000000007</v>
          </cell>
          <cell r="E1795">
            <v>0</v>
          </cell>
          <cell r="F1795">
            <v>113129.58</v>
          </cell>
        </row>
        <row r="1796">
          <cell r="A1796" t="str">
            <v>71500000-50001000-23130000</v>
          </cell>
          <cell r="B1796" t="str">
            <v>OTROS IMPUESTOS Y DERECHOS</v>
          </cell>
          <cell r="C1796">
            <v>30.26</v>
          </cell>
          <cell r="D1796">
            <v>668.64</v>
          </cell>
          <cell r="E1796">
            <v>0</v>
          </cell>
          <cell r="F1796">
            <v>698.9</v>
          </cell>
        </row>
        <row r="1797">
          <cell r="A1797" t="str">
            <v>71500000-50001000-35020000</v>
          </cell>
          <cell r="B1797" t="str">
            <v>DIVERSOS NO DEDUCIBLES</v>
          </cell>
          <cell r="C1797">
            <v>1908</v>
          </cell>
          <cell r="D1797">
            <v>1294.8800000000001</v>
          </cell>
          <cell r="E1797">
            <v>0</v>
          </cell>
          <cell r="F1797">
            <v>3202.88</v>
          </cell>
        </row>
        <row r="1798">
          <cell r="A1798" t="str">
            <v>71500000-50001000-90030000</v>
          </cell>
          <cell r="B1798" t="str">
            <v>PROVISION AGUINALDO</v>
          </cell>
          <cell r="C1798">
            <v>1329.15</v>
          </cell>
          <cell r="D1798">
            <v>443.05</v>
          </cell>
          <cell r="E1798">
            <v>0</v>
          </cell>
          <cell r="F1798">
            <v>1772.2</v>
          </cell>
        </row>
        <row r="1799">
          <cell r="A1799" t="str">
            <v>72000000-00000000-00000000</v>
          </cell>
          <cell r="B1799" t="str">
            <v>COSTOS/GASTOS VARIABLES</v>
          </cell>
          <cell r="C1799">
            <v>1375604.01</v>
          </cell>
          <cell r="D1799">
            <v>627134.43999999994</v>
          </cell>
          <cell r="E1799">
            <v>73247.460000000006</v>
          </cell>
          <cell r="F1799">
            <v>1929490.99</v>
          </cell>
        </row>
        <row r="1802">
          <cell r="A1802" t="str">
            <v>72100000-00000000-00000000</v>
          </cell>
          <cell r="B1802" t="str">
            <v>COSTOS/GASTOS VAR OPERACIONES</v>
          </cell>
          <cell r="C1802">
            <v>0</v>
          </cell>
          <cell r="D1802">
            <v>0</v>
          </cell>
          <cell r="E1802">
            <v>0</v>
          </cell>
          <cell r="F1802">
            <v>0</v>
          </cell>
        </row>
        <row r="1803">
          <cell r="F1803">
            <v>0</v>
          </cell>
        </row>
        <row r="1804">
          <cell r="A1804" t="str">
            <v>72100000-10000000-00000000</v>
          </cell>
          <cell r="C1804">
            <v>0</v>
          </cell>
          <cell r="D1804">
            <v>0</v>
          </cell>
          <cell r="E1804">
            <v>0</v>
          </cell>
        </row>
        <row r="1805">
          <cell r="A1805" t="str">
            <v>72100000-10001000-00000000</v>
          </cell>
          <cell r="B1805" t="str">
            <v>COSTOS/GASTOS VAR OPERACIONES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</row>
        <row r="1806">
          <cell r="A1806" t="str">
            <v>72100000-10002000-00000000</v>
          </cell>
          <cell r="B1806" t="str">
            <v>COSTOS/GASTOS VAR EMBARQUES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</row>
        <row r="1807">
          <cell r="A1807" t="str">
            <v>72100000-10003000-00000000</v>
          </cell>
          <cell r="B1807" t="str">
            <v>COSTOS/GASTOS VAR MAT PRIMAS</v>
          </cell>
          <cell r="C1807">
            <v>0</v>
          </cell>
          <cell r="D1807">
            <v>0</v>
          </cell>
          <cell r="E1807">
            <v>0</v>
          </cell>
          <cell r="F1807">
            <v>0</v>
          </cell>
        </row>
        <row r="1808">
          <cell r="A1808" t="str">
            <v>72100000-10004000-00000000</v>
          </cell>
          <cell r="B1808" t="str">
            <v>COSTOS/GASTOS VAR PRODUCCION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</row>
        <row r="1809">
          <cell r="A1809" t="str">
            <v>72100000-10005000-00000000</v>
          </cell>
          <cell r="B1809" t="str">
            <v>COSTOS/GASTOS VAR LABORATORIO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</row>
        <row r="1810">
          <cell r="A1810" t="str">
            <v>72200000-00000000-00000000</v>
          </cell>
          <cell r="B1810" t="str">
            <v>COSTOS/GASTOS VAR ADMON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</row>
        <row r="1811">
          <cell r="F1811">
            <v>0</v>
          </cell>
        </row>
        <row r="1812">
          <cell r="A1812" t="str">
            <v>72200000-20000000-00000000</v>
          </cell>
          <cell r="C1812">
            <v>0</v>
          </cell>
          <cell r="D1812">
            <v>0</v>
          </cell>
          <cell r="E1812">
            <v>0</v>
          </cell>
        </row>
        <row r="1813">
          <cell r="A1813" t="str">
            <v>72200000-20001000-00000000</v>
          </cell>
          <cell r="B1813" t="str">
            <v>COSTOS/GASTOS VAR ADMON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</row>
        <row r="1814">
          <cell r="A1814" t="str">
            <v>72200000-20002000-00000000</v>
          </cell>
          <cell r="B1814" t="str">
            <v>COSTOS/GASTOS VAR LEGAL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</row>
        <row r="1815">
          <cell r="A1815" t="str">
            <v>72200000-20003000-00000000</v>
          </cell>
          <cell r="B1815" t="str">
            <v>COSTOS/GASTOS DIR GRAL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</row>
        <row r="1816">
          <cell r="A1816" t="str">
            <v>72200000-20004000-00000000</v>
          </cell>
          <cell r="B1816" t="str">
            <v>COSTOS/GASTOS VAR REC HUM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</row>
        <row r="1817">
          <cell r="A1817" t="str">
            <v>72300000-00000000-00000000</v>
          </cell>
          <cell r="B1817" t="str">
            <v>COSTOS/GASTOS VAR VENTAS</v>
          </cell>
          <cell r="C1817">
            <v>567253.65</v>
          </cell>
          <cell r="D1817">
            <v>293593.8</v>
          </cell>
          <cell r="E1817">
            <v>73247.460000000006</v>
          </cell>
          <cell r="F1817">
            <v>787599.99</v>
          </cell>
        </row>
        <row r="1818">
          <cell r="F1818">
            <v>787599.99</v>
          </cell>
        </row>
        <row r="1819">
          <cell r="A1819" t="str">
            <v>72300000-30000000-00000000</v>
          </cell>
          <cell r="B1819" t="str">
            <v>COSTOS/GASTOS VAR VENTAS</v>
          </cell>
          <cell r="C1819">
            <v>567253.65</v>
          </cell>
          <cell r="D1819">
            <v>293593.8</v>
          </cell>
          <cell r="E1819">
            <v>73247.460000000006</v>
          </cell>
        </row>
        <row r="1820">
          <cell r="A1820" t="str">
            <v>72300000-30001000-00000000</v>
          </cell>
          <cell r="B1820" t="str">
            <v>COSTOS/GASTOS VAR VTAS NAL</v>
          </cell>
          <cell r="C1820">
            <v>22561.54</v>
          </cell>
          <cell r="D1820">
            <v>24438</v>
          </cell>
          <cell r="E1820">
            <v>0</v>
          </cell>
          <cell r="F1820">
            <v>46999.54</v>
          </cell>
        </row>
        <row r="1821">
          <cell r="A1821" t="str">
            <v>72300000-30001000-01080000</v>
          </cell>
          <cell r="B1821" t="str">
            <v>COMISIONES</v>
          </cell>
          <cell r="C1821">
            <v>664</v>
          </cell>
          <cell r="D1821">
            <v>1678</v>
          </cell>
          <cell r="E1821">
            <v>0</v>
          </cell>
          <cell r="F1821">
            <v>2342</v>
          </cell>
        </row>
        <row r="1822">
          <cell r="A1822" t="str">
            <v>72300000-30001000-01090000</v>
          </cell>
          <cell r="B1822" t="str">
            <v>BONOS Y PREMIOS POR LOGROS</v>
          </cell>
          <cell r="C1822">
            <v>0</v>
          </cell>
          <cell r="D1822">
            <v>2800</v>
          </cell>
          <cell r="E1822">
            <v>0</v>
          </cell>
          <cell r="F1822">
            <v>2800</v>
          </cell>
        </row>
        <row r="1823">
          <cell r="A1823" t="str">
            <v>72300000-30001000-05010000</v>
          </cell>
          <cell r="B1823" t="str">
            <v>SERV. PROFESIONALES EXTERNOS</v>
          </cell>
          <cell r="C1823">
            <v>21897.54</v>
          </cell>
          <cell r="D1823">
            <v>19960</v>
          </cell>
          <cell r="E1823">
            <v>0</v>
          </cell>
          <cell r="F1823">
            <v>41857.54</v>
          </cell>
        </row>
        <row r="1824">
          <cell r="A1824" t="str">
            <v>72300000-30002000-00000000</v>
          </cell>
          <cell r="B1824" t="str">
            <v>COSTOS/GASTOS VAR DF 1</v>
          </cell>
          <cell r="C1824">
            <v>46251.88</v>
          </cell>
          <cell r="D1824">
            <v>40159.86</v>
          </cell>
          <cell r="E1824">
            <v>0</v>
          </cell>
          <cell r="F1824">
            <v>86411.74</v>
          </cell>
        </row>
        <row r="1825">
          <cell r="A1825" t="str">
            <v>72300000-30002000-05010000</v>
          </cell>
          <cell r="B1825" t="str">
            <v>SERV. PROFESIONALES EXTERNOS</v>
          </cell>
          <cell r="C1825">
            <v>46251.88</v>
          </cell>
          <cell r="D1825">
            <v>40159.86</v>
          </cell>
          <cell r="E1825">
            <v>0</v>
          </cell>
          <cell r="F1825">
            <v>86411.74</v>
          </cell>
        </row>
        <row r="1826">
          <cell r="A1826" t="str">
            <v>72300000-30003000-00000000</v>
          </cell>
          <cell r="B1826" t="str">
            <v>COSTOS/GASTOS VAR SUR</v>
          </cell>
          <cell r="C1826">
            <v>30095</v>
          </cell>
          <cell r="D1826">
            <v>4224</v>
          </cell>
          <cell r="E1826">
            <v>0</v>
          </cell>
          <cell r="F1826">
            <v>34319</v>
          </cell>
        </row>
        <row r="1827">
          <cell r="A1827" t="str">
            <v>72300000-30003000-01080000</v>
          </cell>
          <cell r="B1827" t="str">
            <v>COMISIONES</v>
          </cell>
          <cell r="C1827">
            <v>22095</v>
          </cell>
          <cell r="D1827">
            <v>4224</v>
          </cell>
          <cell r="E1827">
            <v>0</v>
          </cell>
          <cell r="F1827">
            <v>26319</v>
          </cell>
        </row>
        <row r="1828">
          <cell r="A1828" t="str">
            <v>72300000-30003000-01090000</v>
          </cell>
          <cell r="B1828" t="str">
            <v>BONOS Y PREMIOS POR LOGROS</v>
          </cell>
          <cell r="C1828">
            <v>8000</v>
          </cell>
          <cell r="D1828">
            <v>0</v>
          </cell>
          <cell r="E1828">
            <v>0</v>
          </cell>
          <cell r="F1828">
            <v>8000</v>
          </cell>
        </row>
        <row r="1829">
          <cell r="A1829" t="str">
            <v>72300000-30004000-00000000</v>
          </cell>
          <cell r="B1829" t="str">
            <v>COSTOS/GASTOS VAR GOLFO</v>
          </cell>
          <cell r="C1829">
            <v>37998</v>
          </cell>
          <cell r="D1829">
            <v>11188</v>
          </cell>
          <cell r="E1829">
            <v>0</v>
          </cell>
          <cell r="F1829">
            <v>49186</v>
          </cell>
        </row>
        <row r="1830">
          <cell r="A1830" t="str">
            <v>72300000-30004000-01080000</v>
          </cell>
          <cell r="B1830" t="str">
            <v>COMISIONES</v>
          </cell>
          <cell r="C1830">
            <v>29748</v>
          </cell>
          <cell r="D1830">
            <v>11188</v>
          </cell>
          <cell r="E1830">
            <v>0</v>
          </cell>
          <cell r="F1830">
            <v>40936</v>
          </cell>
        </row>
        <row r="1831">
          <cell r="A1831" t="str">
            <v>72300000-30004000-01090000</v>
          </cell>
          <cell r="B1831" t="str">
            <v>BONOS Y PREMIOS POR LOGROS</v>
          </cell>
          <cell r="C1831">
            <v>8250</v>
          </cell>
          <cell r="D1831">
            <v>0</v>
          </cell>
          <cell r="E1831">
            <v>0</v>
          </cell>
          <cell r="F1831">
            <v>8250</v>
          </cell>
        </row>
        <row r="1832">
          <cell r="A1832" t="str">
            <v>72300000-30005000-00000000</v>
          </cell>
          <cell r="B1832" t="str">
            <v>COSTOS/GASTOS VAR TIENDAS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</row>
        <row r="1833">
          <cell r="A1833" t="str">
            <v>72300000-30006000-00000000</v>
          </cell>
          <cell r="B1833" t="str">
            <v>COSTOS/GASTOS VAR NTE CONURB</v>
          </cell>
          <cell r="C1833">
            <v>59920.98</v>
          </cell>
          <cell r="D1833">
            <v>37891.56</v>
          </cell>
          <cell r="E1833">
            <v>73247.460000000006</v>
          </cell>
          <cell r="F1833">
            <v>24565.08</v>
          </cell>
        </row>
        <row r="1834">
          <cell r="A1834" t="str">
            <v>72300000-30006000-05010000</v>
          </cell>
          <cell r="B1834" t="str">
            <v>SERV. PROFESIONALES EXTERNOS</v>
          </cell>
          <cell r="C1834">
            <v>59920.98</v>
          </cell>
          <cell r="D1834">
            <v>37891.56</v>
          </cell>
          <cell r="E1834">
            <v>73247.460000000006</v>
          </cell>
          <cell r="F1834">
            <v>24565.08</v>
          </cell>
        </row>
        <row r="1835">
          <cell r="A1835" t="str">
            <v>72300000-30007000-00000000</v>
          </cell>
          <cell r="B1835" t="str">
            <v>COSTOS/GASTOS VAR PAC NTE</v>
          </cell>
          <cell r="C1835">
            <v>29408</v>
          </cell>
          <cell r="D1835">
            <v>10628</v>
          </cell>
          <cell r="E1835">
            <v>0</v>
          </cell>
          <cell r="F1835">
            <v>40036</v>
          </cell>
        </row>
        <row r="1836">
          <cell r="A1836" t="str">
            <v>72300000-30007000-01080000</v>
          </cell>
          <cell r="B1836" t="str">
            <v>COMISIONES</v>
          </cell>
          <cell r="C1836">
            <v>29408</v>
          </cell>
          <cell r="D1836">
            <v>10628</v>
          </cell>
          <cell r="E1836">
            <v>0</v>
          </cell>
          <cell r="F1836">
            <v>40036</v>
          </cell>
        </row>
        <row r="1837">
          <cell r="A1837" t="str">
            <v>72300000-30008000-00000000</v>
          </cell>
          <cell r="B1837" t="str">
            <v>COSTOS/GASTOS VAR PAC CTRO</v>
          </cell>
          <cell r="C1837">
            <v>35072</v>
          </cell>
          <cell r="D1837">
            <v>26824</v>
          </cell>
          <cell r="E1837">
            <v>0</v>
          </cell>
          <cell r="F1837">
            <v>61896</v>
          </cell>
        </row>
        <row r="1838">
          <cell r="A1838" t="str">
            <v>72300000-30008000-01080000</v>
          </cell>
          <cell r="B1838" t="str">
            <v>COMISIONES</v>
          </cell>
          <cell r="C1838">
            <v>35072</v>
          </cell>
          <cell r="D1838">
            <v>23224</v>
          </cell>
          <cell r="E1838">
            <v>0</v>
          </cell>
          <cell r="F1838">
            <v>58296</v>
          </cell>
        </row>
        <row r="1839">
          <cell r="A1839" t="str">
            <v>72300000-30008000-01090000</v>
          </cell>
          <cell r="B1839" t="str">
            <v>BONOS Y PREMIOS POR LOGROS</v>
          </cell>
          <cell r="C1839">
            <v>0</v>
          </cell>
          <cell r="D1839">
            <v>3600</v>
          </cell>
          <cell r="E1839">
            <v>0</v>
          </cell>
          <cell r="F1839">
            <v>3600</v>
          </cell>
        </row>
        <row r="1840">
          <cell r="A1840" t="str">
            <v>72300000-30009000-00000000</v>
          </cell>
          <cell r="B1840" t="str">
            <v>COSTOS/GASTOS VAR GDL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</row>
        <row r="1841">
          <cell r="A1841" t="str">
            <v>72300000-30010000-00000000</v>
          </cell>
          <cell r="B1841" t="str">
            <v>COSTOS/GASTOS VAR OCCIDENTE</v>
          </cell>
          <cell r="C1841">
            <v>13768</v>
          </cell>
          <cell r="D1841">
            <v>8004</v>
          </cell>
          <cell r="E1841">
            <v>0</v>
          </cell>
          <cell r="F1841">
            <v>21772</v>
          </cell>
        </row>
        <row r="1842">
          <cell r="A1842" t="str">
            <v>72300000-30010000-01080000</v>
          </cell>
          <cell r="B1842" t="str">
            <v>COMISIONES</v>
          </cell>
          <cell r="C1842">
            <v>13768</v>
          </cell>
          <cell r="D1842">
            <v>8004</v>
          </cell>
          <cell r="E1842">
            <v>0</v>
          </cell>
          <cell r="F1842">
            <v>21772</v>
          </cell>
        </row>
        <row r="1843">
          <cell r="A1843" t="str">
            <v>72300000-30011000-00000000</v>
          </cell>
          <cell r="B1843" t="str">
            <v>COSTOS/GASTOS VAR CONURBADA</v>
          </cell>
          <cell r="C1843">
            <v>101414</v>
          </cell>
          <cell r="D1843">
            <v>28530</v>
          </cell>
          <cell r="E1843">
            <v>0</v>
          </cell>
          <cell r="F1843">
            <v>129944</v>
          </cell>
        </row>
        <row r="1844">
          <cell r="A1844" t="str">
            <v>72300000-30011000-01080000</v>
          </cell>
          <cell r="B1844" t="str">
            <v>COMISIONES</v>
          </cell>
          <cell r="C1844">
            <v>70734</v>
          </cell>
          <cell r="D1844">
            <v>28530</v>
          </cell>
          <cell r="E1844">
            <v>0</v>
          </cell>
          <cell r="F1844">
            <v>99264</v>
          </cell>
        </row>
        <row r="1845">
          <cell r="A1845" t="str">
            <v>72300000-30011000-01090000</v>
          </cell>
          <cell r="B1845" t="str">
            <v>BONOS Y PREMIOS POR LOGROS</v>
          </cell>
          <cell r="C1845">
            <v>30680</v>
          </cell>
          <cell r="D1845">
            <v>0</v>
          </cell>
          <cell r="E1845">
            <v>0</v>
          </cell>
          <cell r="F1845">
            <v>30680</v>
          </cell>
        </row>
        <row r="1846">
          <cell r="A1846" t="str">
            <v>72300000-30012000-00000000</v>
          </cell>
          <cell r="B1846" t="str">
            <v>COSTOS/GASTOS VAR PRECOR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</row>
        <row r="1847">
          <cell r="A1847" t="str">
            <v>72300000-30013000-00000000</v>
          </cell>
          <cell r="B1847" t="str">
            <v>COSTOS/GASTOS VAR CANCUN</v>
          </cell>
          <cell r="C1847">
            <v>28314.77</v>
          </cell>
          <cell r="D1847">
            <v>2275.92</v>
          </cell>
          <cell r="E1847">
            <v>0</v>
          </cell>
          <cell r="F1847">
            <v>30590.69</v>
          </cell>
        </row>
        <row r="1848">
          <cell r="A1848" t="str">
            <v>72300000-30013000-05010000</v>
          </cell>
          <cell r="B1848" t="str">
            <v>SERV. PROFESIONALES EXTERNOS</v>
          </cell>
          <cell r="C1848">
            <v>28314.77</v>
          </cell>
          <cell r="D1848">
            <v>2275.92</v>
          </cell>
          <cell r="E1848">
            <v>0</v>
          </cell>
          <cell r="F1848">
            <v>30590.69</v>
          </cell>
        </row>
        <row r="1849">
          <cell r="A1849" t="str">
            <v>72300000-30014000-00000000</v>
          </cell>
          <cell r="B1849" t="str">
            <v>COSTOS/GASTOS VAR G. FORANEA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</row>
        <row r="1850">
          <cell r="A1850" t="str">
            <v>72300000-30015000-00000000</v>
          </cell>
          <cell r="B1850" t="str">
            <v>COSTOS/GASTOS VAR T AGRICULTUR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</row>
        <row r="1851">
          <cell r="A1851" t="str">
            <v>72300000-30016000-00000000</v>
          </cell>
          <cell r="B1851" t="str">
            <v>COSTOS/GASTOS VAR T IZTAPALAPA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</row>
        <row r="1852">
          <cell r="A1852" t="str">
            <v>72300000-30017000-00000000</v>
          </cell>
          <cell r="B1852" t="str">
            <v>COSTOS/GASTOS VAR T JALISCO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</row>
        <row r="1853">
          <cell r="A1853" t="str">
            <v>72300000-30018000-00000000</v>
          </cell>
          <cell r="B1853" t="str">
            <v>COSTOS/GASTOS VAR T ACOXPA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</row>
        <row r="1854">
          <cell r="A1854" t="str">
            <v>72300000-30019000-00000000</v>
          </cell>
          <cell r="B1854" t="str">
            <v>COSTOS/GASTOS VAR T DIV NORTE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</row>
        <row r="1855">
          <cell r="A1855" t="str">
            <v>72300000-30020000-00000000</v>
          </cell>
          <cell r="B1855" t="str">
            <v>COSTOS/GASTOS VAR T PORTALES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</row>
        <row r="1856">
          <cell r="A1856" t="str">
            <v>72300000-30021000-00000000</v>
          </cell>
          <cell r="B1856" t="str">
            <v>COSTOS/GASTOS VAR T CUAJIMALPA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</row>
        <row r="1857">
          <cell r="A1857" t="str">
            <v>72300000-30022000-00000000</v>
          </cell>
          <cell r="B1857" t="str">
            <v>COSTOS/GASTOS VAR T ECATEPEC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</row>
        <row r="1858">
          <cell r="A1858" t="str">
            <v>72300000-30023000-00000000</v>
          </cell>
          <cell r="B1858" t="str">
            <v>COSTOS/GASTOS FIJOS COACALCO 1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</row>
        <row r="1859">
          <cell r="A1859" t="str">
            <v>72300000-30024000-00000000</v>
          </cell>
          <cell r="B1859" t="str">
            <v>COSTOS/GASTOS FIJOS COACALCO 2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</row>
        <row r="1860">
          <cell r="A1860" t="str">
            <v>72300000-30025000-00000000</v>
          </cell>
          <cell r="B1860" t="str">
            <v>COSTOS/GASTOS VAR OCCIDENTE 2</v>
          </cell>
          <cell r="C1860">
            <v>32481.8</v>
          </cell>
          <cell r="D1860">
            <v>3400.74</v>
          </cell>
          <cell r="E1860">
            <v>0</v>
          </cell>
          <cell r="F1860">
            <v>35882.54</v>
          </cell>
        </row>
        <row r="1861">
          <cell r="A1861" t="str">
            <v>72300000-30025000-05010000</v>
          </cell>
          <cell r="B1861" t="str">
            <v>SERV. PROFESIONALES EXTERNOS</v>
          </cell>
          <cell r="C1861">
            <v>32481.8</v>
          </cell>
          <cell r="D1861">
            <v>3400.74</v>
          </cell>
          <cell r="E1861">
            <v>0</v>
          </cell>
          <cell r="F1861">
            <v>35882.54</v>
          </cell>
        </row>
        <row r="1862">
          <cell r="A1862" t="str">
            <v>72300000-30026000-00000000</v>
          </cell>
          <cell r="B1862" t="str">
            <v>COSTOS/GASTOS FIJOS DF 2</v>
          </cell>
          <cell r="C1862">
            <v>62496.06</v>
          </cell>
          <cell r="D1862">
            <v>15649.5</v>
          </cell>
          <cell r="E1862">
            <v>0</v>
          </cell>
          <cell r="F1862">
            <v>78145.56</v>
          </cell>
        </row>
        <row r="1863">
          <cell r="A1863" t="str">
            <v>72300000-30026000-05010000</v>
          </cell>
          <cell r="B1863" t="str">
            <v>SERV. PROFESIONALES EXTERNOS</v>
          </cell>
          <cell r="C1863">
            <v>62496.06</v>
          </cell>
          <cell r="D1863">
            <v>15649.5</v>
          </cell>
          <cell r="E1863">
            <v>0</v>
          </cell>
          <cell r="F1863">
            <v>78145.56</v>
          </cell>
        </row>
        <row r="1864">
          <cell r="A1864" t="str">
            <v>72300000-30027000-00000000</v>
          </cell>
          <cell r="B1864" t="str">
            <v>COSTOS/GASTOS FIJOS DF 3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</row>
        <row r="1865">
          <cell r="A1865" t="str">
            <v>72300000-30028000-00000000</v>
          </cell>
          <cell r="B1865" t="str">
            <v>COSTOS/GASTOS FIJOS DF 4</v>
          </cell>
          <cell r="C1865">
            <v>41796</v>
          </cell>
          <cell r="D1865">
            <v>2368</v>
          </cell>
          <cell r="E1865">
            <v>0</v>
          </cell>
          <cell r="F1865">
            <v>44164</v>
          </cell>
        </row>
        <row r="1866">
          <cell r="A1866" t="str">
            <v>72300000-30028000-01080000</v>
          </cell>
          <cell r="B1866" t="str">
            <v>COMISIONES</v>
          </cell>
          <cell r="C1866">
            <v>17796</v>
          </cell>
          <cell r="D1866">
            <v>2368</v>
          </cell>
          <cell r="E1866">
            <v>0</v>
          </cell>
          <cell r="F1866">
            <v>20164</v>
          </cell>
        </row>
        <row r="1867">
          <cell r="A1867" t="str">
            <v>72300000-30028000-01090000</v>
          </cell>
          <cell r="B1867" t="str">
            <v>BONOS Y PREMIOS POR LOGROS</v>
          </cell>
          <cell r="C1867">
            <v>24000</v>
          </cell>
          <cell r="D1867">
            <v>0</v>
          </cell>
          <cell r="E1867">
            <v>0</v>
          </cell>
          <cell r="F1867">
            <v>24000</v>
          </cell>
        </row>
        <row r="1868">
          <cell r="A1868" t="str">
            <v>72300000-30029000-00000000</v>
          </cell>
          <cell r="B1868" t="str">
            <v>COSTOS/GASTOS FIJOS DF 5</v>
          </cell>
          <cell r="C1868">
            <v>25675.62</v>
          </cell>
          <cell r="D1868">
            <v>4764.76</v>
          </cell>
          <cell r="E1868">
            <v>0</v>
          </cell>
          <cell r="F1868">
            <v>30440.38</v>
          </cell>
        </row>
        <row r="1869">
          <cell r="A1869" t="str">
            <v>72300000-30029000-05010000</v>
          </cell>
          <cell r="B1869" t="str">
            <v>SERV. PROFESIONALES EXTERNOS</v>
          </cell>
          <cell r="C1869">
            <v>25675.62</v>
          </cell>
          <cell r="D1869">
            <v>4764.76</v>
          </cell>
          <cell r="E1869">
            <v>0</v>
          </cell>
          <cell r="F1869">
            <v>30440.38</v>
          </cell>
        </row>
        <row r="1870">
          <cell r="A1870" t="str">
            <v>72300000-30030000-00000000</v>
          </cell>
          <cell r="B1870" t="str">
            <v>COSTOS/GASTOS VAR NTE</v>
          </cell>
          <cell r="C1870">
            <v>0</v>
          </cell>
          <cell r="D1870">
            <v>73247.460000000006</v>
          </cell>
          <cell r="E1870">
            <v>0</v>
          </cell>
          <cell r="F1870">
            <v>73247.460000000006</v>
          </cell>
        </row>
        <row r="1871">
          <cell r="A1871" t="str">
            <v>72300000-30030000-05010000</v>
          </cell>
          <cell r="B1871" t="str">
            <v>SERV. PROFESIONALES EXTERNOS</v>
          </cell>
          <cell r="C1871">
            <v>0</v>
          </cell>
          <cell r="D1871">
            <v>73247.460000000006</v>
          </cell>
          <cell r="E1871">
            <v>0</v>
          </cell>
          <cell r="F1871">
            <v>73247.460000000006</v>
          </cell>
        </row>
        <row r="1872">
          <cell r="A1872" t="str">
            <v>72300000-30031000-00000000</v>
          </cell>
          <cell r="B1872" t="str">
            <v>COSTOS/GASTOS FIJOS PROYEC ESP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</row>
        <row r="1873">
          <cell r="A1873" t="str">
            <v>72400000-00000000-00000000</v>
          </cell>
          <cell r="B1873" t="str">
            <v>COSTOS/GASTOS VAR MKT</v>
          </cell>
          <cell r="C1873">
            <v>704189.47</v>
          </cell>
          <cell r="D1873">
            <v>194262.27</v>
          </cell>
          <cell r="E1873">
            <v>0</v>
          </cell>
          <cell r="F1873">
            <v>898451.74</v>
          </cell>
        </row>
        <row r="1874">
          <cell r="F1874">
            <v>898451.74</v>
          </cell>
        </row>
        <row r="1875">
          <cell r="A1875" t="str">
            <v>72400000-40000000-00000000</v>
          </cell>
          <cell r="B1875" t="str">
            <v>COSTOS/GASTOS VAR MKT</v>
          </cell>
          <cell r="C1875">
            <v>704189.47</v>
          </cell>
          <cell r="D1875">
            <v>194262.27</v>
          </cell>
          <cell r="E1875">
            <v>0</v>
          </cell>
        </row>
        <row r="1876">
          <cell r="A1876" t="str">
            <v>72400000-40001000-00000000</v>
          </cell>
          <cell r="B1876" t="str">
            <v>COSTOS/GASTOS VAR MKT GRAL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</row>
        <row r="1877">
          <cell r="A1877" t="str">
            <v>72400000-40002000-00000000</v>
          </cell>
          <cell r="B1877" t="str">
            <v>COSTOS/GASTOS VAR CAPACITACION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</row>
        <row r="1878">
          <cell r="A1878" t="str">
            <v>72400000-40003000-00000000</v>
          </cell>
          <cell r="B1878" t="str">
            <v>COSTOS/GASTOS VAR PUB Y MKT</v>
          </cell>
          <cell r="C1878">
            <v>704189.47</v>
          </cell>
          <cell r="D1878">
            <v>194262.27</v>
          </cell>
          <cell r="E1878">
            <v>0</v>
          </cell>
          <cell r="F1878">
            <v>898451.74</v>
          </cell>
        </row>
        <row r="1879">
          <cell r="A1879" t="str">
            <v>72400000-40003000-24010000</v>
          </cell>
          <cell r="B1879" t="str">
            <v>MATERIAL DE APOYO</v>
          </cell>
          <cell r="C1879">
            <v>1431.4</v>
          </cell>
          <cell r="D1879">
            <v>0</v>
          </cell>
          <cell r="E1879">
            <v>0</v>
          </cell>
          <cell r="F1879">
            <v>1431.4</v>
          </cell>
        </row>
        <row r="1880">
          <cell r="A1880" t="str">
            <v>72400000-40003000-27010000</v>
          </cell>
          <cell r="B1880" t="str">
            <v>EXPOSICIONES Y EVENTOS PROFESI</v>
          </cell>
          <cell r="C1880">
            <v>134025.82999999999</v>
          </cell>
          <cell r="D1880">
            <v>51612</v>
          </cell>
          <cell r="E1880">
            <v>0</v>
          </cell>
          <cell r="F1880">
            <v>185637.83</v>
          </cell>
        </row>
        <row r="1881">
          <cell r="A1881" t="str">
            <v>72400000-40003000-27020000</v>
          </cell>
          <cell r="B1881" t="str">
            <v>PUBLICIDAD REVISTAS Y PERIODIC</v>
          </cell>
          <cell r="C1881">
            <v>121580</v>
          </cell>
          <cell r="D1881">
            <v>36652.58</v>
          </cell>
          <cell r="E1881">
            <v>0</v>
          </cell>
          <cell r="F1881">
            <v>158232.57999999999</v>
          </cell>
        </row>
        <row r="1882">
          <cell r="A1882" t="str">
            <v>72400000-40003000-27050000</v>
          </cell>
          <cell r="B1882" t="str">
            <v>ROTULACION DE VEHICULOS</v>
          </cell>
          <cell r="C1882">
            <v>13100</v>
          </cell>
          <cell r="D1882">
            <v>0</v>
          </cell>
          <cell r="E1882">
            <v>0</v>
          </cell>
          <cell r="F1882">
            <v>13100</v>
          </cell>
        </row>
        <row r="1883">
          <cell r="A1883" t="str">
            <v>72400000-40003000-27060000</v>
          </cell>
          <cell r="B1883" t="str">
            <v>ROTULACION MANTAS</v>
          </cell>
          <cell r="C1883">
            <v>815</v>
          </cell>
          <cell r="D1883">
            <v>1380</v>
          </cell>
          <cell r="E1883">
            <v>0</v>
          </cell>
          <cell r="F1883">
            <v>2195</v>
          </cell>
        </row>
        <row r="1884">
          <cell r="A1884" t="str">
            <v>72400000-40003000-27070000</v>
          </cell>
          <cell r="B1884" t="str">
            <v>ARTICULOS PROMOCIONALES</v>
          </cell>
          <cell r="C1884">
            <v>175157.73</v>
          </cell>
          <cell r="D1884">
            <v>35586.69</v>
          </cell>
          <cell r="E1884">
            <v>0</v>
          </cell>
          <cell r="F1884">
            <v>210744.42</v>
          </cell>
        </row>
        <row r="1885">
          <cell r="A1885" t="str">
            <v>72400000-40003000-27080000</v>
          </cell>
          <cell r="B1885" t="str">
            <v>FOLLETERIA CARTA DE COLORES</v>
          </cell>
          <cell r="C1885">
            <v>126205</v>
          </cell>
          <cell r="D1885">
            <v>33600</v>
          </cell>
          <cell r="E1885">
            <v>0</v>
          </cell>
          <cell r="F1885">
            <v>159805</v>
          </cell>
        </row>
        <row r="1886">
          <cell r="A1886" t="str">
            <v>72400000-40003000-27100000</v>
          </cell>
          <cell r="B1886" t="str">
            <v>MUESTRAS</v>
          </cell>
          <cell r="C1886">
            <v>5570.88</v>
          </cell>
          <cell r="D1886">
            <v>0</v>
          </cell>
          <cell r="E1886">
            <v>0</v>
          </cell>
          <cell r="F1886">
            <v>5570.88</v>
          </cell>
        </row>
        <row r="1887">
          <cell r="A1887" t="str">
            <v>72400000-40003000-27120000</v>
          </cell>
          <cell r="B1887" t="str">
            <v>AGENCIAS PUBLICITARIAS</v>
          </cell>
          <cell r="C1887">
            <v>87666.66</v>
          </cell>
          <cell r="D1887">
            <v>23000</v>
          </cell>
          <cell r="E1887">
            <v>0</v>
          </cell>
          <cell r="F1887">
            <v>110666.66</v>
          </cell>
        </row>
        <row r="1888">
          <cell r="A1888" t="str">
            <v>72400000-40003000-27180000</v>
          </cell>
          <cell r="B1888" t="str">
            <v>REMODELA DISEÑO</v>
          </cell>
          <cell r="C1888">
            <v>13565.52</v>
          </cell>
          <cell r="D1888">
            <v>0</v>
          </cell>
          <cell r="E1888">
            <v>0</v>
          </cell>
          <cell r="F1888">
            <v>13565.52</v>
          </cell>
        </row>
        <row r="1889">
          <cell r="A1889" t="str">
            <v>72400000-40003000-27190000</v>
          </cell>
          <cell r="B1889" t="str">
            <v>REMODELA ROTULACION</v>
          </cell>
          <cell r="C1889">
            <v>5119.2</v>
          </cell>
          <cell r="D1889">
            <v>0</v>
          </cell>
          <cell r="E1889">
            <v>0</v>
          </cell>
          <cell r="F1889">
            <v>5119.2</v>
          </cell>
        </row>
        <row r="1890">
          <cell r="A1890" t="str">
            <v>72400000-40003000-27200000</v>
          </cell>
          <cell r="B1890" t="str">
            <v>EXPOSICIONES CON DISTRIBUIDOR</v>
          </cell>
          <cell r="C1890">
            <v>6642.25</v>
          </cell>
          <cell r="D1890">
            <v>5700</v>
          </cell>
          <cell r="E1890">
            <v>0</v>
          </cell>
          <cell r="F1890">
            <v>12342.25</v>
          </cell>
        </row>
        <row r="1891">
          <cell r="A1891" t="str">
            <v>72400000-40003000-27210000</v>
          </cell>
          <cell r="B1891" t="str">
            <v>PUBLICIDAD CON DISTRIBUIDORES</v>
          </cell>
          <cell r="C1891">
            <v>13310</v>
          </cell>
          <cell r="D1891">
            <v>6731</v>
          </cell>
          <cell r="E1891">
            <v>0</v>
          </cell>
          <cell r="F1891">
            <v>20041</v>
          </cell>
        </row>
        <row r="1892">
          <cell r="A1892" t="str">
            <v>72400000-40004000-00000000</v>
          </cell>
          <cell r="B1892" t="str">
            <v>COSTOS/GASTOS VAR EXPORT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</row>
        <row r="1893">
          <cell r="A1893" t="str">
            <v>72400000-40005000-00000000</v>
          </cell>
          <cell r="B1893" t="str">
            <v>COSTOS/GASTOS FIJOS ESPECIFIC.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</row>
        <row r="1894">
          <cell r="A1894" t="str">
            <v>72400000-40013000-00000000</v>
          </cell>
          <cell r="B1894" t="str">
            <v>COSTOS/GASTOS VAR CANCUN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</row>
        <row r="1895">
          <cell r="A1895" t="str">
            <v>72500000-00000000-00000000</v>
          </cell>
          <cell r="B1895" t="str">
            <v>COSTOS/GASTOS VAR EXPORTACION</v>
          </cell>
          <cell r="C1895">
            <v>104160.89</v>
          </cell>
          <cell r="D1895">
            <v>139278.37</v>
          </cell>
          <cell r="E1895">
            <v>0</v>
          </cell>
          <cell r="F1895">
            <v>243439.26</v>
          </cell>
        </row>
        <row r="1896">
          <cell r="F1896">
            <v>243439.26</v>
          </cell>
        </row>
        <row r="1897">
          <cell r="A1897" t="str">
            <v>72500000-20000000-00000000</v>
          </cell>
          <cell r="C1897">
            <v>0</v>
          </cell>
          <cell r="D1897">
            <v>0</v>
          </cell>
          <cell r="E1897">
            <v>0</v>
          </cell>
        </row>
        <row r="1898">
          <cell r="A1898" t="str">
            <v>72500000-20001000-00000000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</row>
        <row r="1899">
          <cell r="A1899" t="str">
            <v>72500000-50000000-00000000</v>
          </cell>
          <cell r="B1899" t="str">
            <v>COSTOS/GASTOS VAR EXPORTACION</v>
          </cell>
          <cell r="C1899">
            <v>104160.89</v>
          </cell>
          <cell r="D1899">
            <v>139278.37</v>
          </cell>
          <cell r="E1899">
            <v>0</v>
          </cell>
        </row>
        <row r="1900">
          <cell r="A1900" t="str">
            <v>72500000-50001000-00000000</v>
          </cell>
          <cell r="B1900" t="str">
            <v>COSTOS/GASTOS VAR ESPORT</v>
          </cell>
          <cell r="C1900">
            <v>104160.89</v>
          </cell>
          <cell r="D1900">
            <v>139278.37</v>
          </cell>
          <cell r="E1900">
            <v>0</v>
          </cell>
          <cell r="F1900">
            <v>243439.26</v>
          </cell>
        </row>
        <row r="1901">
          <cell r="A1901" t="str">
            <v>72500000-50001000-22050000</v>
          </cell>
          <cell r="B1901" t="str">
            <v>COMISIONES Y ASESORIAS EXTERNA</v>
          </cell>
          <cell r="C1901">
            <v>104160.89</v>
          </cell>
          <cell r="D1901">
            <v>139278.37</v>
          </cell>
          <cell r="E1901">
            <v>0</v>
          </cell>
          <cell r="F1901">
            <v>243439.26</v>
          </cell>
        </row>
      </sheetData>
      <sheetData sheetId="4">
        <row r="1357">
          <cell r="A1357" t="str">
            <v>71300000-00000000-00000000</v>
          </cell>
          <cell r="B1357" t="str">
            <v>COSTOS/GASTOS FIJOS VENTAS</v>
          </cell>
          <cell r="C1357">
            <v>2365986.19</v>
          </cell>
          <cell r="D1357">
            <v>738505.64</v>
          </cell>
          <cell r="E1357">
            <v>0</v>
          </cell>
          <cell r="F1357">
            <v>3104491.83</v>
          </cell>
        </row>
        <row r="1358">
          <cell r="F1358">
            <v>3104491.83</v>
          </cell>
        </row>
        <row r="1359">
          <cell r="A1359" t="str">
            <v>71300000-30000000-00000000</v>
          </cell>
          <cell r="B1359" t="str">
            <v>COSTOS/GASTOS FIJOS VENTAS</v>
          </cell>
          <cell r="C1359">
            <v>2365986.19</v>
          </cell>
          <cell r="D1359">
            <v>738505.64</v>
          </cell>
          <cell r="E1359">
            <v>0</v>
          </cell>
        </row>
        <row r="1360">
          <cell r="A1360" t="str">
            <v>71300000-30001000-00000000</v>
          </cell>
          <cell r="B1360" t="str">
            <v>COSTOS/GASTOS FIJOS VTAS NAL</v>
          </cell>
          <cell r="C1360">
            <v>796805.59</v>
          </cell>
          <cell r="D1360">
            <v>230201.63</v>
          </cell>
          <cell r="E1360">
            <v>0</v>
          </cell>
          <cell r="F1360">
            <v>1027007.22</v>
          </cell>
        </row>
        <row r="1361">
          <cell r="A1361" t="str">
            <v>71300000-30001000-01010000</v>
          </cell>
          <cell r="B1361" t="str">
            <v>SUELDOS Y SALARIOS</v>
          </cell>
          <cell r="C1361">
            <v>78280</v>
          </cell>
          <cell r="D1361">
            <v>21080</v>
          </cell>
          <cell r="E1361">
            <v>0</v>
          </cell>
          <cell r="F1361">
            <v>99360</v>
          </cell>
        </row>
        <row r="1362">
          <cell r="A1362" t="str">
            <v>71300000-30001000-01030000</v>
          </cell>
          <cell r="B1362" t="str">
            <v>GRATIFICACIONES</v>
          </cell>
          <cell r="C1362">
            <v>1922</v>
          </cell>
          <cell r="D1362">
            <v>0</v>
          </cell>
          <cell r="E1362">
            <v>0</v>
          </cell>
          <cell r="F1362">
            <v>1922</v>
          </cell>
        </row>
        <row r="1363">
          <cell r="A1363" t="str">
            <v>71300000-30001000-01040000</v>
          </cell>
          <cell r="B1363" t="str">
            <v>VACACIONES</v>
          </cell>
          <cell r="C1363">
            <v>2720</v>
          </cell>
          <cell r="D1363">
            <v>0</v>
          </cell>
          <cell r="E1363">
            <v>0</v>
          </cell>
          <cell r="F1363">
            <v>2720</v>
          </cell>
        </row>
        <row r="1364">
          <cell r="A1364" t="str">
            <v>71300000-30001000-01050000</v>
          </cell>
          <cell r="B1364" t="str">
            <v>PRIMA VACACIONAL</v>
          </cell>
          <cell r="C1364">
            <v>1768</v>
          </cell>
          <cell r="D1364">
            <v>0</v>
          </cell>
          <cell r="E1364">
            <v>0</v>
          </cell>
          <cell r="F1364">
            <v>1768</v>
          </cell>
        </row>
        <row r="1365">
          <cell r="A1365" t="str">
            <v>71300000-30001000-03010000</v>
          </cell>
          <cell r="B1365" t="str">
            <v>FONDO DE AHORRO</v>
          </cell>
          <cell r="C1365">
            <v>6262.4</v>
          </cell>
          <cell r="D1365">
            <v>1686.4</v>
          </cell>
          <cell r="E1365">
            <v>0</v>
          </cell>
          <cell r="F1365">
            <v>7948.8</v>
          </cell>
        </row>
        <row r="1366">
          <cell r="A1366" t="str">
            <v>71300000-30001000-03020000</v>
          </cell>
          <cell r="B1366" t="str">
            <v>CUOTAS AL I.M.S.S.</v>
          </cell>
          <cell r="C1366">
            <v>7918.42</v>
          </cell>
          <cell r="D1366">
            <v>1924.79</v>
          </cell>
          <cell r="E1366">
            <v>0</v>
          </cell>
          <cell r="F1366">
            <v>9843.2099999999991</v>
          </cell>
        </row>
        <row r="1367">
          <cell r="A1367" t="str">
            <v>71300000-30001000-03030000</v>
          </cell>
          <cell r="B1367" t="str">
            <v>UNIFORMES Y EQUIPO</v>
          </cell>
          <cell r="C1367">
            <v>513</v>
          </cell>
          <cell r="D1367">
            <v>0</v>
          </cell>
          <cell r="E1367">
            <v>0</v>
          </cell>
          <cell r="F1367">
            <v>513</v>
          </cell>
        </row>
        <row r="1368">
          <cell r="A1368" t="str">
            <v>71300000-30001000-03040000</v>
          </cell>
          <cell r="B1368" t="str">
            <v>DESPENSA EN VALES</v>
          </cell>
          <cell r="C1368">
            <v>3846</v>
          </cell>
          <cell r="D1368">
            <v>816</v>
          </cell>
          <cell r="E1368">
            <v>0</v>
          </cell>
          <cell r="F1368">
            <v>4662</v>
          </cell>
        </row>
        <row r="1369">
          <cell r="A1369" t="str">
            <v>71300000-30001000-04010000</v>
          </cell>
          <cell r="B1369" t="str">
            <v>2.5% SOBRE NOMINAS</v>
          </cell>
          <cell r="C1369">
            <v>2630</v>
          </cell>
          <cell r="D1369">
            <v>650</v>
          </cell>
          <cell r="E1369">
            <v>0</v>
          </cell>
          <cell r="F1369">
            <v>3280</v>
          </cell>
        </row>
        <row r="1370">
          <cell r="A1370" t="str">
            <v>71300000-30001000-04020000</v>
          </cell>
          <cell r="B1370" t="str">
            <v>5% INFONAVIT</v>
          </cell>
          <cell r="C1370">
            <v>5524.07</v>
          </cell>
          <cell r="D1370">
            <v>1328.02</v>
          </cell>
          <cell r="E1370">
            <v>0</v>
          </cell>
          <cell r="F1370">
            <v>6852.09</v>
          </cell>
        </row>
        <row r="1371">
          <cell r="A1371" t="str">
            <v>71300000-30001000-04030000</v>
          </cell>
          <cell r="B1371" t="str">
            <v>2% S.A.R. / RETIRO</v>
          </cell>
          <cell r="C1371">
            <v>2209.63</v>
          </cell>
          <cell r="D1371">
            <v>531.21</v>
          </cell>
          <cell r="E1371">
            <v>0</v>
          </cell>
          <cell r="F1371">
            <v>2740.84</v>
          </cell>
        </row>
        <row r="1372">
          <cell r="A1372" t="str">
            <v>71300000-30001000-04040000</v>
          </cell>
          <cell r="B1372" t="str">
            <v>CESANTIA Y VEJEZ</v>
          </cell>
          <cell r="C1372">
            <v>3480.16</v>
          </cell>
          <cell r="D1372">
            <v>836.67</v>
          </cell>
          <cell r="E1372">
            <v>0</v>
          </cell>
          <cell r="F1372">
            <v>4316.83</v>
          </cell>
        </row>
        <row r="1373">
          <cell r="A1373" t="str">
            <v>71300000-30001000-05010000</v>
          </cell>
          <cell r="B1373" t="str">
            <v>SERV. PROFESIONALES EXTERNOS</v>
          </cell>
          <cell r="C1373">
            <v>181584.3</v>
          </cell>
          <cell r="D1373">
            <v>50047.31</v>
          </cell>
          <cell r="E1373">
            <v>0</v>
          </cell>
          <cell r="F1373">
            <v>231631.61</v>
          </cell>
        </row>
        <row r="1374">
          <cell r="A1374" t="str">
            <v>71300000-30001000-12010000</v>
          </cell>
          <cell r="B1374" t="str">
            <v>ARREND. AUTOMOVILES</v>
          </cell>
          <cell r="C1374">
            <v>6844.34</v>
          </cell>
          <cell r="D1374">
            <v>0</v>
          </cell>
          <cell r="E1374">
            <v>0</v>
          </cell>
          <cell r="F1374">
            <v>6844.34</v>
          </cell>
        </row>
        <row r="1375">
          <cell r="A1375" t="str">
            <v>71300000-30001000-14010000</v>
          </cell>
          <cell r="B1375" t="str">
            <v>SEG. AUTOMOVILES</v>
          </cell>
          <cell r="C1375">
            <v>32106.33</v>
          </cell>
          <cell r="D1375">
            <v>11419.9</v>
          </cell>
          <cell r="E1375">
            <v>0</v>
          </cell>
          <cell r="F1375">
            <v>43526.23</v>
          </cell>
        </row>
        <row r="1376">
          <cell r="A1376" t="str">
            <v>71300000-30001000-14040000</v>
          </cell>
          <cell r="B1376" t="str">
            <v>VIDA</v>
          </cell>
          <cell r="C1376">
            <v>9153.9599999999991</v>
          </cell>
          <cell r="D1376">
            <v>2726.71</v>
          </cell>
          <cell r="E1376">
            <v>0</v>
          </cell>
          <cell r="F1376">
            <v>11880.67</v>
          </cell>
        </row>
        <row r="1377">
          <cell r="A1377" t="str">
            <v>71300000-30001000-14050000</v>
          </cell>
          <cell r="B1377" t="str">
            <v>MULTIPLE EMPRESARIAL</v>
          </cell>
          <cell r="C1377">
            <v>5483.31</v>
          </cell>
          <cell r="D1377">
            <v>1371.06</v>
          </cell>
          <cell r="E1377">
            <v>0</v>
          </cell>
          <cell r="F1377">
            <v>6854.37</v>
          </cell>
        </row>
        <row r="1378">
          <cell r="A1378" t="str">
            <v>71300000-30001000-15010000</v>
          </cell>
          <cell r="B1378" t="str">
            <v>MANT. AUTOMOVILES</v>
          </cell>
          <cell r="C1378">
            <v>41.81</v>
          </cell>
          <cell r="D1378">
            <v>495.69</v>
          </cell>
          <cell r="E1378">
            <v>0</v>
          </cell>
          <cell r="F1378">
            <v>537.5</v>
          </cell>
        </row>
        <row r="1379">
          <cell r="A1379" t="str">
            <v>71300000-30001000-15030000</v>
          </cell>
          <cell r="B1379" t="str">
            <v>MANTTO A EDIFICIOS Y CONSTRUCC</v>
          </cell>
          <cell r="C1379">
            <v>18550</v>
          </cell>
          <cell r="D1379">
            <v>34515.75</v>
          </cell>
          <cell r="E1379">
            <v>0</v>
          </cell>
          <cell r="F1379">
            <v>53065.75</v>
          </cell>
        </row>
        <row r="1380">
          <cell r="A1380" t="str">
            <v>71300000-30001000-15050000</v>
          </cell>
          <cell r="B1380" t="str">
            <v>MANTTO A EQUIPOS DE OFICINA</v>
          </cell>
          <cell r="C1380">
            <v>600</v>
          </cell>
          <cell r="D1380">
            <v>1300</v>
          </cell>
          <cell r="E1380">
            <v>0</v>
          </cell>
          <cell r="F1380">
            <v>1900</v>
          </cell>
        </row>
        <row r="1381">
          <cell r="A1381" t="str">
            <v>71300000-30001000-15060000</v>
          </cell>
          <cell r="B1381" t="str">
            <v>MANTTO A EQUIPOS DE COMPUTO</v>
          </cell>
          <cell r="C1381">
            <v>984.58</v>
          </cell>
          <cell r="D1381">
            <v>250</v>
          </cell>
          <cell r="E1381">
            <v>0</v>
          </cell>
          <cell r="F1381">
            <v>1234.58</v>
          </cell>
        </row>
        <row r="1382">
          <cell r="A1382" t="str">
            <v>71300000-30001000-15080000</v>
          </cell>
          <cell r="B1382" t="str">
            <v>MANTTO A VARIOS</v>
          </cell>
          <cell r="C1382">
            <v>704.8</v>
          </cell>
          <cell r="D1382">
            <v>594.17999999999995</v>
          </cell>
          <cell r="E1382">
            <v>0</v>
          </cell>
          <cell r="F1382">
            <v>1298.98</v>
          </cell>
        </row>
        <row r="1383">
          <cell r="A1383" t="str">
            <v>71300000-30001000-15100000</v>
          </cell>
          <cell r="B1383" t="str">
            <v>SOFTWARE SISTEMAS</v>
          </cell>
          <cell r="C1383">
            <v>0</v>
          </cell>
          <cell r="D1383">
            <v>1690.54</v>
          </cell>
          <cell r="E1383">
            <v>0</v>
          </cell>
          <cell r="F1383">
            <v>1690.54</v>
          </cell>
        </row>
        <row r="1384">
          <cell r="A1384" t="str">
            <v>71300000-30001000-16010000</v>
          </cell>
          <cell r="B1384" t="str">
            <v>PAPELERIA</v>
          </cell>
          <cell r="C1384">
            <v>12110.62</v>
          </cell>
          <cell r="D1384">
            <v>85.52</v>
          </cell>
          <cell r="E1384">
            <v>0</v>
          </cell>
          <cell r="F1384">
            <v>12196.14</v>
          </cell>
        </row>
        <row r="1385">
          <cell r="A1385" t="str">
            <v>71300000-30001000-16040000</v>
          </cell>
          <cell r="B1385" t="str">
            <v>IMPLEMENTOS DE OFICINA</v>
          </cell>
          <cell r="C1385">
            <v>1350</v>
          </cell>
          <cell r="D1385">
            <v>3200</v>
          </cell>
          <cell r="E1385">
            <v>0</v>
          </cell>
          <cell r="F1385">
            <v>4550</v>
          </cell>
        </row>
        <row r="1386">
          <cell r="A1386" t="str">
            <v>71300000-30001000-17010000</v>
          </cell>
          <cell r="B1386" t="str">
            <v>ENERGIA ELECTRICA</v>
          </cell>
          <cell r="C1386">
            <v>5706.11</v>
          </cell>
          <cell r="D1386">
            <v>6082.76</v>
          </cell>
          <cell r="E1386">
            <v>0</v>
          </cell>
          <cell r="F1386">
            <v>11788.87</v>
          </cell>
        </row>
        <row r="1387">
          <cell r="A1387" t="str">
            <v>71300000-30001000-17030000</v>
          </cell>
          <cell r="B1387" t="str">
            <v>SEGURIDAD PRIVADA</v>
          </cell>
          <cell r="C1387">
            <v>2076</v>
          </cell>
          <cell r="D1387">
            <v>519</v>
          </cell>
          <cell r="E1387">
            <v>0</v>
          </cell>
          <cell r="F1387">
            <v>2595</v>
          </cell>
        </row>
        <row r="1388">
          <cell r="A1388" t="str">
            <v>71300000-30001000-18010000</v>
          </cell>
          <cell r="B1388" t="str">
            <v>CAPACITACION Y ADIESTRAMIENTO</v>
          </cell>
          <cell r="C1388">
            <v>25872.48</v>
          </cell>
          <cell r="D1388">
            <v>0</v>
          </cell>
          <cell r="E1388">
            <v>0</v>
          </cell>
          <cell r="F1388">
            <v>25872.48</v>
          </cell>
        </row>
        <row r="1389">
          <cell r="A1389" t="str">
            <v>71300000-30001000-18020000</v>
          </cell>
          <cell r="B1389" t="str">
            <v>PASAJES Y TRANSPORTES LOCALES</v>
          </cell>
          <cell r="C1389">
            <v>760</v>
          </cell>
          <cell r="D1389">
            <v>250</v>
          </cell>
          <cell r="E1389">
            <v>0</v>
          </cell>
          <cell r="F1389">
            <v>1010</v>
          </cell>
        </row>
        <row r="1390">
          <cell r="A1390" t="str">
            <v>71300000-30001000-18050000</v>
          </cell>
          <cell r="B1390" t="str">
            <v>AGUA ELECTROPURA</v>
          </cell>
          <cell r="C1390">
            <v>1484</v>
          </cell>
          <cell r="D1390">
            <v>588</v>
          </cell>
          <cell r="E1390">
            <v>0</v>
          </cell>
          <cell r="F1390">
            <v>2072</v>
          </cell>
        </row>
        <row r="1391">
          <cell r="A1391" t="str">
            <v>71300000-30001000-18110000</v>
          </cell>
          <cell r="B1391" t="str">
            <v>CONSUMOS RESTAURANT</v>
          </cell>
          <cell r="C1391">
            <v>17.350000000000001</v>
          </cell>
          <cell r="D1391">
            <v>0</v>
          </cell>
          <cell r="E1391">
            <v>0</v>
          </cell>
          <cell r="F1391">
            <v>17.350000000000001</v>
          </cell>
        </row>
        <row r="1392">
          <cell r="A1392" t="str">
            <v>71300000-30001000-19010000</v>
          </cell>
          <cell r="B1392" t="str">
            <v>TELEFONOS</v>
          </cell>
          <cell r="C1392">
            <v>80034.63</v>
          </cell>
          <cell r="D1392">
            <v>22492.1</v>
          </cell>
          <cell r="E1392">
            <v>0</v>
          </cell>
          <cell r="F1392">
            <v>102526.73</v>
          </cell>
        </row>
        <row r="1393">
          <cell r="A1393" t="str">
            <v>71300000-30001000-19030000</v>
          </cell>
          <cell r="B1393" t="str">
            <v>TELEFONOS CELULARES</v>
          </cell>
          <cell r="C1393">
            <v>12923.68</v>
          </cell>
          <cell r="D1393">
            <v>4062.6</v>
          </cell>
          <cell r="E1393">
            <v>0</v>
          </cell>
          <cell r="F1393">
            <v>16986.28</v>
          </cell>
        </row>
        <row r="1394">
          <cell r="A1394" t="str">
            <v>71300000-30001000-19050000</v>
          </cell>
          <cell r="B1394" t="str">
            <v>INTERNET</v>
          </cell>
          <cell r="C1394">
            <v>27566.84</v>
          </cell>
          <cell r="D1394">
            <v>6926.43</v>
          </cell>
          <cell r="E1394">
            <v>0</v>
          </cell>
          <cell r="F1394">
            <v>34493.269999999997</v>
          </cell>
        </row>
        <row r="1395">
          <cell r="A1395" t="str">
            <v>71300000-30001000-19070000</v>
          </cell>
          <cell r="B1395" t="str">
            <v>MENSAJERIA ESPECIALIZADA</v>
          </cell>
          <cell r="C1395">
            <v>6726.12</v>
          </cell>
          <cell r="D1395">
            <v>1552.83</v>
          </cell>
          <cell r="E1395">
            <v>0</v>
          </cell>
          <cell r="F1395">
            <v>8278.9500000000007</v>
          </cell>
        </row>
        <row r="1396">
          <cell r="A1396" t="str">
            <v>71300000-30001000-20010000</v>
          </cell>
          <cell r="B1396" t="str">
            <v>COMBUSTIBLE AUTOMOVILES</v>
          </cell>
          <cell r="C1396">
            <v>12421.72</v>
          </cell>
          <cell r="D1396">
            <v>3976.12</v>
          </cell>
          <cell r="E1396">
            <v>0</v>
          </cell>
          <cell r="F1396">
            <v>16397.84</v>
          </cell>
        </row>
        <row r="1397">
          <cell r="A1397" t="str">
            <v>71300000-30001000-22050000</v>
          </cell>
          <cell r="B1397" t="str">
            <v>COMISIONES Y ASESORIAS EXTERNA</v>
          </cell>
          <cell r="C1397">
            <v>56324.79</v>
          </cell>
          <cell r="D1397">
            <v>934.24</v>
          </cell>
          <cell r="E1397">
            <v>0</v>
          </cell>
          <cell r="F1397">
            <v>57259.03</v>
          </cell>
        </row>
        <row r="1398">
          <cell r="A1398" t="str">
            <v>71300000-30001000-23030000</v>
          </cell>
          <cell r="B1398" t="str">
            <v>DERECHOS DE AGUA</v>
          </cell>
          <cell r="C1398">
            <v>26250.45</v>
          </cell>
          <cell r="D1398">
            <v>25308</v>
          </cell>
          <cell r="E1398">
            <v>0</v>
          </cell>
          <cell r="F1398">
            <v>51558.45</v>
          </cell>
        </row>
        <row r="1399">
          <cell r="A1399" t="str">
            <v>71300000-30001000-23120000</v>
          </cell>
          <cell r="B1399" t="str">
            <v>DIVERSOS</v>
          </cell>
          <cell r="C1399">
            <v>7902.12</v>
          </cell>
          <cell r="D1399">
            <v>1275.93</v>
          </cell>
          <cell r="E1399">
            <v>0</v>
          </cell>
          <cell r="F1399">
            <v>9178.0499999999993</v>
          </cell>
        </row>
        <row r="1400">
          <cell r="A1400" t="str">
            <v>71300000-30001000-23130000</v>
          </cell>
          <cell r="B1400" t="str">
            <v>OTROS IMPUESTOS Y DERECHOS</v>
          </cell>
          <cell r="C1400">
            <v>38689.07</v>
          </cell>
          <cell r="D1400">
            <v>6</v>
          </cell>
          <cell r="E1400">
            <v>0</v>
          </cell>
          <cell r="F1400">
            <v>38695.07</v>
          </cell>
        </row>
        <row r="1401">
          <cell r="A1401" t="str">
            <v>71300000-30001000-23140000</v>
          </cell>
          <cell r="B1401" t="str">
            <v>FLETES Y ACARREOS</v>
          </cell>
          <cell r="C1401">
            <v>382.52</v>
          </cell>
          <cell r="D1401">
            <v>0</v>
          </cell>
          <cell r="E1401">
            <v>0</v>
          </cell>
          <cell r="F1401">
            <v>382.52</v>
          </cell>
        </row>
        <row r="1402">
          <cell r="A1402" t="str">
            <v>71300000-30001000-23150000</v>
          </cell>
          <cell r="B1402" t="str">
            <v>ASEO LIMPIEZA E IMPLEMENTOS</v>
          </cell>
          <cell r="C1402">
            <v>6885.4</v>
          </cell>
          <cell r="D1402">
            <v>471.3</v>
          </cell>
          <cell r="E1402">
            <v>0</v>
          </cell>
          <cell r="F1402">
            <v>7356.7</v>
          </cell>
        </row>
        <row r="1403">
          <cell r="A1403" t="str">
            <v>71300000-30001000-23200000</v>
          </cell>
          <cell r="B1403" t="str">
            <v>EVENTOS INTERNOS COREV</v>
          </cell>
          <cell r="C1403">
            <v>11061.16</v>
          </cell>
          <cell r="D1403">
            <v>2400</v>
          </cell>
          <cell r="E1403">
            <v>0</v>
          </cell>
          <cell r="F1403">
            <v>13461.16</v>
          </cell>
        </row>
        <row r="1404">
          <cell r="A1404" t="str">
            <v>71300000-30001000-27150000</v>
          </cell>
          <cell r="B1404" t="str">
            <v>SECCION AMARILLA</v>
          </cell>
          <cell r="C1404">
            <v>19769.349999999999</v>
          </cell>
          <cell r="D1404">
            <v>773.45</v>
          </cell>
          <cell r="E1404">
            <v>0</v>
          </cell>
          <cell r="F1404">
            <v>20542.8</v>
          </cell>
        </row>
        <row r="1405">
          <cell r="A1405" t="str">
            <v>71300000-30001000-35020000</v>
          </cell>
          <cell r="B1405" t="str">
            <v>DIVERSOS NO DEDUCIBLES</v>
          </cell>
          <cell r="C1405">
            <v>12473.59</v>
          </cell>
          <cell r="D1405">
            <v>2310.5</v>
          </cell>
          <cell r="E1405">
            <v>0</v>
          </cell>
          <cell r="F1405">
            <v>14784.09</v>
          </cell>
        </row>
        <row r="1406">
          <cell r="A1406" t="str">
            <v>71300000-30001000-90010000</v>
          </cell>
          <cell r="B1406" t="str">
            <v>PRIMA DE ANTIGUEDAD</v>
          </cell>
          <cell r="C1406">
            <v>9485</v>
          </cell>
          <cell r="D1406">
            <v>2371.25</v>
          </cell>
          <cell r="E1406">
            <v>0</v>
          </cell>
          <cell r="F1406">
            <v>11856.25</v>
          </cell>
        </row>
        <row r="1407">
          <cell r="A1407" t="str">
            <v>71300000-30001000-90020000</v>
          </cell>
          <cell r="B1407" t="str">
            <v>PLAN DE PENSIONES</v>
          </cell>
          <cell r="C1407">
            <v>38832.160000000003</v>
          </cell>
          <cell r="D1407">
            <v>9708.0400000000009</v>
          </cell>
          <cell r="E1407">
            <v>0</v>
          </cell>
          <cell r="F1407">
            <v>48540.2</v>
          </cell>
        </row>
        <row r="1408">
          <cell r="A1408" t="str">
            <v>71300000-30001000-90030000</v>
          </cell>
          <cell r="B1408" t="str">
            <v>PROVISION AGUINALDO</v>
          </cell>
          <cell r="C1408">
            <v>6573.32</v>
          </cell>
          <cell r="D1408">
            <v>1643.33</v>
          </cell>
          <cell r="E1408">
            <v>0</v>
          </cell>
          <cell r="F1408">
            <v>8216.65</v>
          </cell>
        </row>
        <row r="1409">
          <cell r="A1409" t="str">
            <v>71300000-30002000-00000000</v>
          </cell>
          <cell r="B1409" t="str">
            <v>COSTOS/GASTOS FIJOS DF 1</v>
          </cell>
          <cell r="C1409">
            <v>73471.81</v>
          </cell>
          <cell r="D1409">
            <v>35025.47</v>
          </cell>
          <cell r="E1409">
            <v>0</v>
          </cell>
          <cell r="F1409">
            <v>108497.28</v>
          </cell>
        </row>
        <row r="1410">
          <cell r="A1410" t="str">
            <v>71300000-30002000-05010000</v>
          </cell>
          <cell r="B1410" t="str">
            <v>SERV. PROFESIONALES EXTERNOS</v>
          </cell>
          <cell r="C1410">
            <v>51056.45</v>
          </cell>
          <cell r="D1410">
            <v>30199.02</v>
          </cell>
          <cell r="E1410">
            <v>0</v>
          </cell>
          <cell r="F1410">
            <v>81255.47</v>
          </cell>
        </row>
        <row r="1411">
          <cell r="A1411" t="str">
            <v>71300000-30002000-12010000</v>
          </cell>
          <cell r="B1411" t="str">
            <v>ARREND. AUTOMOVILES</v>
          </cell>
          <cell r="C1411">
            <v>8214.8799999999992</v>
          </cell>
          <cell r="D1411">
            <v>2053.7199999999998</v>
          </cell>
          <cell r="E1411">
            <v>0</v>
          </cell>
          <cell r="F1411">
            <v>10268.6</v>
          </cell>
        </row>
        <row r="1412">
          <cell r="A1412" t="str">
            <v>71300000-30002000-15010000</v>
          </cell>
          <cell r="B1412" t="str">
            <v>MANT. AUTOMOVILES</v>
          </cell>
          <cell r="C1412">
            <v>3127.58</v>
          </cell>
          <cell r="D1412">
            <v>0</v>
          </cell>
          <cell r="E1412">
            <v>0</v>
          </cell>
          <cell r="F1412">
            <v>3127.58</v>
          </cell>
        </row>
        <row r="1413">
          <cell r="A1413" t="str">
            <v>71300000-30002000-16010000</v>
          </cell>
          <cell r="B1413" t="str">
            <v>PAPELERIA</v>
          </cell>
          <cell r="C1413">
            <v>140</v>
          </cell>
          <cell r="D1413">
            <v>0</v>
          </cell>
          <cell r="E1413">
            <v>0</v>
          </cell>
          <cell r="F1413">
            <v>140</v>
          </cell>
        </row>
        <row r="1414">
          <cell r="A1414" t="str">
            <v>71300000-30002000-19030000</v>
          </cell>
          <cell r="B1414" t="str">
            <v>TELEFONOS CELULARES</v>
          </cell>
          <cell r="C1414">
            <v>3486.44</v>
          </cell>
          <cell r="D1414">
            <v>1604.08</v>
          </cell>
          <cell r="E1414">
            <v>0</v>
          </cell>
          <cell r="F1414">
            <v>5090.5200000000004</v>
          </cell>
        </row>
        <row r="1415">
          <cell r="A1415" t="str">
            <v>71300000-30002000-20010000</v>
          </cell>
          <cell r="B1415" t="str">
            <v>COMBUSTIBLE AUTOMOVILES</v>
          </cell>
          <cell r="C1415">
            <v>4479.08</v>
          </cell>
          <cell r="D1415">
            <v>1168.6500000000001</v>
          </cell>
          <cell r="E1415">
            <v>0</v>
          </cell>
          <cell r="F1415">
            <v>5647.73</v>
          </cell>
        </row>
        <row r="1416">
          <cell r="A1416" t="str">
            <v>71300000-30002000-23130000</v>
          </cell>
          <cell r="B1416" t="str">
            <v>OTROS IMPUESTOS Y DERECHOS</v>
          </cell>
          <cell r="C1416">
            <v>2717.38</v>
          </cell>
          <cell r="D1416">
            <v>0</v>
          </cell>
          <cell r="E1416">
            <v>0</v>
          </cell>
          <cell r="F1416">
            <v>2717.38</v>
          </cell>
        </row>
        <row r="1417">
          <cell r="A1417" t="str">
            <v>71300000-30002000-35020000</v>
          </cell>
          <cell r="B1417" t="str">
            <v>DIVERSOS NO DEDUCIBLES</v>
          </cell>
          <cell r="C1417">
            <v>250</v>
          </cell>
          <cell r="D1417">
            <v>0</v>
          </cell>
          <cell r="E1417">
            <v>0</v>
          </cell>
          <cell r="F1417">
            <v>250</v>
          </cell>
        </row>
        <row r="1418">
          <cell r="A1418" t="str">
            <v>71300000-30003000-00000000</v>
          </cell>
          <cell r="B1418" t="str">
            <v>COSTOS/GASTOS FIJOS SUR</v>
          </cell>
          <cell r="C1418">
            <v>84013.06</v>
          </cell>
          <cell r="D1418">
            <v>17448.38</v>
          </cell>
          <cell r="E1418">
            <v>0</v>
          </cell>
          <cell r="F1418">
            <v>101461.44</v>
          </cell>
        </row>
        <row r="1419">
          <cell r="A1419" t="str">
            <v>71300000-30003000-01010000</v>
          </cell>
          <cell r="B1419" t="str">
            <v>SUELDOS Y SALARIOS</v>
          </cell>
          <cell r="C1419">
            <v>35700</v>
          </cell>
          <cell r="D1419">
            <v>9000</v>
          </cell>
          <cell r="E1419">
            <v>0</v>
          </cell>
          <cell r="F1419">
            <v>44700</v>
          </cell>
        </row>
        <row r="1420">
          <cell r="A1420" t="str">
            <v>71300000-30003000-01040000</v>
          </cell>
          <cell r="B1420" t="str">
            <v>VACACIONES</v>
          </cell>
          <cell r="C1420">
            <v>300</v>
          </cell>
          <cell r="D1420">
            <v>0</v>
          </cell>
          <cell r="E1420">
            <v>0</v>
          </cell>
          <cell r="F1420">
            <v>300</v>
          </cell>
        </row>
        <row r="1421">
          <cell r="A1421" t="str">
            <v>71300000-30003000-01050000</v>
          </cell>
          <cell r="B1421" t="str">
            <v>PRIMA VACACIONAL</v>
          </cell>
          <cell r="C1421">
            <v>195</v>
          </cell>
          <cell r="D1421">
            <v>0</v>
          </cell>
          <cell r="E1421">
            <v>0</v>
          </cell>
          <cell r="F1421">
            <v>195</v>
          </cell>
        </row>
        <row r="1422">
          <cell r="A1422" t="str">
            <v>71300000-30003000-03010000</v>
          </cell>
          <cell r="B1422" t="str">
            <v>FONDO DE AHORRO</v>
          </cell>
          <cell r="C1422">
            <v>2856</v>
          </cell>
          <cell r="D1422">
            <v>720</v>
          </cell>
          <cell r="E1422">
            <v>0</v>
          </cell>
          <cell r="F1422">
            <v>3576</v>
          </cell>
        </row>
        <row r="1423">
          <cell r="A1423" t="str">
            <v>71300000-30003000-03020000</v>
          </cell>
          <cell r="B1423" t="str">
            <v>CUOTAS AL I.M.S.S.</v>
          </cell>
          <cell r="C1423">
            <v>6290.02</v>
          </cell>
          <cell r="D1423">
            <v>1416.11</v>
          </cell>
          <cell r="E1423">
            <v>0</v>
          </cell>
          <cell r="F1423">
            <v>7706.13</v>
          </cell>
        </row>
        <row r="1424">
          <cell r="A1424" t="str">
            <v>71300000-30003000-03040000</v>
          </cell>
          <cell r="B1424" t="str">
            <v>DESPENSA EN VALES</v>
          </cell>
          <cell r="C1424">
            <v>1080</v>
          </cell>
          <cell r="D1424">
            <v>360</v>
          </cell>
          <cell r="E1424">
            <v>0</v>
          </cell>
          <cell r="F1424">
            <v>1440</v>
          </cell>
        </row>
        <row r="1425">
          <cell r="A1425" t="str">
            <v>71300000-30003000-04010000</v>
          </cell>
          <cell r="B1425" t="str">
            <v>2.5% SOBRE NOMINAS</v>
          </cell>
          <cell r="C1425">
            <v>2000</v>
          </cell>
          <cell r="D1425">
            <v>322</v>
          </cell>
          <cell r="E1425">
            <v>0</v>
          </cell>
          <cell r="F1425">
            <v>2322</v>
          </cell>
        </row>
        <row r="1426">
          <cell r="A1426" t="str">
            <v>71300000-30003000-04020000</v>
          </cell>
          <cell r="B1426" t="str">
            <v>5% INFONAVIT</v>
          </cell>
          <cell r="C1426">
            <v>4189.28</v>
          </cell>
          <cell r="D1426">
            <v>911.09</v>
          </cell>
          <cell r="E1426">
            <v>0</v>
          </cell>
          <cell r="F1426">
            <v>5100.37</v>
          </cell>
        </row>
        <row r="1427">
          <cell r="A1427" t="str">
            <v>71300000-30003000-04030000</v>
          </cell>
          <cell r="B1427" t="str">
            <v>2% S.A.R. / RETIRO</v>
          </cell>
          <cell r="C1427">
            <v>1675.71</v>
          </cell>
          <cell r="D1427">
            <v>364.44</v>
          </cell>
          <cell r="E1427">
            <v>0</v>
          </cell>
          <cell r="F1427">
            <v>2040.15</v>
          </cell>
        </row>
        <row r="1428">
          <cell r="A1428" t="str">
            <v>71300000-30003000-04040000</v>
          </cell>
          <cell r="B1428" t="str">
            <v>CESANTIA Y VEJEZ</v>
          </cell>
          <cell r="C1428">
            <v>2639.25</v>
          </cell>
          <cell r="D1428">
            <v>574</v>
          </cell>
          <cell r="E1428">
            <v>0</v>
          </cell>
          <cell r="F1428">
            <v>3213.25</v>
          </cell>
        </row>
        <row r="1429">
          <cell r="A1429" t="str">
            <v>71300000-30003000-15010000</v>
          </cell>
          <cell r="B1429" t="str">
            <v>MANT. AUTOMOVILES</v>
          </cell>
          <cell r="C1429">
            <v>2754.9</v>
          </cell>
          <cell r="D1429">
            <v>0</v>
          </cell>
          <cell r="E1429">
            <v>0</v>
          </cell>
          <cell r="F1429">
            <v>2754.9</v>
          </cell>
        </row>
        <row r="1430">
          <cell r="A1430" t="str">
            <v>71300000-30003000-16010000</v>
          </cell>
          <cell r="B1430" t="str">
            <v>PAPELERIA</v>
          </cell>
          <cell r="C1430">
            <v>140</v>
          </cell>
          <cell r="D1430">
            <v>0</v>
          </cell>
          <cell r="E1430">
            <v>0</v>
          </cell>
          <cell r="F1430">
            <v>140</v>
          </cell>
        </row>
        <row r="1431">
          <cell r="A1431" t="str">
            <v>71300000-30003000-18020000</v>
          </cell>
          <cell r="B1431" t="str">
            <v>PASAJES Y TRANSPORTES LOCALES</v>
          </cell>
          <cell r="C1431">
            <v>402</v>
          </cell>
          <cell r="D1431">
            <v>550</v>
          </cell>
          <cell r="E1431">
            <v>0</v>
          </cell>
          <cell r="F1431">
            <v>952</v>
          </cell>
        </row>
        <row r="1432">
          <cell r="A1432" t="str">
            <v>71300000-30003000-18030000</v>
          </cell>
          <cell r="B1432" t="str">
            <v>GASTOS DE REPRESENTACION TRANS</v>
          </cell>
          <cell r="C1432">
            <v>7190</v>
          </cell>
          <cell r="D1432">
            <v>0</v>
          </cell>
          <cell r="E1432">
            <v>0</v>
          </cell>
          <cell r="F1432">
            <v>7190</v>
          </cell>
        </row>
        <row r="1433">
          <cell r="A1433" t="str">
            <v>71300000-30003000-18040000</v>
          </cell>
          <cell r="B1433" t="str">
            <v>GASTOS DE REPRESENTACION ALIME</v>
          </cell>
          <cell r="C1433">
            <v>1080.1500000000001</v>
          </cell>
          <cell r="D1433">
            <v>178.45</v>
          </cell>
          <cell r="E1433">
            <v>0</v>
          </cell>
          <cell r="F1433">
            <v>1258.5999999999999</v>
          </cell>
        </row>
        <row r="1434">
          <cell r="A1434" t="str">
            <v>71300000-30003000-18110000</v>
          </cell>
          <cell r="B1434" t="str">
            <v>CONSUMOS RESTAURANT</v>
          </cell>
          <cell r="C1434">
            <v>0</v>
          </cell>
          <cell r="D1434">
            <v>201.84</v>
          </cell>
          <cell r="E1434">
            <v>0</v>
          </cell>
          <cell r="F1434">
            <v>201.84</v>
          </cell>
        </row>
        <row r="1435">
          <cell r="A1435" t="str">
            <v>71300000-30003000-19030000</v>
          </cell>
          <cell r="B1435" t="str">
            <v>TELEFONOS CELULARES</v>
          </cell>
          <cell r="C1435">
            <v>2536.33</v>
          </cell>
          <cell r="D1435">
            <v>483.77</v>
          </cell>
          <cell r="E1435">
            <v>0</v>
          </cell>
          <cell r="F1435">
            <v>3020.1</v>
          </cell>
        </row>
        <row r="1436">
          <cell r="A1436" t="str">
            <v>71300000-30003000-20010000</v>
          </cell>
          <cell r="B1436" t="str">
            <v>COMBUSTIBLE AUTOMOVILES</v>
          </cell>
          <cell r="C1436">
            <v>7702.32</v>
          </cell>
          <cell r="D1436">
            <v>1612.43</v>
          </cell>
          <cell r="E1436">
            <v>0</v>
          </cell>
          <cell r="F1436">
            <v>9314.75</v>
          </cell>
        </row>
        <row r="1437">
          <cell r="A1437" t="str">
            <v>71300000-30003000-23130000</v>
          </cell>
          <cell r="B1437" t="str">
            <v>OTROS IMPUESTOS Y DERECHOS</v>
          </cell>
          <cell r="C1437">
            <v>1419.22</v>
          </cell>
          <cell r="D1437">
            <v>0</v>
          </cell>
          <cell r="E1437">
            <v>0</v>
          </cell>
          <cell r="F1437">
            <v>1419.22</v>
          </cell>
        </row>
        <row r="1438">
          <cell r="A1438" t="str">
            <v>71300000-30003000-23140000</v>
          </cell>
          <cell r="B1438" t="str">
            <v>FLETES Y ACARREOS</v>
          </cell>
          <cell r="C1438">
            <v>755.88</v>
          </cell>
          <cell r="D1438">
            <v>0</v>
          </cell>
          <cell r="E1438">
            <v>0</v>
          </cell>
          <cell r="F1438">
            <v>755.88</v>
          </cell>
        </row>
        <row r="1439">
          <cell r="A1439" t="str">
            <v>71300000-30003000-35020000</v>
          </cell>
          <cell r="B1439" t="str">
            <v>DIVERSOS NO DEDUCIBLES</v>
          </cell>
          <cell r="C1439">
            <v>90</v>
          </cell>
          <cell r="D1439">
            <v>0</v>
          </cell>
          <cell r="E1439">
            <v>0</v>
          </cell>
          <cell r="F1439">
            <v>90</v>
          </cell>
        </row>
        <row r="1440">
          <cell r="A1440" t="str">
            <v>71300000-30003000-90030000</v>
          </cell>
          <cell r="B1440" t="str">
            <v>PROVISION AGUINALDO</v>
          </cell>
          <cell r="C1440">
            <v>2900</v>
          </cell>
          <cell r="D1440">
            <v>725</v>
          </cell>
          <cell r="E1440">
            <v>0</v>
          </cell>
          <cell r="F1440">
            <v>3625</v>
          </cell>
        </row>
        <row r="1441">
          <cell r="A1441" t="str">
            <v>71300000-30003000-90040000</v>
          </cell>
          <cell r="B1441" t="str">
            <v>BOLETIN D-3</v>
          </cell>
          <cell r="C1441">
            <v>117</v>
          </cell>
          <cell r="D1441">
            <v>29.25</v>
          </cell>
          <cell r="E1441">
            <v>0</v>
          </cell>
          <cell r="F1441">
            <v>146.25</v>
          </cell>
        </row>
        <row r="1442">
          <cell r="A1442" t="str">
            <v>71300000-30004000-00000000</v>
          </cell>
          <cell r="B1442" t="str">
            <v>COSTOS/GASTOS FIJOS GOLFO</v>
          </cell>
          <cell r="C1442">
            <v>123974.79</v>
          </cell>
          <cell r="D1442">
            <v>26795.73</v>
          </cell>
          <cell r="E1442">
            <v>0</v>
          </cell>
          <cell r="F1442">
            <v>150770.51999999999</v>
          </cell>
        </row>
        <row r="1443">
          <cell r="A1443" t="str">
            <v>71300000-30004000-01010000</v>
          </cell>
          <cell r="B1443" t="str">
            <v>SUELDOS Y SALARIOS</v>
          </cell>
          <cell r="C1443">
            <v>27787.5</v>
          </cell>
          <cell r="D1443">
            <v>7800</v>
          </cell>
          <cell r="E1443">
            <v>0</v>
          </cell>
          <cell r="F1443">
            <v>35587.5</v>
          </cell>
        </row>
        <row r="1444">
          <cell r="A1444" t="str">
            <v>71300000-30004000-01030000</v>
          </cell>
          <cell r="B1444" t="str">
            <v>GRATIFICACIONES</v>
          </cell>
          <cell r="C1444">
            <v>927.5</v>
          </cell>
          <cell r="D1444">
            <v>238.5</v>
          </cell>
          <cell r="E1444">
            <v>0</v>
          </cell>
          <cell r="F1444">
            <v>1166</v>
          </cell>
        </row>
        <row r="1445">
          <cell r="A1445" t="str">
            <v>71300000-30004000-01040000</v>
          </cell>
          <cell r="B1445" t="str">
            <v>VACACIONES</v>
          </cell>
          <cell r="C1445">
            <v>3380</v>
          </cell>
          <cell r="D1445">
            <v>0</v>
          </cell>
          <cell r="E1445">
            <v>0</v>
          </cell>
          <cell r="F1445">
            <v>3380</v>
          </cell>
        </row>
        <row r="1446">
          <cell r="A1446" t="str">
            <v>71300000-30004000-01050000</v>
          </cell>
          <cell r="B1446" t="str">
            <v>PRIMA VACACIONAL</v>
          </cell>
          <cell r="C1446">
            <v>2197</v>
          </cell>
          <cell r="D1446">
            <v>0</v>
          </cell>
          <cell r="E1446">
            <v>0</v>
          </cell>
          <cell r="F1446">
            <v>2197</v>
          </cell>
        </row>
        <row r="1447">
          <cell r="A1447" t="str">
            <v>71300000-30004000-03010000</v>
          </cell>
          <cell r="B1447" t="str">
            <v>FONDO DE AHORRO</v>
          </cell>
          <cell r="C1447">
            <v>2223</v>
          </cell>
          <cell r="D1447">
            <v>624</v>
          </cell>
          <cell r="E1447">
            <v>0</v>
          </cell>
          <cell r="F1447">
            <v>2847</v>
          </cell>
        </row>
        <row r="1448">
          <cell r="A1448" t="str">
            <v>71300000-30004000-03020000</v>
          </cell>
          <cell r="B1448" t="str">
            <v>CUOTAS AL I.M.S.S.</v>
          </cell>
          <cell r="C1448">
            <v>6615.66</v>
          </cell>
          <cell r="D1448">
            <v>1430</v>
          </cell>
          <cell r="E1448">
            <v>0</v>
          </cell>
          <cell r="F1448">
            <v>8045.66</v>
          </cell>
        </row>
        <row r="1449">
          <cell r="A1449" t="str">
            <v>71300000-30004000-03040000</v>
          </cell>
          <cell r="B1449" t="str">
            <v>DESPENSA EN VALES</v>
          </cell>
          <cell r="C1449">
            <v>1248</v>
          </cell>
          <cell r="D1449">
            <v>312</v>
          </cell>
          <cell r="E1449">
            <v>0</v>
          </cell>
          <cell r="F1449">
            <v>1560</v>
          </cell>
        </row>
        <row r="1450">
          <cell r="A1450" t="str">
            <v>71300000-30004000-04010000</v>
          </cell>
          <cell r="B1450" t="str">
            <v>2.5% SOBRE NOMINAS</v>
          </cell>
          <cell r="C1450">
            <v>2142</v>
          </cell>
          <cell r="D1450">
            <v>466</v>
          </cell>
          <cell r="E1450">
            <v>0</v>
          </cell>
          <cell r="F1450">
            <v>2608</v>
          </cell>
        </row>
        <row r="1451">
          <cell r="A1451" t="str">
            <v>71300000-30004000-04020000</v>
          </cell>
          <cell r="B1451" t="str">
            <v>5% INFONAVIT</v>
          </cell>
          <cell r="C1451">
            <v>4456.2</v>
          </cell>
          <cell r="D1451">
            <v>922.48</v>
          </cell>
          <cell r="E1451">
            <v>0</v>
          </cell>
          <cell r="F1451">
            <v>5378.68</v>
          </cell>
        </row>
        <row r="1452">
          <cell r="A1452" t="str">
            <v>71300000-30004000-04030000</v>
          </cell>
          <cell r="B1452" t="str">
            <v>2% S.A.R. / RETIRO</v>
          </cell>
          <cell r="C1452">
            <v>1782.48</v>
          </cell>
          <cell r="D1452">
            <v>368.99</v>
          </cell>
          <cell r="E1452">
            <v>0</v>
          </cell>
          <cell r="F1452">
            <v>2151.4699999999998</v>
          </cell>
        </row>
        <row r="1453">
          <cell r="A1453" t="str">
            <v>71300000-30004000-04040000</v>
          </cell>
          <cell r="B1453" t="str">
            <v>CESANTIA Y VEJEZ</v>
          </cell>
          <cell r="C1453">
            <v>2807.42</v>
          </cell>
          <cell r="D1453">
            <v>581.16</v>
          </cell>
          <cell r="E1453">
            <v>0</v>
          </cell>
          <cell r="F1453">
            <v>3388.58</v>
          </cell>
        </row>
        <row r="1454">
          <cell r="A1454" t="str">
            <v>71300000-30004000-12010000</v>
          </cell>
          <cell r="B1454" t="str">
            <v>ARREND. AUTOMOVILES</v>
          </cell>
          <cell r="C1454">
            <v>10676.84</v>
          </cell>
          <cell r="D1454">
            <v>2669.21</v>
          </cell>
          <cell r="E1454">
            <v>0</v>
          </cell>
          <cell r="F1454">
            <v>13346.05</v>
          </cell>
        </row>
        <row r="1455">
          <cell r="A1455" t="str">
            <v>71300000-30004000-15010000</v>
          </cell>
          <cell r="B1455" t="str">
            <v>MANT. AUTOMOVILES</v>
          </cell>
          <cell r="C1455">
            <v>1077.5899999999999</v>
          </cell>
          <cell r="D1455">
            <v>717.41</v>
          </cell>
          <cell r="E1455">
            <v>0</v>
          </cell>
          <cell r="F1455">
            <v>1795</v>
          </cell>
        </row>
        <row r="1456">
          <cell r="A1456" t="str">
            <v>71300000-30004000-15090000</v>
          </cell>
          <cell r="B1456" t="str">
            <v>MANTTO A TIENDAS</v>
          </cell>
          <cell r="C1456">
            <v>14250</v>
          </cell>
          <cell r="D1456">
            <v>0</v>
          </cell>
          <cell r="E1456">
            <v>0</v>
          </cell>
          <cell r="F1456">
            <v>14250</v>
          </cell>
        </row>
        <row r="1457">
          <cell r="A1457" t="str">
            <v>71300000-30004000-18040000</v>
          </cell>
          <cell r="B1457" t="str">
            <v>GASTOS DE REPRESENTACION ALIME</v>
          </cell>
          <cell r="C1457">
            <v>10863.13</v>
          </cell>
          <cell r="D1457">
            <v>3483.06</v>
          </cell>
          <cell r="E1457">
            <v>0</v>
          </cell>
          <cell r="F1457">
            <v>14346.19</v>
          </cell>
        </row>
        <row r="1458">
          <cell r="A1458" t="str">
            <v>71300000-30004000-19030000</v>
          </cell>
          <cell r="B1458" t="str">
            <v>TELEFONOS CELULARES</v>
          </cell>
          <cell r="C1458">
            <v>2491.16</v>
          </cell>
          <cell r="D1458">
            <v>718.23</v>
          </cell>
          <cell r="E1458">
            <v>0</v>
          </cell>
          <cell r="F1458">
            <v>3209.39</v>
          </cell>
        </row>
        <row r="1459">
          <cell r="A1459" t="str">
            <v>71300000-30004000-20010000</v>
          </cell>
          <cell r="B1459" t="str">
            <v>COMBUSTIBLE AUTOMOVILES</v>
          </cell>
          <cell r="C1459">
            <v>15053.52</v>
          </cell>
          <cell r="D1459">
            <v>2956.29</v>
          </cell>
          <cell r="E1459">
            <v>0</v>
          </cell>
          <cell r="F1459">
            <v>18009.810000000001</v>
          </cell>
        </row>
        <row r="1460">
          <cell r="A1460" t="str">
            <v>71300000-30004000-23130000</v>
          </cell>
          <cell r="B1460" t="str">
            <v>OTROS IMPUESTOS Y DERECHOS</v>
          </cell>
          <cell r="C1460">
            <v>8355.4699999999993</v>
          </cell>
          <cell r="D1460">
            <v>1994.57</v>
          </cell>
          <cell r="E1460">
            <v>0</v>
          </cell>
          <cell r="F1460">
            <v>10350.040000000001</v>
          </cell>
        </row>
        <row r="1461">
          <cell r="A1461" t="str">
            <v>71300000-30004000-35020000</v>
          </cell>
          <cell r="B1461" t="str">
            <v>DIVERSOS NO DEDUCIBLES</v>
          </cell>
          <cell r="C1461">
            <v>3010</v>
          </cell>
          <cell r="D1461">
            <v>856.25</v>
          </cell>
          <cell r="E1461">
            <v>0</v>
          </cell>
          <cell r="F1461">
            <v>3866.25</v>
          </cell>
        </row>
        <row r="1462">
          <cell r="A1462" t="str">
            <v>71300000-30004000-90030000</v>
          </cell>
          <cell r="B1462" t="str">
            <v>PROVISION AGUINALDO</v>
          </cell>
          <cell r="C1462">
            <v>2513.3200000000002</v>
          </cell>
          <cell r="D1462">
            <v>628.33000000000004</v>
          </cell>
          <cell r="E1462">
            <v>0</v>
          </cell>
          <cell r="F1462">
            <v>3141.65</v>
          </cell>
        </row>
        <row r="1463">
          <cell r="A1463" t="str">
            <v>71300000-30004000-90040000</v>
          </cell>
          <cell r="B1463" t="str">
            <v>BOLETIN D-3</v>
          </cell>
          <cell r="C1463">
            <v>117</v>
          </cell>
          <cell r="D1463">
            <v>29.25</v>
          </cell>
          <cell r="E1463">
            <v>0</v>
          </cell>
          <cell r="F1463">
            <v>146.25</v>
          </cell>
        </row>
        <row r="1464">
          <cell r="A1464" t="str">
            <v>71300000-30005000-00000000</v>
          </cell>
          <cell r="B1464" t="str">
            <v>COSTOS/GASTOS FIJOS TIENDAS</v>
          </cell>
          <cell r="C1464">
            <v>2082.02</v>
          </cell>
          <cell r="D1464">
            <v>0</v>
          </cell>
          <cell r="E1464">
            <v>0</v>
          </cell>
          <cell r="F1464">
            <v>2082.02</v>
          </cell>
        </row>
        <row r="1465">
          <cell r="A1465" t="str">
            <v>71300000-30005000-18040000</v>
          </cell>
          <cell r="B1465" t="str">
            <v>GASTOS DE REPRESENTACION ALIME</v>
          </cell>
          <cell r="C1465">
            <v>1106.56</v>
          </cell>
          <cell r="D1465">
            <v>0</v>
          </cell>
          <cell r="E1465">
            <v>0</v>
          </cell>
          <cell r="F1465">
            <v>1106.56</v>
          </cell>
        </row>
        <row r="1466">
          <cell r="A1466" t="str">
            <v>71300000-30005000-23130000</v>
          </cell>
          <cell r="B1466" t="str">
            <v>OTROS IMPUESTOS Y DERECHOS</v>
          </cell>
          <cell r="C1466">
            <v>625.46</v>
          </cell>
          <cell r="D1466">
            <v>0</v>
          </cell>
          <cell r="E1466">
            <v>0</v>
          </cell>
          <cell r="F1466">
            <v>625.46</v>
          </cell>
        </row>
        <row r="1467">
          <cell r="A1467" t="str">
            <v>71300000-30005000-35020000</v>
          </cell>
          <cell r="B1467" t="str">
            <v>DIVERSOS NO DEDUCIBLES</v>
          </cell>
          <cell r="C1467">
            <v>350</v>
          </cell>
          <cell r="D1467">
            <v>0</v>
          </cell>
          <cell r="E1467">
            <v>0</v>
          </cell>
          <cell r="F1467">
            <v>350</v>
          </cell>
        </row>
        <row r="1468">
          <cell r="A1468" t="str">
            <v>71300000-30006000-00000000</v>
          </cell>
          <cell r="B1468" t="str">
            <v>COSTOS/GASTOS FIJOS NTE CONURB</v>
          </cell>
          <cell r="C1468">
            <v>138449.10999999999</v>
          </cell>
          <cell r="D1468">
            <v>39462.89</v>
          </cell>
          <cell r="E1468">
            <v>0</v>
          </cell>
          <cell r="F1468">
            <v>177912</v>
          </cell>
        </row>
        <row r="1469">
          <cell r="A1469" t="str">
            <v>71300000-30006000-05010000</v>
          </cell>
          <cell r="B1469" t="str">
            <v>SERV. PROFESIONALES EXTERNOS</v>
          </cell>
          <cell r="C1469">
            <v>34055.54</v>
          </cell>
          <cell r="D1469">
            <v>12653.41</v>
          </cell>
          <cell r="E1469">
            <v>0</v>
          </cell>
          <cell r="F1469">
            <v>46708.95</v>
          </cell>
        </row>
        <row r="1470">
          <cell r="A1470" t="str">
            <v>71300000-30006000-12010000</v>
          </cell>
          <cell r="B1470" t="str">
            <v>ARREND. AUTOMOVILES</v>
          </cell>
          <cell r="C1470">
            <v>3608.4</v>
          </cell>
          <cell r="D1470">
            <v>3007</v>
          </cell>
          <cell r="E1470">
            <v>0</v>
          </cell>
          <cell r="F1470">
            <v>6615.4</v>
          </cell>
        </row>
        <row r="1471">
          <cell r="A1471" t="str">
            <v>71300000-30006000-15010000</v>
          </cell>
          <cell r="B1471" t="str">
            <v>MANT. AUTOMOVILES</v>
          </cell>
          <cell r="C1471">
            <v>6021.08</v>
          </cell>
          <cell r="D1471">
            <v>0</v>
          </cell>
          <cell r="E1471">
            <v>0</v>
          </cell>
          <cell r="F1471">
            <v>6021.08</v>
          </cell>
        </row>
        <row r="1472">
          <cell r="A1472" t="str">
            <v>71300000-30006000-16010000</v>
          </cell>
          <cell r="B1472" t="str">
            <v>PAPELERIA</v>
          </cell>
          <cell r="C1472">
            <v>210</v>
          </cell>
          <cell r="D1472">
            <v>0</v>
          </cell>
          <cell r="E1472">
            <v>0</v>
          </cell>
          <cell r="F1472">
            <v>210</v>
          </cell>
        </row>
        <row r="1473">
          <cell r="A1473" t="str">
            <v>71300000-30006000-18020000</v>
          </cell>
          <cell r="B1473" t="str">
            <v>PASAJES Y TRANSPORTES LOCALES</v>
          </cell>
          <cell r="C1473">
            <v>3000</v>
          </cell>
          <cell r="D1473">
            <v>2412</v>
          </cell>
          <cell r="E1473">
            <v>0</v>
          </cell>
          <cell r="F1473">
            <v>5412</v>
          </cell>
        </row>
        <row r="1474">
          <cell r="A1474" t="str">
            <v>71300000-30006000-18030000</v>
          </cell>
          <cell r="B1474" t="str">
            <v>GASTOS DE REPRESENTACION TRANS</v>
          </cell>
          <cell r="C1474">
            <v>4847.5</v>
          </cell>
          <cell r="D1474">
            <v>0</v>
          </cell>
          <cell r="E1474">
            <v>0</v>
          </cell>
          <cell r="F1474">
            <v>4847.5</v>
          </cell>
        </row>
        <row r="1475">
          <cell r="A1475" t="str">
            <v>71300000-30006000-18040000</v>
          </cell>
          <cell r="B1475" t="str">
            <v>GASTOS DE REPRESENTACION ALIME</v>
          </cell>
          <cell r="C1475">
            <v>34576.79</v>
          </cell>
          <cell r="D1475">
            <v>8256.08</v>
          </cell>
          <cell r="E1475">
            <v>0</v>
          </cell>
          <cell r="F1475">
            <v>42832.87</v>
          </cell>
        </row>
        <row r="1476">
          <cell r="A1476" t="str">
            <v>71300000-30006000-19030000</v>
          </cell>
          <cell r="B1476" t="str">
            <v>TELEFONOS CELULARES</v>
          </cell>
          <cell r="C1476">
            <v>3326.61</v>
          </cell>
          <cell r="D1476">
            <v>1024.18</v>
          </cell>
          <cell r="E1476">
            <v>0</v>
          </cell>
          <cell r="F1476">
            <v>4350.79</v>
          </cell>
        </row>
        <row r="1477">
          <cell r="A1477" t="str">
            <v>71300000-30006000-19050000</v>
          </cell>
          <cell r="B1477" t="str">
            <v>INTERNET</v>
          </cell>
          <cell r="C1477">
            <v>1713.41</v>
          </cell>
          <cell r="D1477">
            <v>390.43</v>
          </cell>
          <cell r="E1477">
            <v>0</v>
          </cell>
          <cell r="F1477">
            <v>2103.84</v>
          </cell>
        </row>
        <row r="1478">
          <cell r="A1478" t="str">
            <v>71300000-30006000-19070000</v>
          </cell>
          <cell r="B1478" t="str">
            <v>MENSAJERIA ESPECIALIZADA</v>
          </cell>
          <cell r="C1478">
            <v>2507.02</v>
          </cell>
          <cell r="D1478">
            <v>618.19000000000005</v>
          </cell>
          <cell r="E1478">
            <v>0</v>
          </cell>
          <cell r="F1478">
            <v>3125.21</v>
          </cell>
        </row>
        <row r="1479">
          <cell r="A1479" t="str">
            <v>71300000-30006000-20010000</v>
          </cell>
          <cell r="B1479" t="str">
            <v>COMBUSTIBLE AUTOMOVILES</v>
          </cell>
          <cell r="C1479">
            <v>24630.61</v>
          </cell>
          <cell r="D1479">
            <v>3490.24</v>
          </cell>
          <cell r="E1479">
            <v>0</v>
          </cell>
          <cell r="F1479">
            <v>28120.85</v>
          </cell>
        </row>
        <row r="1480">
          <cell r="A1480" t="str">
            <v>71300000-30006000-23120000</v>
          </cell>
          <cell r="B1480" t="str">
            <v>DIVERSOS</v>
          </cell>
          <cell r="C1480">
            <v>360</v>
          </cell>
          <cell r="D1480">
            <v>0</v>
          </cell>
          <cell r="E1480">
            <v>0</v>
          </cell>
          <cell r="F1480">
            <v>360</v>
          </cell>
        </row>
        <row r="1481">
          <cell r="A1481" t="str">
            <v>71300000-30006000-23130000</v>
          </cell>
          <cell r="B1481" t="str">
            <v>OTROS IMPUESTOS Y DERECHOS</v>
          </cell>
          <cell r="C1481">
            <v>14204.69</v>
          </cell>
          <cell r="D1481">
            <v>6986.36</v>
          </cell>
          <cell r="E1481">
            <v>0</v>
          </cell>
          <cell r="F1481">
            <v>21191.05</v>
          </cell>
        </row>
        <row r="1482">
          <cell r="A1482" t="str">
            <v>71300000-30006000-35020000</v>
          </cell>
          <cell r="B1482" t="str">
            <v>DIVERSOS NO DEDUCIBLES</v>
          </cell>
          <cell r="C1482">
            <v>5387.46</v>
          </cell>
          <cell r="D1482">
            <v>625</v>
          </cell>
          <cell r="E1482">
            <v>0</v>
          </cell>
          <cell r="F1482">
            <v>6012.46</v>
          </cell>
        </row>
        <row r="1483">
          <cell r="A1483" t="str">
            <v>71300000-30007000-00000000</v>
          </cell>
          <cell r="B1483" t="str">
            <v>COSTOS/GASTOS FIJOS PAC NTE</v>
          </cell>
          <cell r="C1483">
            <v>111484.05</v>
          </cell>
          <cell r="D1483">
            <v>33820.81</v>
          </cell>
          <cell r="E1483">
            <v>0</v>
          </cell>
          <cell r="F1483">
            <v>145304.85999999999</v>
          </cell>
        </row>
        <row r="1484">
          <cell r="A1484" t="str">
            <v>71300000-30007000-01010000</v>
          </cell>
          <cell r="B1484" t="str">
            <v>SUELDOS Y SALARIOS</v>
          </cell>
          <cell r="C1484">
            <v>25350.39</v>
          </cell>
          <cell r="D1484">
            <v>6500.1</v>
          </cell>
          <cell r="E1484">
            <v>0</v>
          </cell>
          <cell r="F1484">
            <v>31850.49</v>
          </cell>
        </row>
        <row r="1485">
          <cell r="A1485" t="str">
            <v>71300000-30007000-01040000</v>
          </cell>
          <cell r="B1485" t="str">
            <v>VACACIONES</v>
          </cell>
          <cell r="C1485">
            <v>650.01</v>
          </cell>
          <cell r="D1485">
            <v>0</v>
          </cell>
          <cell r="E1485">
            <v>0</v>
          </cell>
          <cell r="F1485">
            <v>650.01</v>
          </cell>
        </row>
        <row r="1486">
          <cell r="A1486" t="str">
            <v>71300000-30007000-01050000</v>
          </cell>
          <cell r="B1486" t="str">
            <v>PRIMA VACACIONAL</v>
          </cell>
          <cell r="C1486">
            <v>422.51</v>
          </cell>
          <cell r="D1486">
            <v>0</v>
          </cell>
          <cell r="E1486">
            <v>0</v>
          </cell>
          <cell r="F1486">
            <v>422.51</v>
          </cell>
        </row>
        <row r="1487">
          <cell r="A1487" t="str">
            <v>71300000-30007000-03010000</v>
          </cell>
          <cell r="B1487" t="str">
            <v>FONDO DE AHORRO</v>
          </cell>
          <cell r="C1487">
            <v>2028</v>
          </cell>
          <cell r="D1487">
            <v>520</v>
          </cell>
          <cell r="E1487">
            <v>0</v>
          </cell>
          <cell r="F1487">
            <v>2548</v>
          </cell>
        </row>
        <row r="1488">
          <cell r="A1488" t="str">
            <v>71300000-30007000-03020000</v>
          </cell>
          <cell r="B1488" t="str">
            <v>CUOTAS AL I.M.S.S.</v>
          </cell>
          <cell r="C1488">
            <v>5682.08</v>
          </cell>
          <cell r="D1488">
            <v>1355.8</v>
          </cell>
          <cell r="E1488">
            <v>0</v>
          </cell>
          <cell r="F1488">
            <v>7037.88</v>
          </cell>
        </row>
        <row r="1489">
          <cell r="A1489" t="str">
            <v>71300000-30007000-03040000</v>
          </cell>
          <cell r="B1489" t="str">
            <v>DESPENSA EN VALES</v>
          </cell>
          <cell r="C1489">
            <v>1040</v>
          </cell>
          <cell r="D1489">
            <v>260</v>
          </cell>
          <cell r="E1489">
            <v>0</v>
          </cell>
          <cell r="F1489">
            <v>1300</v>
          </cell>
        </row>
        <row r="1490">
          <cell r="A1490" t="str">
            <v>71300000-30007000-04010000</v>
          </cell>
          <cell r="B1490" t="str">
            <v>2.5% SOBRE NOMINAS</v>
          </cell>
          <cell r="C1490">
            <v>1712</v>
          </cell>
          <cell r="D1490">
            <v>429</v>
          </cell>
          <cell r="E1490">
            <v>0</v>
          </cell>
          <cell r="F1490">
            <v>2141</v>
          </cell>
        </row>
        <row r="1491">
          <cell r="A1491" t="str">
            <v>71300000-30007000-04020000</v>
          </cell>
          <cell r="B1491" t="str">
            <v>5% INFONAVIT</v>
          </cell>
          <cell r="C1491">
            <v>3690.97</v>
          </cell>
          <cell r="D1491">
            <v>861.65</v>
          </cell>
          <cell r="E1491">
            <v>0</v>
          </cell>
          <cell r="F1491">
            <v>4552.62</v>
          </cell>
        </row>
        <row r="1492">
          <cell r="A1492" t="str">
            <v>71300000-30007000-04030000</v>
          </cell>
          <cell r="B1492" t="str">
            <v>2% S.A.R. / RETIRO</v>
          </cell>
          <cell r="C1492">
            <v>1476.39</v>
          </cell>
          <cell r="D1492">
            <v>344.66</v>
          </cell>
          <cell r="E1492">
            <v>0</v>
          </cell>
          <cell r="F1492">
            <v>1821.05</v>
          </cell>
        </row>
        <row r="1493">
          <cell r="A1493" t="str">
            <v>71300000-30007000-04040000</v>
          </cell>
          <cell r="B1493" t="str">
            <v>CESANTIA Y VEJEZ</v>
          </cell>
          <cell r="C1493">
            <v>2325.29</v>
          </cell>
          <cell r="D1493">
            <v>542.84</v>
          </cell>
          <cell r="E1493">
            <v>0</v>
          </cell>
          <cell r="F1493">
            <v>2868.13</v>
          </cell>
        </row>
        <row r="1494">
          <cell r="A1494" t="str">
            <v>71300000-30007000-12010000</v>
          </cell>
          <cell r="B1494" t="str">
            <v>ARREND. AUTOMOVILES</v>
          </cell>
          <cell r="C1494">
            <v>3608.4</v>
          </cell>
          <cell r="D1494">
            <v>3007</v>
          </cell>
          <cell r="E1494">
            <v>0</v>
          </cell>
          <cell r="F1494">
            <v>6615.4</v>
          </cell>
        </row>
        <row r="1495">
          <cell r="A1495" t="str">
            <v>71300000-30007000-15010000</v>
          </cell>
          <cell r="B1495" t="str">
            <v>MANT. AUTOMOVILES</v>
          </cell>
          <cell r="C1495">
            <v>11128.25</v>
          </cell>
          <cell r="D1495">
            <v>176.48</v>
          </cell>
          <cell r="E1495">
            <v>0</v>
          </cell>
          <cell r="F1495">
            <v>11304.73</v>
          </cell>
        </row>
        <row r="1496">
          <cell r="A1496" t="str">
            <v>71300000-30007000-15090000</v>
          </cell>
          <cell r="B1496" t="str">
            <v>MANTTO A TIENDAS</v>
          </cell>
          <cell r="C1496">
            <v>6000</v>
          </cell>
          <cell r="D1496">
            <v>0</v>
          </cell>
          <cell r="E1496">
            <v>0</v>
          </cell>
          <cell r="F1496">
            <v>6000</v>
          </cell>
        </row>
        <row r="1497">
          <cell r="A1497" t="str">
            <v>71300000-30007000-16010000</v>
          </cell>
          <cell r="B1497" t="str">
            <v>PAPELERIA</v>
          </cell>
          <cell r="C1497">
            <v>0</v>
          </cell>
          <cell r="D1497">
            <v>229.28</v>
          </cell>
          <cell r="E1497">
            <v>0</v>
          </cell>
          <cell r="F1497">
            <v>229.28</v>
          </cell>
        </row>
        <row r="1498">
          <cell r="A1498" t="str">
            <v>71300000-30007000-18020000</v>
          </cell>
          <cell r="B1498" t="str">
            <v>PASAJES Y TRANSPORTES LOCALES</v>
          </cell>
          <cell r="C1498">
            <v>922</v>
          </cell>
          <cell r="D1498">
            <v>810</v>
          </cell>
          <cell r="E1498">
            <v>0</v>
          </cell>
          <cell r="F1498">
            <v>1732</v>
          </cell>
        </row>
        <row r="1499">
          <cell r="A1499" t="str">
            <v>71300000-30007000-18030000</v>
          </cell>
          <cell r="B1499" t="str">
            <v>GASTOS DE REPRESENTACION TRANS</v>
          </cell>
          <cell r="C1499">
            <v>6829.5</v>
          </cell>
          <cell r="D1499">
            <v>1851</v>
          </cell>
          <cell r="E1499">
            <v>0</v>
          </cell>
          <cell r="F1499">
            <v>8680.5</v>
          </cell>
        </row>
        <row r="1500">
          <cell r="A1500" t="str">
            <v>71300000-30007000-18040000</v>
          </cell>
          <cell r="B1500" t="str">
            <v>GASTOS DE REPRESENTACION ALIME</v>
          </cell>
          <cell r="C1500">
            <v>10653.67</v>
          </cell>
          <cell r="D1500">
            <v>6432.65</v>
          </cell>
          <cell r="E1500">
            <v>0</v>
          </cell>
          <cell r="F1500">
            <v>17086.32</v>
          </cell>
        </row>
        <row r="1501">
          <cell r="A1501" t="str">
            <v>71300000-30007000-19030000</v>
          </cell>
          <cell r="B1501" t="str">
            <v>TELEFONOS CELULARES</v>
          </cell>
          <cell r="C1501">
            <v>2859.06</v>
          </cell>
          <cell r="D1501">
            <v>667.44</v>
          </cell>
          <cell r="E1501">
            <v>0</v>
          </cell>
          <cell r="F1501">
            <v>3526.5</v>
          </cell>
        </row>
        <row r="1502">
          <cell r="A1502" t="str">
            <v>71300000-30007000-19070000</v>
          </cell>
          <cell r="B1502" t="str">
            <v>MENSAJERIA ESPECIALIZADA</v>
          </cell>
          <cell r="C1502">
            <v>1497.88</v>
          </cell>
          <cell r="D1502">
            <v>400.28</v>
          </cell>
          <cell r="E1502">
            <v>0</v>
          </cell>
          <cell r="F1502">
            <v>1898.16</v>
          </cell>
        </row>
        <row r="1503">
          <cell r="A1503" t="str">
            <v>71300000-30007000-20010000</v>
          </cell>
          <cell r="B1503" t="str">
            <v>COMBUSTIBLE AUTOMOVILES</v>
          </cell>
          <cell r="C1503">
            <v>9529.86</v>
          </cell>
          <cell r="D1503">
            <v>3118.32</v>
          </cell>
          <cell r="E1503">
            <v>0</v>
          </cell>
          <cell r="F1503">
            <v>12648.18</v>
          </cell>
        </row>
        <row r="1504">
          <cell r="A1504" t="str">
            <v>71300000-30007000-21010000</v>
          </cell>
          <cell r="B1504" t="str">
            <v>HONORARIOS PERSONAS FISICAS</v>
          </cell>
          <cell r="C1504">
            <v>996.54</v>
          </cell>
          <cell r="D1504">
            <v>0</v>
          </cell>
          <cell r="E1504">
            <v>0</v>
          </cell>
          <cell r="F1504">
            <v>996.54</v>
          </cell>
        </row>
        <row r="1505">
          <cell r="A1505" t="str">
            <v>71300000-30007000-23120000</v>
          </cell>
          <cell r="B1505" t="str">
            <v>DIVERSOS</v>
          </cell>
          <cell r="C1505">
            <v>2197.6</v>
          </cell>
          <cell r="D1505">
            <v>454.73</v>
          </cell>
          <cell r="E1505">
            <v>0</v>
          </cell>
          <cell r="F1505">
            <v>2652.33</v>
          </cell>
        </row>
        <row r="1506">
          <cell r="A1506" t="str">
            <v>71300000-30007000-23130000</v>
          </cell>
          <cell r="B1506" t="str">
            <v>OTROS IMPUESTOS Y DERECHOS</v>
          </cell>
          <cell r="C1506">
            <v>7088.49</v>
          </cell>
          <cell r="D1506">
            <v>4734.71</v>
          </cell>
          <cell r="E1506">
            <v>0</v>
          </cell>
          <cell r="F1506">
            <v>11823.2</v>
          </cell>
        </row>
        <row r="1507">
          <cell r="A1507" t="str">
            <v>71300000-30007000-35020000</v>
          </cell>
          <cell r="B1507" t="str">
            <v>DIVERSOS NO DEDUCIBLES</v>
          </cell>
          <cell r="C1507">
            <v>1583.68</v>
          </cell>
          <cell r="D1507">
            <v>572</v>
          </cell>
          <cell r="E1507">
            <v>0</v>
          </cell>
          <cell r="F1507">
            <v>2155.6799999999998</v>
          </cell>
        </row>
        <row r="1508">
          <cell r="A1508" t="str">
            <v>71300000-30007000-90030000</v>
          </cell>
          <cell r="B1508" t="str">
            <v>PROVISION AGUINALDO</v>
          </cell>
          <cell r="C1508">
            <v>2094.48</v>
          </cell>
          <cell r="D1508">
            <v>523.62</v>
          </cell>
          <cell r="E1508">
            <v>0</v>
          </cell>
          <cell r="F1508">
            <v>2618.1</v>
          </cell>
        </row>
        <row r="1509">
          <cell r="A1509" t="str">
            <v>71300000-30007000-90040000</v>
          </cell>
          <cell r="B1509" t="str">
            <v>BOLETIN D-3</v>
          </cell>
          <cell r="C1509">
            <v>117</v>
          </cell>
          <cell r="D1509">
            <v>29.25</v>
          </cell>
          <cell r="E1509">
            <v>0</v>
          </cell>
          <cell r="F1509">
            <v>146.25</v>
          </cell>
        </row>
        <row r="1510">
          <cell r="A1510" t="str">
            <v>71300000-30008000-00000000</v>
          </cell>
          <cell r="B1510" t="str">
            <v>COSTOS/GASTOS FIJOS PAC CTRO</v>
          </cell>
          <cell r="C1510">
            <v>110177.77</v>
          </cell>
          <cell r="D1510">
            <v>36587.910000000003</v>
          </cell>
          <cell r="E1510">
            <v>0</v>
          </cell>
          <cell r="F1510">
            <v>146765.68</v>
          </cell>
        </row>
        <row r="1511">
          <cell r="A1511" t="str">
            <v>71300000-30008000-01010000</v>
          </cell>
          <cell r="B1511" t="str">
            <v>SUELDOS Y SALARIOS</v>
          </cell>
          <cell r="C1511">
            <v>36957.96</v>
          </cell>
          <cell r="D1511">
            <v>9999.9</v>
          </cell>
          <cell r="E1511">
            <v>0</v>
          </cell>
          <cell r="F1511">
            <v>46957.86</v>
          </cell>
        </row>
        <row r="1512">
          <cell r="A1512" t="str">
            <v>71300000-30008000-01030000</v>
          </cell>
          <cell r="B1512" t="str">
            <v>GRATIFICACIONES</v>
          </cell>
          <cell r="C1512">
            <v>924.5</v>
          </cell>
          <cell r="D1512">
            <v>265</v>
          </cell>
          <cell r="E1512">
            <v>0</v>
          </cell>
          <cell r="F1512">
            <v>1189.5</v>
          </cell>
        </row>
        <row r="1513">
          <cell r="A1513" t="str">
            <v>71300000-30008000-01040000</v>
          </cell>
          <cell r="B1513" t="str">
            <v>VACACIONES</v>
          </cell>
          <cell r="C1513">
            <v>2999.97</v>
          </cell>
          <cell r="D1513">
            <v>0</v>
          </cell>
          <cell r="E1513">
            <v>0</v>
          </cell>
          <cell r="F1513">
            <v>2999.97</v>
          </cell>
        </row>
        <row r="1514">
          <cell r="A1514" t="str">
            <v>71300000-30008000-01050000</v>
          </cell>
          <cell r="B1514" t="str">
            <v>PRIMA VACACIONAL</v>
          </cell>
          <cell r="C1514">
            <v>1949.98</v>
          </cell>
          <cell r="D1514">
            <v>0</v>
          </cell>
          <cell r="E1514">
            <v>0</v>
          </cell>
          <cell r="F1514">
            <v>1949.98</v>
          </cell>
        </row>
        <row r="1515">
          <cell r="A1515" t="str">
            <v>71300000-30008000-03010000</v>
          </cell>
          <cell r="B1515" t="str">
            <v>FONDO DE AHORRO</v>
          </cell>
          <cell r="C1515">
            <v>2956.65</v>
          </cell>
          <cell r="D1515">
            <v>800</v>
          </cell>
          <cell r="E1515">
            <v>0</v>
          </cell>
          <cell r="F1515">
            <v>3756.65</v>
          </cell>
        </row>
        <row r="1516">
          <cell r="A1516" t="str">
            <v>71300000-30008000-03020000</v>
          </cell>
          <cell r="B1516" t="str">
            <v>CUOTAS AL I.M.S.S.</v>
          </cell>
          <cell r="C1516">
            <v>6972.42</v>
          </cell>
          <cell r="D1516">
            <v>2257.33</v>
          </cell>
          <cell r="E1516">
            <v>0</v>
          </cell>
          <cell r="F1516">
            <v>9229.75</v>
          </cell>
        </row>
        <row r="1517">
          <cell r="A1517" t="str">
            <v>71300000-30008000-03040000</v>
          </cell>
          <cell r="B1517" t="str">
            <v>DESPENSA EN VALES</v>
          </cell>
          <cell r="C1517">
            <v>1600</v>
          </cell>
          <cell r="D1517">
            <v>400</v>
          </cell>
          <cell r="E1517">
            <v>0</v>
          </cell>
          <cell r="F1517">
            <v>2000</v>
          </cell>
        </row>
        <row r="1518">
          <cell r="A1518" t="str">
            <v>71300000-30008000-04010000</v>
          </cell>
          <cell r="B1518" t="str">
            <v>2.5% SOBRE NOMINAS</v>
          </cell>
          <cell r="C1518">
            <v>2693</v>
          </cell>
          <cell r="D1518">
            <v>601</v>
          </cell>
          <cell r="E1518">
            <v>0</v>
          </cell>
          <cell r="F1518">
            <v>3294</v>
          </cell>
        </row>
        <row r="1519">
          <cell r="A1519" t="str">
            <v>71300000-30008000-04020000</v>
          </cell>
          <cell r="B1519" t="str">
            <v>5% INFONAVIT</v>
          </cell>
          <cell r="C1519">
            <v>4748.6099999999997</v>
          </cell>
          <cell r="D1519">
            <v>1600.61</v>
          </cell>
          <cell r="E1519">
            <v>0</v>
          </cell>
          <cell r="F1519">
            <v>6349.22</v>
          </cell>
        </row>
        <row r="1520">
          <cell r="A1520" t="str">
            <v>71300000-30008000-04030000</v>
          </cell>
          <cell r="B1520" t="str">
            <v>2% S.A.R. / RETIRO</v>
          </cell>
          <cell r="C1520">
            <v>1899.45</v>
          </cell>
          <cell r="D1520">
            <v>640.24</v>
          </cell>
          <cell r="E1520">
            <v>0</v>
          </cell>
          <cell r="F1520">
            <v>2539.69</v>
          </cell>
        </row>
        <row r="1521">
          <cell r="A1521" t="str">
            <v>71300000-30008000-04040000</v>
          </cell>
          <cell r="B1521" t="str">
            <v>CESANTIA Y VEJEZ</v>
          </cell>
          <cell r="C1521">
            <v>2991.61</v>
          </cell>
          <cell r="D1521">
            <v>1008.38</v>
          </cell>
          <cell r="E1521">
            <v>0</v>
          </cell>
          <cell r="F1521">
            <v>3999.99</v>
          </cell>
        </row>
        <row r="1522">
          <cell r="A1522" t="str">
            <v>71300000-30008000-12010000</v>
          </cell>
          <cell r="B1522" t="str">
            <v>ARREND. AUTOMOVILES</v>
          </cell>
          <cell r="C1522">
            <v>5338.42</v>
          </cell>
          <cell r="D1522">
            <v>0</v>
          </cell>
          <cell r="E1522">
            <v>0</v>
          </cell>
          <cell r="F1522">
            <v>5338.42</v>
          </cell>
        </row>
        <row r="1523">
          <cell r="A1523" t="str">
            <v>71300000-30008000-15010000</v>
          </cell>
          <cell r="B1523" t="str">
            <v>MANT. AUTOMOVILES</v>
          </cell>
          <cell r="C1523">
            <v>2992.06</v>
          </cell>
          <cell r="D1523">
            <v>5288.01</v>
          </cell>
          <cell r="E1523">
            <v>0</v>
          </cell>
          <cell r="F1523">
            <v>8280.07</v>
          </cell>
        </row>
        <row r="1524">
          <cell r="A1524" t="str">
            <v>71300000-30008000-16010000</v>
          </cell>
          <cell r="B1524" t="str">
            <v>PAPELERIA</v>
          </cell>
          <cell r="C1524">
            <v>140</v>
          </cell>
          <cell r="D1524">
            <v>0</v>
          </cell>
          <cell r="E1524">
            <v>0</v>
          </cell>
          <cell r="F1524">
            <v>140</v>
          </cell>
        </row>
        <row r="1525">
          <cell r="A1525" t="str">
            <v>71300000-30008000-18030000</v>
          </cell>
          <cell r="B1525" t="str">
            <v>GASTOS DE REPRESENTACION TRANS</v>
          </cell>
          <cell r="C1525">
            <v>0</v>
          </cell>
          <cell r="D1525">
            <v>671.97</v>
          </cell>
          <cell r="E1525">
            <v>0</v>
          </cell>
          <cell r="F1525">
            <v>671.97</v>
          </cell>
        </row>
        <row r="1526">
          <cell r="A1526" t="str">
            <v>71300000-30008000-18040000</v>
          </cell>
          <cell r="B1526" t="str">
            <v>GASTOS DE REPRESENTACION ALIME</v>
          </cell>
          <cell r="C1526">
            <v>10156.73</v>
          </cell>
          <cell r="D1526">
            <v>3896.01</v>
          </cell>
          <cell r="E1526">
            <v>0</v>
          </cell>
          <cell r="F1526">
            <v>14052.74</v>
          </cell>
        </row>
        <row r="1527">
          <cell r="A1527" t="str">
            <v>71300000-30008000-19030000</v>
          </cell>
          <cell r="B1527" t="str">
            <v>TELEFONOS CELULARES</v>
          </cell>
          <cell r="C1527">
            <v>2450.4499999999998</v>
          </cell>
          <cell r="D1527">
            <v>0</v>
          </cell>
          <cell r="E1527">
            <v>0</v>
          </cell>
          <cell r="F1527">
            <v>2450.4499999999998</v>
          </cell>
        </row>
        <row r="1528">
          <cell r="A1528" t="str">
            <v>71300000-30008000-20010000</v>
          </cell>
          <cell r="B1528" t="str">
            <v>COMBUSTIBLE AUTOMOVILES</v>
          </cell>
          <cell r="C1528">
            <v>9702.59</v>
          </cell>
          <cell r="D1528">
            <v>2528.2399999999998</v>
          </cell>
          <cell r="E1528">
            <v>0</v>
          </cell>
          <cell r="F1528">
            <v>12230.83</v>
          </cell>
        </row>
        <row r="1529">
          <cell r="A1529" t="str">
            <v>71300000-30008000-23130000</v>
          </cell>
          <cell r="B1529" t="str">
            <v>OTROS IMPUESTOS Y DERECHOS</v>
          </cell>
          <cell r="C1529">
            <v>6808.23</v>
          </cell>
          <cell r="D1529">
            <v>3455.73</v>
          </cell>
          <cell r="E1529">
            <v>0</v>
          </cell>
          <cell r="F1529">
            <v>10263.959999999999</v>
          </cell>
        </row>
        <row r="1530">
          <cell r="A1530" t="str">
            <v>71300000-30008000-23140000</v>
          </cell>
          <cell r="B1530" t="str">
            <v>FLETES Y ACARREOS</v>
          </cell>
          <cell r="C1530">
            <v>53.7</v>
          </cell>
          <cell r="D1530">
            <v>0</v>
          </cell>
          <cell r="E1530">
            <v>0</v>
          </cell>
          <cell r="F1530">
            <v>53.7</v>
          </cell>
        </row>
        <row r="1531">
          <cell r="A1531" t="str">
            <v>71300000-30008000-35020000</v>
          </cell>
          <cell r="B1531" t="str">
            <v>DIVERSOS NO DEDUCIBLES</v>
          </cell>
          <cell r="C1531">
            <v>2502.2399999999998</v>
          </cell>
          <cell r="D1531">
            <v>2340.69</v>
          </cell>
          <cell r="E1531">
            <v>0</v>
          </cell>
          <cell r="F1531">
            <v>4842.93</v>
          </cell>
        </row>
        <row r="1532">
          <cell r="A1532" t="str">
            <v>71300000-30008000-90030000</v>
          </cell>
          <cell r="B1532" t="str">
            <v>PROVISION AGUINALDO</v>
          </cell>
          <cell r="C1532">
            <v>3222.2</v>
          </cell>
          <cell r="D1532">
            <v>805.55</v>
          </cell>
          <cell r="E1532">
            <v>0</v>
          </cell>
          <cell r="F1532">
            <v>4027.75</v>
          </cell>
        </row>
        <row r="1533">
          <cell r="A1533" t="str">
            <v>71300000-30008000-90040000</v>
          </cell>
          <cell r="B1533" t="str">
            <v>BOLETIN D-3</v>
          </cell>
          <cell r="C1533">
            <v>117</v>
          </cell>
          <cell r="D1533">
            <v>29.25</v>
          </cell>
          <cell r="E1533">
            <v>0</v>
          </cell>
          <cell r="F1533">
            <v>146.25</v>
          </cell>
        </row>
        <row r="1534">
          <cell r="A1534" t="str">
            <v>71300000-30009000-00000000</v>
          </cell>
          <cell r="B1534" t="str">
            <v>COSTOS/GASTOS FIJOS GDL</v>
          </cell>
          <cell r="C1534">
            <v>113520.9</v>
          </cell>
          <cell r="D1534">
            <v>36288.400000000001</v>
          </cell>
          <cell r="E1534">
            <v>0</v>
          </cell>
          <cell r="F1534">
            <v>149809.29999999999</v>
          </cell>
        </row>
        <row r="1535">
          <cell r="A1535" t="str">
            <v>71300000-30009000-05010000</v>
          </cell>
          <cell r="B1535" t="str">
            <v>SERV. PROFESIONALES EXTERNOS</v>
          </cell>
          <cell r="C1535">
            <v>29619.4</v>
          </cell>
          <cell r="D1535">
            <v>7863.92</v>
          </cell>
          <cell r="E1535">
            <v>0</v>
          </cell>
          <cell r="F1535">
            <v>37483.32</v>
          </cell>
        </row>
        <row r="1536">
          <cell r="A1536" t="str">
            <v>71300000-30009000-13020000</v>
          </cell>
          <cell r="B1536" t="str">
            <v>ARRENDAMIENTO DE INMUEBLES PER</v>
          </cell>
          <cell r="C1536">
            <v>42000</v>
          </cell>
          <cell r="D1536">
            <v>10972</v>
          </cell>
          <cell r="E1536">
            <v>0</v>
          </cell>
          <cell r="F1536">
            <v>52972</v>
          </cell>
        </row>
        <row r="1537">
          <cell r="A1537" t="str">
            <v>71300000-30009000-15090000</v>
          </cell>
          <cell r="B1537" t="str">
            <v>MANTTO A TIENDAS</v>
          </cell>
          <cell r="C1537">
            <v>600</v>
          </cell>
          <cell r="D1537">
            <v>0</v>
          </cell>
          <cell r="E1537">
            <v>0</v>
          </cell>
          <cell r="F1537">
            <v>600</v>
          </cell>
        </row>
        <row r="1538">
          <cell r="A1538" t="str">
            <v>71300000-30009000-16010000</v>
          </cell>
          <cell r="B1538" t="str">
            <v>PAPELERIA</v>
          </cell>
          <cell r="C1538">
            <v>38.71</v>
          </cell>
          <cell r="D1538">
            <v>150.88999999999999</v>
          </cell>
          <cell r="E1538">
            <v>0</v>
          </cell>
          <cell r="F1538">
            <v>189.6</v>
          </cell>
        </row>
        <row r="1539">
          <cell r="A1539" t="str">
            <v>71300000-30009000-16040000</v>
          </cell>
          <cell r="B1539" t="str">
            <v>IMPLEMENTOS DE OFICINA</v>
          </cell>
          <cell r="C1539">
            <v>0</v>
          </cell>
          <cell r="D1539">
            <v>650.84</v>
          </cell>
          <cell r="E1539">
            <v>0</v>
          </cell>
          <cell r="F1539">
            <v>650.84</v>
          </cell>
        </row>
        <row r="1540">
          <cell r="A1540" t="str">
            <v>71300000-30009000-17010000</v>
          </cell>
          <cell r="B1540" t="str">
            <v>ENERGIA ELECTRICA</v>
          </cell>
          <cell r="C1540">
            <v>1139.3399999999999</v>
          </cell>
          <cell r="D1540">
            <v>548.28</v>
          </cell>
          <cell r="E1540">
            <v>0</v>
          </cell>
          <cell r="F1540">
            <v>1687.62</v>
          </cell>
        </row>
        <row r="1541">
          <cell r="A1541" t="str">
            <v>71300000-30009000-18020000</v>
          </cell>
          <cell r="B1541" t="str">
            <v>PASAJES Y TRANSPORTES LOCALES</v>
          </cell>
          <cell r="C1541">
            <v>600</v>
          </cell>
          <cell r="D1541">
            <v>290</v>
          </cell>
          <cell r="E1541">
            <v>0</v>
          </cell>
          <cell r="F1541">
            <v>890</v>
          </cell>
        </row>
        <row r="1542">
          <cell r="A1542" t="str">
            <v>71300000-30009000-18030000</v>
          </cell>
          <cell r="B1542" t="str">
            <v>GASTOS DE REPRESENTACION TRANS</v>
          </cell>
          <cell r="C1542">
            <v>1471</v>
          </cell>
          <cell r="D1542">
            <v>0</v>
          </cell>
          <cell r="E1542">
            <v>0</v>
          </cell>
          <cell r="F1542">
            <v>1471</v>
          </cell>
        </row>
        <row r="1543">
          <cell r="A1543" t="str">
            <v>71300000-30009000-18040000</v>
          </cell>
          <cell r="B1543" t="str">
            <v>GASTOS DE REPRESENTACION ALIME</v>
          </cell>
          <cell r="C1543">
            <v>290.39999999999998</v>
          </cell>
          <cell r="D1543">
            <v>84.48</v>
          </cell>
          <cell r="E1543">
            <v>0</v>
          </cell>
          <cell r="F1543">
            <v>374.88</v>
          </cell>
        </row>
        <row r="1544">
          <cell r="A1544" t="str">
            <v>71300000-30009000-18050000</v>
          </cell>
          <cell r="B1544" t="str">
            <v>AGUA ELECTROPURA</v>
          </cell>
          <cell r="C1544">
            <v>200</v>
          </cell>
          <cell r="D1544">
            <v>150</v>
          </cell>
          <cell r="E1544">
            <v>0</v>
          </cell>
          <cell r="F1544">
            <v>350</v>
          </cell>
        </row>
        <row r="1545">
          <cell r="A1545" t="str">
            <v>71300000-30009000-19070000</v>
          </cell>
          <cell r="B1545" t="str">
            <v>MENSAJERIA ESPECIALIZADA</v>
          </cell>
          <cell r="C1545">
            <v>1193.43</v>
          </cell>
          <cell r="D1545">
            <v>1330.06</v>
          </cell>
          <cell r="E1545">
            <v>0</v>
          </cell>
          <cell r="F1545">
            <v>2523.4899999999998</v>
          </cell>
        </row>
        <row r="1546">
          <cell r="A1546" t="str">
            <v>71300000-30009000-23120000</v>
          </cell>
          <cell r="B1546" t="str">
            <v>DIVERSOS</v>
          </cell>
          <cell r="C1546">
            <v>845.86</v>
          </cell>
          <cell r="D1546">
            <v>448.99</v>
          </cell>
          <cell r="E1546">
            <v>0</v>
          </cell>
          <cell r="F1546">
            <v>1294.8499999999999</v>
          </cell>
        </row>
        <row r="1547">
          <cell r="A1547" t="str">
            <v>71300000-30009000-23130000</v>
          </cell>
          <cell r="B1547" t="str">
            <v>OTROS IMPUESTOS Y DERECHOS</v>
          </cell>
          <cell r="C1547">
            <v>328.44</v>
          </cell>
          <cell r="D1547">
            <v>0</v>
          </cell>
          <cell r="E1547">
            <v>0</v>
          </cell>
          <cell r="F1547">
            <v>328.44</v>
          </cell>
        </row>
        <row r="1548">
          <cell r="A1548" t="str">
            <v>71300000-30009000-23140000</v>
          </cell>
          <cell r="B1548" t="str">
            <v>FLETES Y ACARREOS</v>
          </cell>
          <cell r="C1548">
            <v>33454.620000000003</v>
          </cell>
          <cell r="D1548">
            <v>13279.28</v>
          </cell>
          <cell r="E1548">
            <v>0</v>
          </cell>
          <cell r="F1548">
            <v>46733.9</v>
          </cell>
        </row>
        <row r="1549">
          <cell r="A1549" t="str">
            <v>71300000-30009000-23150000</v>
          </cell>
          <cell r="B1549" t="str">
            <v>ASEO LIMPIEZA E IMPLEMENTOS</v>
          </cell>
          <cell r="C1549">
            <v>0</v>
          </cell>
          <cell r="D1549">
            <v>85.26</v>
          </cell>
          <cell r="E1549">
            <v>0</v>
          </cell>
          <cell r="F1549">
            <v>85.26</v>
          </cell>
        </row>
        <row r="1550">
          <cell r="A1550" t="str">
            <v>71300000-30009000-35020000</v>
          </cell>
          <cell r="B1550" t="str">
            <v>DIVERSOS NO DEDUCIBLES</v>
          </cell>
          <cell r="C1550">
            <v>1739.7</v>
          </cell>
          <cell r="D1550">
            <v>434.4</v>
          </cell>
          <cell r="E1550">
            <v>0</v>
          </cell>
          <cell r="F1550">
            <v>2174.1</v>
          </cell>
        </row>
        <row r="1551">
          <cell r="A1551" t="str">
            <v>71300000-30010000-00000000</v>
          </cell>
          <cell r="B1551" t="str">
            <v>COSTOS/GASTOS FIJOS OCCIDENTE</v>
          </cell>
          <cell r="C1551">
            <v>102364.58</v>
          </cell>
          <cell r="D1551">
            <v>25966.71</v>
          </cell>
          <cell r="E1551">
            <v>0</v>
          </cell>
          <cell r="F1551">
            <v>128331.29</v>
          </cell>
        </row>
        <row r="1552">
          <cell r="A1552" t="str">
            <v>71300000-30010000-01010000</v>
          </cell>
          <cell r="B1552" t="str">
            <v>SUELDOS Y SALARIOS</v>
          </cell>
          <cell r="C1552">
            <v>29999.61</v>
          </cell>
          <cell r="D1552">
            <v>7749.9</v>
          </cell>
          <cell r="E1552">
            <v>0</v>
          </cell>
          <cell r="F1552">
            <v>37749.51</v>
          </cell>
        </row>
        <row r="1553">
          <cell r="A1553" t="str">
            <v>71300000-30010000-01030000</v>
          </cell>
          <cell r="B1553" t="str">
            <v>GRATIFICACIONES</v>
          </cell>
          <cell r="C1553">
            <v>225</v>
          </cell>
          <cell r="D1553">
            <v>0</v>
          </cell>
          <cell r="E1553">
            <v>0</v>
          </cell>
          <cell r="F1553">
            <v>225</v>
          </cell>
        </row>
        <row r="1554">
          <cell r="A1554" t="str">
            <v>71300000-30010000-01040000</v>
          </cell>
          <cell r="B1554" t="str">
            <v>VACACIONES</v>
          </cell>
          <cell r="C1554">
            <v>774.99</v>
          </cell>
          <cell r="D1554">
            <v>0</v>
          </cell>
          <cell r="E1554">
            <v>0</v>
          </cell>
          <cell r="F1554">
            <v>774.99</v>
          </cell>
        </row>
        <row r="1555">
          <cell r="A1555" t="str">
            <v>71300000-30010000-01050000</v>
          </cell>
          <cell r="B1555" t="str">
            <v>PRIMA VACACIONAL</v>
          </cell>
          <cell r="C1555">
            <v>503.74</v>
          </cell>
          <cell r="D1555">
            <v>0</v>
          </cell>
          <cell r="E1555">
            <v>0</v>
          </cell>
          <cell r="F1555">
            <v>503.74</v>
          </cell>
        </row>
        <row r="1556">
          <cell r="A1556" t="str">
            <v>71300000-30010000-03010000</v>
          </cell>
          <cell r="B1556" t="str">
            <v>FONDO DE AHORRO</v>
          </cell>
          <cell r="C1556">
            <v>2400</v>
          </cell>
          <cell r="D1556">
            <v>620</v>
          </cell>
          <cell r="E1556">
            <v>0</v>
          </cell>
          <cell r="F1556">
            <v>3020</v>
          </cell>
        </row>
        <row r="1557">
          <cell r="A1557" t="str">
            <v>71300000-30010000-03020000</v>
          </cell>
          <cell r="B1557" t="str">
            <v>CUOTAS AL I.M.S.S.</v>
          </cell>
          <cell r="C1557">
            <v>4492.9399999999996</v>
          </cell>
          <cell r="D1557">
            <v>1246.58</v>
          </cell>
          <cell r="E1557">
            <v>0</v>
          </cell>
          <cell r="F1557">
            <v>5739.52</v>
          </cell>
        </row>
        <row r="1558">
          <cell r="A1558" t="str">
            <v>71300000-30010000-03040000</v>
          </cell>
          <cell r="B1558" t="str">
            <v>DESPENSA EN VALES</v>
          </cell>
          <cell r="C1558">
            <v>912</v>
          </cell>
          <cell r="D1558">
            <v>310</v>
          </cell>
          <cell r="E1558">
            <v>0</v>
          </cell>
          <cell r="F1558">
            <v>1222</v>
          </cell>
        </row>
        <row r="1559">
          <cell r="A1559" t="str">
            <v>71300000-30010000-04010000</v>
          </cell>
          <cell r="B1559" t="str">
            <v>2.5% SOBRE NOMINAS</v>
          </cell>
          <cell r="C1559">
            <v>1391</v>
          </cell>
          <cell r="D1559">
            <v>470</v>
          </cell>
          <cell r="E1559">
            <v>0</v>
          </cell>
          <cell r="F1559">
            <v>1861</v>
          </cell>
        </row>
        <row r="1560">
          <cell r="A1560" t="str">
            <v>71300000-30010000-04020000</v>
          </cell>
          <cell r="B1560" t="str">
            <v>5% INFONAVIT</v>
          </cell>
          <cell r="C1560">
            <v>2716.27</v>
          </cell>
          <cell r="D1560">
            <v>772.12</v>
          </cell>
          <cell r="E1560">
            <v>0</v>
          </cell>
          <cell r="F1560">
            <v>3488.39</v>
          </cell>
        </row>
        <row r="1561">
          <cell r="A1561" t="str">
            <v>71300000-30010000-04030000</v>
          </cell>
          <cell r="B1561" t="str">
            <v>2% S.A.R. / RETIRO</v>
          </cell>
          <cell r="C1561">
            <v>1086.51</v>
          </cell>
          <cell r="D1561">
            <v>308.85000000000002</v>
          </cell>
          <cell r="E1561">
            <v>0</v>
          </cell>
          <cell r="F1561">
            <v>1395.36</v>
          </cell>
        </row>
        <row r="1562">
          <cell r="A1562" t="str">
            <v>71300000-30010000-04040000</v>
          </cell>
          <cell r="B1562" t="str">
            <v>CESANTIA Y VEJEZ</v>
          </cell>
          <cell r="C1562">
            <v>1711.31</v>
          </cell>
          <cell r="D1562">
            <v>486.44</v>
          </cell>
          <cell r="E1562">
            <v>0</v>
          </cell>
          <cell r="F1562">
            <v>2197.75</v>
          </cell>
        </row>
        <row r="1563">
          <cell r="A1563" t="str">
            <v>71300000-30010000-12010000</v>
          </cell>
          <cell r="B1563" t="str">
            <v>ARREND. AUTOMOVILES</v>
          </cell>
          <cell r="C1563">
            <v>9128.1200000000008</v>
          </cell>
          <cell r="D1563">
            <v>2282.0300000000002</v>
          </cell>
          <cell r="E1563">
            <v>0</v>
          </cell>
          <cell r="F1563">
            <v>11410.15</v>
          </cell>
        </row>
        <row r="1564">
          <cell r="A1564" t="str">
            <v>71300000-30010000-15010000</v>
          </cell>
          <cell r="B1564" t="str">
            <v>MANT. AUTOMOVILES</v>
          </cell>
          <cell r="C1564">
            <v>7065.18</v>
          </cell>
          <cell r="D1564">
            <v>0</v>
          </cell>
          <cell r="E1564">
            <v>0</v>
          </cell>
          <cell r="F1564">
            <v>7065.18</v>
          </cell>
        </row>
        <row r="1565">
          <cell r="A1565" t="str">
            <v>71300000-30010000-15090000</v>
          </cell>
          <cell r="B1565" t="str">
            <v>MANTTO A TIENDAS</v>
          </cell>
          <cell r="C1565">
            <v>12000</v>
          </cell>
          <cell r="D1565">
            <v>3000</v>
          </cell>
          <cell r="E1565">
            <v>0</v>
          </cell>
          <cell r="F1565">
            <v>15000</v>
          </cell>
        </row>
        <row r="1566">
          <cell r="A1566" t="str">
            <v>71300000-30010000-16010000</v>
          </cell>
          <cell r="B1566" t="str">
            <v>PAPELERIA</v>
          </cell>
          <cell r="C1566">
            <v>140</v>
          </cell>
          <cell r="D1566">
            <v>0</v>
          </cell>
          <cell r="E1566">
            <v>0</v>
          </cell>
          <cell r="F1566">
            <v>140</v>
          </cell>
        </row>
        <row r="1567">
          <cell r="A1567" t="str">
            <v>71300000-30010000-18020000</v>
          </cell>
          <cell r="B1567" t="str">
            <v>PASAJES Y TRANSPORTES LOCALES</v>
          </cell>
          <cell r="C1567">
            <v>560</v>
          </cell>
          <cell r="D1567">
            <v>590</v>
          </cell>
          <cell r="E1567">
            <v>0</v>
          </cell>
          <cell r="F1567">
            <v>1150</v>
          </cell>
        </row>
        <row r="1568">
          <cell r="A1568" t="str">
            <v>71300000-30010000-18030000</v>
          </cell>
          <cell r="B1568" t="str">
            <v>GASTOS DE REPRESENTACION TRANS</v>
          </cell>
          <cell r="C1568">
            <v>3220</v>
          </cell>
          <cell r="D1568">
            <v>0</v>
          </cell>
          <cell r="E1568">
            <v>0</v>
          </cell>
          <cell r="F1568">
            <v>3220</v>
          </cell>
        </row>
        <row r="1569">
          <cell r="A1569" t="str">
            <v>71300000-30010000-18040000</v>
          </cell>
          <cell r="B1569" t="str">
            <v>GASTOS DE REPRESENTACION ALIME</v>
          </cell>
          <cell r="C1569">
            <v>4824.76</v>
          </cell>
          <cell r="D1569">
            <v>2920.69</v>
          </cell>
          <cell r="E1569">
            <v>0</v>
          </cell>
          <cell r="F1569">
            <v>7745.45</v>
          </cell>
        </row>
        <row r="1570">
          <cell r="A1570" t="str">
            <v>71300000-30010000-19030000</v>
          </cell>
          <cell r="B1570" t="str">
            <v>TELEFONOS CELULARES</v>
          </cell>
          <cell r="C1570">
            <v>2714.28</v>
          </cell>
          <cell r="D1570">
            <v>734.54</v>
          </cell>
          <cell r="E1570">
            <v>0</v>
          </cell>
          <cell r="F1570">
            <v>3448.82</v>
          </cell>
        </row>
        <row r="1571">
          <cell r="A1571" t="str">
            <v>71300000-30010000-19070000</v>
          </cell>
          <cell r="B1571" t="str">
            <v>MENSAJERIA ESPECIALIZADA</v>
          </cell>
          <cell r="C1571">
            <v>133.72</v>
          </cell>
          <cell r="D1571">
            <v>0</v>
          </cell>
          <cell r="E1571">
            <v>0</v>
          </cell>
          <cell r="F1571">
            <v>133.72</v>
          </cell>
        </row>
        <row r="1572">
          <cell r="A1572" t="str">
            <v>71300000-30010000-20010000</v>
          </cell>
          <cell r="B1572" t="str">
            <v>COMBUSTIBLE AUTOMOVILES</v>
          </cell>
          <cell r="C1572">
            <v>3787.46</v>
          </cell>
          <cell r="D1572">
            <v>2026.93</v>
          </cell>
          <cell r="E1572">
            <v>0</v>
          </cell>
          <cell r="F1572">
            <v>5814.39</v>
          </cell>
        </row>
        <row r="1573">
          <cell r="A1573" t="str">
            <v>71300000-30010000-23130000</v>
          </cell>
          <cell r="B1573" t="str">
            <v>OTROS IMPUESTOS Y DERECHOS</v>
          </cell>
          <cell r="C1573">
            <v>5444.99</v>
          </cell>
          <cell r="D1573">
            <v>1022.58</v>
          </cell>
          <cell r="E1573">
            <v>0</v>
          </cell>
          <cell r="F1573">
            <v>6467.57</v>
          </cell>
        </row>
        <row r="1574">
          <cell r="A1574" t="str">
            <v>71300000-30010000-35020000</v>
          </cell>
          <cell r="B1574" t="str">
            <v>DIVERSOS NO DEDUCIBLES</v>
          </cell>
          <cell r="C1574">
            <v>4518.5</v>
          </cell>
          <cell r="D1574">
            <v>772.5</v>
          </cell>
          <cell r="E1574">
            <v>0</v>
          </cell>
          <cell r="F1574">
            <v>5291</v>
          </cell>
        </row>
        <row r="1575">
          <cell r="A1575" t="str">
            <v>71300000-30010000-90030000</v>
          </cell>
          <cell r="B1575" t="str">
            <v>PROVISION AGUINALDO</v>
          </cell>
          <cell r="C1575">
            <v>2497.1999999999998</v>
          </cell>
          <cell r="D1575">
            <v>624.29999999999995</v>
          </cell>
          <cell r="E1575">
            <v>0</v>
          </cell>
          <cell r="F1575">
            <v>3121.5</v>
          </cell>
        </row>
        <row r="1576">
          <cell r="A1576" t="str">
            <v>71300000-30010000-90040000</v>
          </cell>
          <cell r="B1576" t="str">
            <v>BOLETIN D-3</v>
          </cell>
          <cell r="C1576">
            <v>117</v>
          </cell>
          <cell r="D1576">
            <v>29.25</v>
          </cell>
          <cell r="E1576">
            <v>0</v>
          </cell>
          <cell r="F1576">
            <v>146.25</v>
          </cell>
        </row>
        <row r="1577">
          <cell r="A1577" t="str">
            <v>71300000-30011000-00000000</v>
          </cell>
          <cell r="B1577" t="str">
            <v>COSTOS/GASTOS FIJOS CONURBADA</v>
          </cell>
          <cell r="C1577">
            <v>119698.88</v>
          </cell>
          <cell r="D1577">
            <v>60657.440000000002</v>
          </cell>
          <cell r="E1577">
            <v>0</v>
          </cell>
          <cell r="F1577">
            <v>180356.32</v>
          </cell>
        </row>
        <row r="1578">
          <cell r="A1578" t="str">
            <v>71300000-30011000-01010000</v>
          </cell>
          <cell r="B1578" t="str">
            <v>SUELDOS Y SALARIOS</v>
          </cell>
          <cell r="C1578">
            <v>32000.400000000001</v>
          </cell>
          <cell r="D1578">
            <v>8000.1</v>
          </cell>
          <cell r="E1578">
            <v>0</v>
          </cell>
          <cell r="F1578">
            <v>40000.5</v>
          </cell>
        </row>
        <row r="1579">
          <cell r="A1579" t="str">
            <v>71300000-30011000-01030000</v>
          </cell>
          <cell r="B1579" t="str">
            <v>GRATIFICACIONES</v>
          </cell>
          <cell r="C1579">
            <v>881.5</v>
          </cell>
          <cell r="D1579">
            <v>185.5</v>
          </cell>
          <cell r="E1579">
            <v>0</v>
          </cell>
          <cell r="F1579">
            <v>1067</v>
          </cell>
        </row>
        <row r="1580">
          <cell r="A1580" t="str">
            <v>71300000-30011000-03010000</v>
          </cell>
          <cell r="B1580" t="str">
            <v>FONDO DE AHORRO</v>
          </cell>
          <cell r="C1580">
            <v>2560</v>
          </cell>
          <cell r="D1580">
            <v>640</v>
          </cell>
          <cell r="E1580">
            <v>0</v>
          </cell>
          <cell r="F1580">
            <v>3200</v>
          </cell>
        </row>
        <row r="1581">
          <cell r="A1581" t="str">
            <v>71300000-30011000-03020000</v>
          </cell>
          <cell r="B1581" t="str">
            <v>CUOTAS AL I.M.S.S.</v>
          </cell>
          <cell r="C1581">
            <v>9834.41</v>
          </cell>
          <cell r="D1581">
            <v>2582.9</v>
          </cell>
          <cell r="E1581">
            <v>0</v>
          </cell>
          <cell r="F1581">
            <v>12417.31</v>
          </cell>
        </row>
        <row r="1582">
          <cell r="A1582" t="str">
            <v>71300000-30011000-03040000</v>
          </cell>
          <cell r="B1582" t="str">
            <v>DESPENSA EN VALES</v>
          </cell>
          <cell r="C1582">
            <v>960</v>
          </cell>
          <cell r="D1582">
            <v>320</v>
          </cell>
          <cell r="E1582">
            <v>0</v>
          </cell>
          <cell r="F1582">
            <v>1280</v>
          </cell>
        </row>
        <row r="1583">
          <cell r="A1583" t="str">
            <v>71300000-30011000-04010000</v>
          </cell>
          <cell r="B1583" t="str">
            <v>2.5% SOBRE NOMINAS</v>
          </cell>
          <cell r="C1583">
            <v>4135</v>
          </cell>
          <cell r="D1583">
            <v>541</v>
          </cell>
          <cell r="E1583">
            <v>0</v>
          </cell>
          <cell r="F1583">
            <v>4676</v>
          </cell>
        </row>
        <row r="1584">
          <cell r="A1584" t="str">
            <v>71300000-30011000-04020000</v>
          </cell>
          <cell r="B1584" t="str">
            <v>5% INFONAVIT</v>
          </cell>
          <cell r="C1584">
            <v>7094.51</v>
          </cell>
          <cell r="D1584">
            <v>1867.47</v>
          </cell>
          <cell r="E1584">
            <v>0</v>
          </cell>
          <cell r="F1584">
            <v>8961.98</v>
          </cell>
        </row>
        <row r="1585">
          <cell r="A1585" t="str">
            <v>71300000-30011000-04030000</v>
          </cell>
          <cell r="B1585" t="str">
            <v>2% S.A.R. / RETIRO</v>
          </cell>
          <cell r="C1585">
            <v>2837.8</v>
          </cell>
          <cell r="D1585">
            <v>746.99</v>
          </cell>
          <cell r="E1585">
            <v>0</v>
          </cell>
          <cell r="F1585">
            <v>3584.79</v>
          </cell>
        </row>
        <row r="1586">
          <cell r="A1586" t="str">
            <v>71300000-30011000-04040000</v>
          </cell>
          <cell r="B1586" t="str">
            <v>CESANTIA Y VEJEZ</v>
          </cell>
          <cell r="C1586">
            <v>4469.53</v>
          </cell>
          <cell r="D1586">
            <v>1176.51</v>
          </cell>
          <cell r="E1586">
            <v>0</v>
          </cell>
          <cell r="F1586">
            <v>5646.04</v>
          </cell>
        </row>
        <row r="1587">
          <cell r="A1587" t="str">
            <v>71300000-30011000-15010000</v>
          </cell>
          <cell r="B1587" t="str">
            <v>MANT. AUTOMOVILES</v>
          </cell>
          <cell r="C1587">
            <v>6580.52</v>
          </cell>
          <cell r="D1587">
            <v>327.58999999999997</v>
          </cell>
          <cell r="E1587">
            <v>0</v>
          </cell>
          <cell r="F1587">
            <v>6908.11</v>
          </cell>
        </row>
        <row r="1588">
          <cell r="A1588" t="str">
            <v>71300000-30011000-15090000</v>
          </cell>
          <cell r="B1588" t="str">
            <v>MANTTO A TIENDAS</v>
          </cell>
          <cell r="C1588">
            <v>0</v>
          </cell>
          <cell r="D1588">
            <v>35060</v>
          </cell>
          <cell r="E1588">
            <v>0</v>
          </cell>
          <cell r="F1588">
            <v>35060</v>
          </cell>
        </row>
        <row r="1589">
          <cell r="A1589" t="str">
            <v>71300000-30011000-16010000</v>
          </cell>
          <cell r="B1589" t="str">
            <v>PAPELERIA</v>
          </cell>
          <cell r="C1589">
            <v>140</v>
          </cell>
          <cell r="D1589">
            <v>0</v>
          </cell>
          <cell r="E1589">
            <v>0</v>
          </cell>
          <cell r="F1589">
            <v>140</v>
          </cell>
        </row>
        <row r="1590">
          <cell r="A1590" t="str">
            <v>71300000-30011000-18040000</v>
          </cell>
          <cell r="B1590" t="str">
            <v>GASTOS DE REPRESENTACION ALIME</v>
          </cell>
          <cell r="C1590">
            <v>10468.4</v>
          </cell>
          <cell r="D1590">
            <v>2141.2800000000002</v>
          </cell>
          <cell r="E1590">
            <v>0</v>
          </cell>
          <cell r="F1590">
            <v>12609.68</v>
          </cell>
        </row>
        <row r="1591">
          <cell r="A1591" t="str">
            <v>71300000-30011000-19030000</v>
          </cell>
          <cell r="B1591" t="str">
            <v>TELEFONOS CELULARES</v>
          </cell>
          <cell r="C1591">
            <v>2456.5500000000002</v>
          </cell>
          <cell r="D1591">
            <v>0</v>
          </cell>
          <cell r="E1591">
            <v>0</v>
          </cell>
          <cell r="F1591">
            <v>2456.5500000000002</v>
          </cell>
        </row>
        <row r="1592">
          <cell r="A1592" t="str">
            <v>71300000-30011000-20010000</v>
          </cell>
          <cell r="B1592" t="str">
            <v>COMBUSTIBLE AUTOMOVILES</v>
          </cell>
          <cell r="C1592">
            <v>22728.6</v>
          </cell>
          <cell r="D1592">
            <v>4548.84</v>
          </cell>
          <cell r="E1592">
            <v>0</v>
          </cell>
          <cell r="F1592">
            <v>27277.439999999999</v>
          </cell>
        </row>
        <row r="1593">
          <cell r="A1593" t="str">
            <v>71300000-30011000-23130000</v>
          </cell>
          <cell r="B1593" t="str">
            <v>OTROS IMPUESTOS Y DERECHOS</v>
          </cell>
          <cell r="C1593">
            <v>6540.34</v>
          </cell>
          <cell r="D1593">
            <v>1645.56</v>
          </cell>
          <cell r="E1593">
            <v>0</v>
          </cell>
          <cell r="F1593">
            <v>8185.9</v>
          </cell>
        </row>
        <row r="1594">
          <cell r="A1594" t="str">
            <v>71300000-30011000-35020000</v>
          </cell>
          <cell r="B1594" t="str">
            <v>DIVERSOS NO DEDUCIBLES</v>
          </cell>
          <cell r="C1594">
            <v>3316.52</v>
          </cell>
          <cell r="D1594">
            <v>200</v>
          </cell>
          <cell r="E1594">
            <v>0</v>
          </cell>
          <cell r="F1594">
            <v>3516.52</v>
          </cell>
        </row>
        <row r="1595">
          <cell r="A1595" t="str">
            <v>71300000-30011000-90030000</v>
          </cell>
          <cell r="B1595" t="str">
            <v>PROVISION AGUINALDO</v>
          </cell>
          <cell r="C1595">
            <v>2577.8000000000002</v>
          </cell>
          <cell r="D1595">
            <v>644.45000000000005</v>
          </cell>
          <cell r="E1595">
            <v>0</v>
          </cell>
          <cell r="F1595">
            <v>3222.25</v>
          </cell>
        </row>
        <row r="1596">
          <cell r="A1596" t="str">
            <v>71300000-30011000-90040000</v>
          </cell>
          <cell r="B1596" t="str">
            <v>BOLETIN D-3</v>
          </cell>
          <cell r="C1596">
            <v>117</v>
          </cell>
          <cell r="D1596">
            <v>29.25</v>
          </cell>
          <cell r="E1596">
            <v>0</v>
          </cell>
          <cell r="F1596">
            <v>146.25</v>
          </cell>
        </row>
        <row r="1597">
          <cell r="A1597" t="str">
            <v>71300000-30012000-00000000</v>
          </cell>
          <cell r="B1597" t="str">
            <v>COSTOS/GTOS LAB FIJOS PRECOR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</row>
        <row r="1598">
          <cell r="A1598" t="str">
            <v>71300000-30013000-00000000</v>
          </cell>
          <cell r="B1598" t="str">
            <v>COSTOS/GASTOS FIJOS CANCUN</v>
          </cell>
          <cell r="C1598">
            <v>263679.86</v>
          </cell>
          <cell r="D1598">
            <v>92020.66</v>
          </cell>
          <cell r="E1598">
            <v>0</v>
          </cell>
          <cell r="F1598">
            <v>355700.52</v>
          </cell>
        </row>
        <row r="1599">
          <cell r="A1599" t="str">
            <v>71300000-30013000-03040000</v>
          </cell>
          <cell r="B1599" t="str">
            <v>DESPENSAS EN VALES</v>
          </cell>
          <cell r="C1599">
            <v>360</v>
          </cell>
          <cell r="D1599">
            <v>0</v>
          </cell>
          <cell r="E1599">
            <v>0</v>
          </cell>
          <cell r="F1599">
            <v>360</v>
          </cell>
        </row>
        <row r="1600">
          <cell r="A1600" t="str">
            <v>71300000-30013000-05010000</v>
          </cell>
          <cell r="B1600" t="str">
            <v>SERV. PROFESIONALES EXTERNOS</v>
          </cell>
          <cell r="C1600">
            <v>36543.65</v>
          </cell>
          <cell r="D1600">
            <v>15720.72</v>
          </cell>
          <cell r="E1600">
            <v>0</v>
          </cell>
          <cell r="F1600">
            <v>52264.37</v>
          </cell>
        </row>
        <row r="1601">
          <cell r="A1601" t="str">
            <v>71300000-30013000-13030000</v>
          </cell>
          <cell r="B1601" t="str">
            <v>ARRENDAMIENTO INMUEBLES SOCIED</v>
          </cell>
          <cell r="C1601">
            <v>80400</v>
          </cell>
          <cell r="D1601">
            <v>48648.65</v>
          </cell>
          <cell r="E1601">
            <v>0</v>
          </cell>
          <cell r="F1601">
            <v>129048.65</v>
          </cell>
        </row>
        <row r="1602">
          <cell r="A1602" t="str">
            <v>71300000-30013000-15010000</v>
          </cell>
          <cell r="B1602" t="str">
            <v>MANT. AUTOMOVILES</v>
          </cell>
          <cell r="C1602">
            <v>2932.12</v>
          </cell>
          <cell r="D1602">
            <v>0</v>
          </cell>
          <cell r="E1602">
            <v>0</v>
          </cell>
          <cell r="F1602">
            <v>2932.12</v>
          </cell>
        </row>
        <row r="1603">
          <cell r="A1603" t="str">
            <v>71300000-30013000-15090000</v>
          </cell>
          <cell r="B1603" t="str">
            <v>MANTTO A TIENDAS</v>
          </cell>
          <cell r="C1603">
            <v>35969</v>
          </cell>
          <cell r="D1603">
            <v>1000</v>
          </cell>
          <cell r="E1603">
            <v>0</v>
          </cell>
          <cell r="F1603">
            <v>36969</v>
          </cell>
        </row>
        <row r="1604">
          <cell r="A1604" t="str">
            <v>71300000-30013000-16010000</v>
          </cell>
          <cell r="B1604" t="str">
            <v>PAPELERIA</v>
          </cell>
          <cell r="C1604">
            <v>1714.68</v>
          </cell>
          <cell r="D1604">
            <v>810.03</v>
          </cell>
          <cell r="E1604">
            <v>0</v>
          </cell>
          <cell r="F1604">
            <v>2524.71</v>
          </cell>
        </row>
        <row r="1605">
          <cell r="A1605" t="str">
            <v>71300000-30013000-17010000</v>
          </cell>
          <cell r="B1605" t="str">
            <v>ENERGIA ELECTRICA</v>
          </cell>
          <cell r="C1605">
            <v>388.29</v>
          </cell>
          <cell r="D1605">
            <v>0</v>
          </cell>
          <cell r="E1605">
            <v>0</v>
          </cell>
          <cell r="F1605">
            <v>388.29</v>
          </cell>
        </row>
        <row r="1606">
          <cell r="A1606" t="str">
            <v>71300000-30013000-18020000</v>
          </cell>
          <cell r="B1606" t="str">
            <v>PASAJES Y TRANSPORTES LOCALES</v>
          </cell>
          <cell r="C1606">
            <v>0</v>
          </cell>
          <cell r="D1606">
            <v>368</v>
          </cell>
          <cell r="E1606">
            <v>0</v>
          </cell>
          <cell r="F1606">
            <v>368</v>
          </cell>
        </row>
        <row r="1607">
          <cell r="A1607" t="str">
            <v>71300000-30013000-18030000</v>
          </cell>
          <cell r="B1607" t="str">
            <v>GASTOS DE REPRESENTACION TRANS</v>
          </cell>
          <cell r="C1607">
            <v>4169.6499999999996</v>
          </cell>
          <cell r="D1607">
            <v>5166</v>
          </cell>
          <cell r="E1607">
            <v>0</v>
          </cell>
          <cell r="F1607">
            <v>9335.65</v>
          </cell>
        </row>
        <row r="1608">
          <cell r="A1608" t="str">
            <v>71300000-30013000-18040000</v>
          </cell>
          <cell r="B1608" t="str">
            <v>GASTOS DE REPRESENTACION ALIME</v>
          </cell>
          <cell r="C1608">
            <v>5989.09</v>
          </cell>
          <cell r="D1608">
            <v>191.38</v>
          </cell>
          <cell r="E1608">
            <v>0</v>
          </cell>
          <cell r="F1608">
            <v>6180.47</v>
          </cell>
        </row>
        <row r="1609">
          <cell r="A1609" t="str">
            <v>71300000-30013000-19030000</v>
          </cell>
          <cell r="B1609" t="str">
            <v>TELEFONOS CELULARES</v>
          </cell>
          <cell r="C1609">
            <v>3677.89</v>
          </cell>
          <cell r="D1609">
            <v>1161.71</v>
          </cell>
          <cell r="E1609">
            <v>0</v>
          </cell>
          <cell r="F1609">
            <v>4839.6000000000004</v>
          </cell>
        </row>
        <row r="1610">
          <cell r="A1610" t="str">
            <v>71300000-30013000-19070000</v>
          </cell>
          <cell r="B1610" t="str">
            <v>MENSAJERIA ESPECIALIZADA</v>
          </cell>
          <cell r="C1610">
            <v>1171.26</v>
          </cell>
          <cell r="D1610">
            <v>0</v>
          </cell>
          <cell r="E1610">
            <v>0</v>
          </cell>
          <cell r="F1610">
            <v>1171.26</v>
          </cell>
        </row>
        <row r="1611">
          <cell r="A1611" t="str">
            <v>71300000-30013000-20010000</v>
          </cell>
          <cell r="B1611" t="str">
            <v>COMBUSTIBLE AUTOMOVILES</v>
          </cell>
          <cell r="C1611">
            <v>4865.57</v>
          </cell>
          <cell r="D1611">
            <v>1087.8800000000001</v>
          </cell>
          <cell r="E1611">
            <v>0</v>
          </cell>
          <cell r="F1611">
            <v>5953.45</v>
          </cell>
        </row>
        <row r="1612">
          <cell r="A1612" t="str">
            <v>71300000-30013000-23010000</v>
          </cell>
          <cell r="B1612" t="str">
            <v>RECOLECCION DE BASURA</v>
          </cell>
          <cell r="C1612">
            <v>6040</v>
          </cell>
          <cell r="D1612">
            <v>0</v>
          </cell>
          <cell r="E1612">
            <v>0</v>
          </cell>
          <cell r="F1612">
            <v>6040</v>
          </cell>
        </row>
        <row r="1613">
          <cell r="A1613" t="str">
            <v>71300000-30013000-23120000</v>
          </cell>
          <cell r="B1613" t="str">
            <v>DIVERSOS</v>
          </cell>
          <cell r="C1613">
            <v>9667.2800000000007</v>
          </cell>
          <cell r="D1613">
            <v>2240</v>
          </cell>
          <cell r="E1613">
            <v>0</v>
          </cell>
          <cell r="F1613">
            <v>11907.28</v>
          </cell>
        </row>
        <row r="1614">
          <cell r="A1614" t="str">
            <v>71300000-30013000-23130000</v>
          </cell>
          <cell r="B1614" t="str">
            <v>OTROS IMPUESTOS Y DERECHOS</v>
          </cell>
          <cell r="C1614">
            <v>3273.56</v>
          </cell>
          <cell r="D1614">
            <v>584.95000000000005</v>
          </cell>
          <cell r="E1614">
            <v>0</v>
          </cell>
          <cell r="F1614">
            <v>3858.51</v>
          </cell>
        </row>
        <row r="1615">
          <cell r="A1615" t="str">
            <v>71300000-30013000-23140000</v>
          </cell>
          <cell r="B1615" t="str">
            <v>FLETES Y ACARREOS</v>
          </cell>
          <cell r="C1615">
            <v>63096.06</v>
          </cell>
          <cell r="D1615">
            <v>14341.34</v>
          </cell>
          <cell r="E1615">
            <v>0</v>
          </cell>
          <cell r="F1615">
            <v>77437.399999999994</v>
          </cell>
        </row>
        <row r="1616">
          <cell r="A1616" t="str">
            <v>71300000-30013000-23150000</v>
          </cell>
          <cell r="B1616" t="str">
            <v>ASEO LIMPIEZA E IMPLEMENTOS</v>
          </cell>
          <cell r="C1616">
            <v>260.76</v>
          </cell>
          <cell r="D1616">
            <v>0</v>
          </cell>
          <cell r="E1616">
            <v>0</v>
          </cell>
          <cell r="F1616">
            <v>260.76</v>
          </cell>
        </row>
        <row r="1617">
          <cell r="A1617" t="str">
            <v>71300000-30013000-35020000</v>
          </cell>
          <cell r="B1617" t="str">
            <v>DIVERSOS NO DEDUCIBLES</v>
          </cell>
          <cell r="C1617">
            <v>3161</v>
          </cell>
          <cell r="D1617">
            <v>700</v>
          </cell>
          <cell r="E1617">
            <v>0</v>
          </cell>
          <cell r="F1617">
            <v>3861</v>
          </cell>
        </row>
        <row r="1618">
          <cell r="A1618" t="str">
            <v>71300000-30014000-00000000</v>
          </cell>
          <cell r="B1618" t="str">
            <v>COSTOS/GASTOS FIJOS G. FORANEA</v>
          </cell>
          <cell r="C1618">
            <v>814.8</v>
          </cell>
          <cell r="D1618">
            <v>0</v>
          </cell>
          <cell r="E1618">
            <v>0</v>
          </cell>
          <cell r="F1618">
            <v>814.8</v>
          </cell>
        </row>
        <row r="1619">
          <cell r="A1619" t="str">
            <v>71300000-30014000-05010000</v>
          </cell>
          <cell r="B1619" t="str">
            <v>SERV. PROFESIONALES EXTERNOS</v>
          </cell>
          <cell r="C1619">
            <v>814.8</v>
          </cell>
          <cell r="D1619">
            <v>0</v>
          </cell>
          <cell r="E1619">
            <v>0</v>
          </cell>
          <cell r="F1619">
            <v>814.8</v>
          </cell>
        </row>
        <row r="1620">
          <cell r="A1620" t="str">
            <v>71300000-30015000-00000000</v>
          </cell>
          <cell r="B1620" t="str">
            <v>COSTOS/GASTOS FIJOS T AGRICULT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</row>
        <row r="1621">
          <cell r="A1621" t="str">
            <v>71300000-30016000-00000000</v>
          </cell>
          <cell r="B1621" t="str">
            <v>COSTOS/GASTOS FIJOS T IZTAPALA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</row>
        <row r="1622">
          <cell r="A1622" t="str">
            <v>71300000-30017000-00000000</v>
          </cell>
          <cell r="B1622" t="str">
            <v>COSTOS/GASTOS FIJOS T JALISCO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</row>
        <row r="1623">
          <cell r="A1623" t="str">
            <v>71300000-30018000-00000000</v>
          </cell>
          <cell r="B1623" t="str">
            <v>COSTOS/GASTOS FIJOS T ACOXPA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</row>
        <row r="1624">
          <cell r="A1624" t="str">
            <v>71300000-30019000-00000000</v>
          </cell>
          <cell r="B1624" t="str">
            <v>COSTOS/GASTOS FIJOS T DIV NTE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</row>
        <row r="1625">
          <cell r="A1625" t="str">
            <v>71300000-30020000-00000000</v>
          </cell>
          <cell r="B1625" t="str">
            <v>COSTOS/GASTOS FIJOS T PORTALES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</row>
        <row r="1626">
          <cell r="A1626" t="str">
            <v>71300000-30021000-00000000</v>
          </cell>
          <cell r="B1626" t="str">
            <v>COSTOS/GASTOS FIJOS T CUAJIMAL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</row>
        <row r="1627">
          <cell r="A1627" t="str">
            <v>71300000-30022000-00000000</v>
          </cell>
          <cell r="B1627" t="str">
            <v>COSTOS/GASTOS FIJOS T ECATEPEC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</row>
        <row r="1628">
          <cell r="A1628" t="str">
            <v>71300000-30023000-00000000</v>
          </cell>
          <cell r="B1628" t="str">
            <v>COSTOS/GASTOS FIJOS COACALCO 1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</row>
        <row r="1629">
          <cell r="A1629" t="str">
            <v>71300000-30024000-00000000</v>
          </cell>
          <cell r="B1629" t="str">
            <v>COSTOS/GASTOS FIJOS COACALCO 2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</row>
        <row r="1630">
          <cell r="A1630" t="str">
            <v>71300000-30025000-00000000</v>
          </cell>
          <cell r="B1630" t="str">
            <v>COSTOS/GASTOS FIJOS OCCIDENT 2</v>
          </cell>
          <cell r="C1630">
            <v>84009.85</v>
          </cell>
          <cell r="D1630">
            <v>12306.8</v>
          </cell>
          <cell r="E1630">
            <v>0</v>
          </cell>
          <cell r="F1630">
            <v>96316.65</v>
          </cell>
        </row>
        <row r="1631">
          <cell r="A1631" t="str">
            <v>71300000-30025000-05010000</v>
          </cell>
          <cell r="B1631" t="str">
            <v>SERV. PROFESIONALES EXTERNOS</v>
          </cell>
          <cell r="C1631">
            <v>32880.639999999999</v>
          </cell>
          <cell r="D1631">
            <v>4962.1400000000003</v>
          </cell>
          <cell r="E1631">
            <v>0</v>
          </cell>
          <cell r="F1631">
            <v>37842.78</v>
          </cell>
        </row>
        <row r="1632">
          <cell r="A1632" t="str">
            <v>71300000-30025000-12010000</v>
          </cell>
          <cell r="B1632" t="str">
            <v>ARREND. AUTOMOVILES</v>
          </cell>
          <cell r="C1632">
            <v>8214.76</v>
          </cell>
          <cell r="D1632">
            <v>2053.69</v>
          </cell>
          <cell r="E1632">
            <v>0</v>
          </cell>
          <cell r="F1632">
            <v>10268.450000000001</v>
          </cell>
        </row>
        <row r="1633">
          <cell r="A1633" t="str">
            <v>71300000-30025000-15010000</v>
          </cell>
          <cell r="B1633" t="str">
            <v>MANT. AUTOMOVILES</v>
          </cell>
          <cell r="C1633">
            <v>7257.88</v>
          </cell>
          <cell r="D1633">
            <v>0</v>
          </cell>
          <cell r="E1633">
            <v>0</v>
          </cell>
          <cell r="F1633">
            <v>7257.88</v>
          </cell>
        </row>
        <row r="1634">
          <cell r="A1634" t="str">
            <v>71300000-30025000-16010000</v>
          </cell>
          <cell r="B1634" t="str">
            <v>PAPELERIA</v>
          </cell>
          <cell r="C1634">
            <v>140</v>
          </cell>
          <cell r="D1634">
            <v>0</v>
          </cell>
          <cell r="E1634">
            <v>0</v>
          </cell>
          <cell r="F1634">
            <v>140</v>
          </cell>
        </row>
        <row r="1635">
          <cell r="A1635" t="str">
            <v>71300000-30025000-18020000</v>
          </cell>
          <cell r="B1635" t="str">
            <v>PASAJES Y TRANSPORTES LOCALES</v>
          </cell>
          <cell r="C1635">
            <v>627</v>
          </cell>
          <cell r="D1635">
            <v>0</v>
          </cell>
          <cell r="E1635">
            <v>0</v>
          </cell>
          <cell r="F1635">
            <v>627</v>
          </cell>
        </row>
        <row r="1636">
          <cell r="A1636" t="str">
            <v>71300000-30025000-18030000</v>
          </cell>
          <cell r="B1636" t="str">
            <v>GASTOS DE REPRESENTACION TRANS</v>
          </cell>
          <cell r="C1636">
            <v>2292</v>
          </cell>
          <cell r="D1636">
            <v>0</v>
          </cell>
          <cell r="E1636">
            <v>0</v>
          </cell>
          <cell r="F1636">
            <v>2292</v>
          </cell>
        </row>
        <row r="1637">
          <cell r="A1637" t="str">
            <v>71300000-30025000-18040000</v>
          </cell>
          <cell r="B1637" t="str">
            <v>GASTOS DE REPRESENTACION ALIME</v>
          </cell>
          <cell r="C1637">
            <v>8264.09</v>
          </cell>
          <cell r="D1637">
            <v>327.08</v>
          </cell>
          <cell r="E1637">
            <v>0</v>
          </cell>
          <cell r="F1637">
            <v>8591.17</v>
          </cell>
        </row>
        <row r="1638">
          <cell r="A1638" t="str">
            <v>71300000-30025000-19030000</v>
          </cell>
          <cell r="B1638" t="str">
            <v>TELEFONOS CELULARES</v>
          </cell>
          <cell r="C1638">
            <v>2675.38</v>
          </cell>
          <cell r="D1638">
            <v>663.38</v>
          </cell>
          <cell r="E1638">
            <v>0</v>
          </cell>
          <cell r="F1638">
            <v>3338.76</v>
          </cell>
        </row>
        <row r="1639">
          <cell r="A1639" t="str">
            <v>71300000-30025000-19070000</v>
          </cell>
          <cell r="B1639" t="str">
            <v>MENSAJERIA ESPECIALIZADA</v>
          </cell>
          <cell r="C1639">
            <v>1045.19</v>
          </cell>
          <cell r="D1639">
            <v>133.69</v>
          </cell>
          <cell r="E1639">
            <v>0</v>
          </cell>
          <cell r="F1639">
            <v>1178.8800000000001</v>
          </cell>
        </row>
        <row r="1640">
          <cell r="A1640" t="str">
            <v>71300000-30025000-20010000</v>
          </cell>
          <cell r="B1640" t="str">
            <v>COMBUSTIBLE AUTOMOVILES</v>
          </cell>
          <cell r="C1640">
            <v>10230.33</v>
          </cell>
          <cell r="D1640">
            <v>2780.71</v>
          </cell>
          <cell r="E1640">
            <v>0</v>
          </cell>
          <cell r="F1640">
            <v>13011.04</v>
          </cell>
        </row>
        <row r="1641">
          <cell r="A1641" t="str">
            <v>71300000-30025000-23120000</v>
          </cell>
          <cell r="B1641" t="str">
            <v>DIVERSOS</v>
          </cell>
          <cell r="C1641">
            <v>48.15</v>
          </cell>
          <cell r="D1641">
            <v>0</v>
          </cell>
          <cell r="E1641">
            <v>0</v>
          </cell>
          <cell r="F1641">
            <v>48.15</v>
          </cell>
        </row>
        <row r="1642">
          <cell r="A1642" t="str">
            <v>71300000-30025000-23130000</v>
          </cell>
          <cell r="B1642" t="str">
            <v>OTROS IMPUESTOS Y DERECHOS</v>
          </cell>
          <cell r="C1642">
            <v>5533.93</v>
          </cell>
          <cell r="D1642">
            <v>736.11</v>
          </cell>
          <cell r="E1642">
            <v>0</v>
          </cell>
          <cell r="F1642">
            <v>6270.04</v>
          </cell>
        </row>
        <row r="1643">
          <cell r="A1643" t="str">
            <v>71300000-30025000-35020000</v>
          </cell>
          <cell r="B1643" t="str">
            <v>DIVERSOS NO DEDUCIBLES</v>
          </cell>
          <cell r="C1643">
            <v>4800.5</v>
          </cell>
          <cell r="D1643">
            <v>650</v>
          </cell>
          <cell r="E1643">
            <v>0</v>
          </cell>
          <cell r="F1643">
            <v>5450.5</v>
          </cell>
        </row>
        <row r="1644">
          <cell r="A1644" t="str">
            <v>71300000-30026000-00000000</v>
          </cell>
          <cell r="B1644" t="str">
            <v>COSTOS/GASTOS FIJOS DF 2</v>
          </cell>
          <cell r="C1644">
            <v>66475.39</v>
          </cell>
          <cell r="D1644">
            <v>20257.52</v>
          </cell>
          <cell r="E1644">
            <v>0</v>
          </cell>
          <cell r="F1644">
            <v>86732.91</v>
          </cell>
        </row>
        <row r="1645">
          <cell r="A1645" t="str">
            <v>71300000-30026000-05010000</v>
          </cell>
          <cell r="B1645" t="str">
            <v>SERV. PROFESIONALES EXTERNOS</v>
          </cell>
          <cell r="C1645">
            <v>41519.06</v>
          </cell>
          <cell r="D1645">
            <v>17324.14</v>
          </cell>
          <cell r="E1645">
            <v>0</v>
          </cell>
          <cell r="F1645">
            <v>58843.199999999997</v>
          </cell>
        </row>
        <row r="1646">
          <cell r="A1646" t="str">
            <v>71300000-30026000-12010000</v>
          </cell>
          <cell r="B1646" t="str">
            <v>ARREND. AUTOMOVILES</v>
          </cell>
          <cell r="C1646">
            <v>8214.8799999999992</v>
          </cell>
          <cell r="D1646">
            <v>2053.7199999999998</v>
          </cell>
          <cell r="E1646">
            <v>0</v>
          </cell>
          <cell r="F1646">
            <v>10268.6</v>
          </cell>
        </row>
        <row r="1647">
          <cell r="A1647" t="str">
            <v>71300000-30026000-15010000</v>
          </cell>
          <cell r="B1647" t="str">
            <v>MANT. AUTOMOVILES</v>
          </cell>
          <cell r="C1647">
            <v>8224.34</v>
          </cell>
          <cell r="D1647">
            <v>0</v>
          </cell>
          <cell r="E1647">
            <v>0</v>
          </cell>
          <cell r="F1647">
            <v>8224.34</v>
          </cell>
        </row>
        <row r="1648">
          <cell r="A1648" t="str">
            <v>71300000-30026000-19030000</v>
          </cell>
          <cell r="B1648" t="str">
            <v>TELEFONOS CELULARES</v>
          </cell>
          <cell r="C1648">
            <v>1452.34</v>
          </cell>
          <cell r="D1648">
            <v>0</v>
          </cell>
          <cell r="E1648">
            <v>0</v>
          </cell>
          <cell r="F1648">
            <v>1452.34</v>
          </cell>
        </row>
        <row r="1649">
          <cell r="A1649" t="str">
            <v>71300000-30026000-20010000</v>
          </cell>
          <cell r="B1649" t="str">
            <v>COMBUSTIBLE AUTOMOVILES</v>
          </cell>
          <cell r="C1649">
            <v>4847.7700000000004</v>
          </cell>
          <cell r="D1649">
            <v>879.66</v>
          </cell>
          <cell r="E1649">
            <v>0</v>
          </cell>
          <cell r="F1649">
            <v>5727.43</v>
          </cell>
        </row>
        <row r="1650">
          <cell r="A1650" t="str">
            <v>71300000-30026000-23130000</v>
          </cell>
          <cell r="B1650" t="str">
            <v>OTROS IMPUESTOS Y DERECHOS</v>
          </cell>
          <cell r="C1650">
            <v>2217</v>
          </cell>
          <cell r="D1650">
            <v>0</v>
          </cell>
          <cell r="E1650">
            <v>0</v>
          </cell>
          <cell r="F1650">
            <v>2217</v>
          </cell>
        </row>
        <row r="1651">
          <cell r="A1651" t="str">
            <v>71300000-30027000-00000000</v>
          </cell>
          <cell r="B1651" t="str">
            <v>COSTOS/GASTOS FIJOS DF 3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</row>
        <row r="1652">
          <cell r="A1652" t="str">
            <v>71300000-30028000-00000000</v>
          </cell>
          <cell r="B1652" t="str">
            <v>COSTOS/GASTOS FIJOS DF 4</v>
          </cell>
          <cell r="C1652">
            <v>74046.039999999994</v>
          </cell>
          <cell r="D1652">
            <v>13179.07</v>
          </cell>
          <cell r="E1652">
            <v>0</v>
          </cell>
          <cell r="F1652">
            <v>87225.11</v>
          </cell>
        </row>
        <row r="1653">
          <cell r="A1653" t="str">
            <v>71300000-30028000-01010000</v>
          </cell>
          <cell r="B1653" t="str">
            <v>SUELDO Y SALARIOS</v>
          </cell>
          <cell r="C1653">
            <v>24781.05</v>
          </cell>
          <cell r="D1653">
            <v>6600</v>
          </cell>
          <cell r="E1653">
            <v>0</v>
          </cell>
          <cell r="F1653">
            <v>31381.05</v>
          </cell>
        </row>
        <row r="1654">
          <cell r="A1654" t="str">
            <v>71300000-30028000-01030000</v>
          </cell>
          <cell r="B1654" t="str">
            <v>GRATIFICACIONES</v>
          </cell>
          <cell r="C1654">
            <v>1664.5</v>
          </cell>
          <cell r="D1654">
            <v>424</v>
          </cell>
          <cell r="E1654">
            <v>0</v>
          </cell>
          <cell r="F1654">
            <v>2088.5</v>
          </cell>
        </row>
        <row r="1655">
          <cell r="A1655" t="str">
            <v>71300000-30028000-01040000</v>
          </cell>
          <cell r="B1655" t="str">
            <v>VACACIONES</v>
          </cell>
          <cell r="C1655">
            <v>440</v>
          </cell>
          <cell r="D1655">
            <v>0</v>
          </cell>
          <cell r="E1655">
            <v>0</v>
          </cell>
          <cell r="F1655">
            <v>440</v>
          </cell>
        </row>
        <row r="1656">
          <cell r="A1656" t="str">
            <v>71300000-30028000-01050000</v>
          </cell>
          <cell r="B1656" t="str">
            <v>PRIMA VACACIONAL</v>
          </cell>
          <cell r="C1656">
            <v>286</v>
          </cell>
          <cell r="D1656">
            <v>0</v>
          </cell>
          <cell r="E1656">
            <v>0</v>
          </cell>
          <cell r="F1656">
            <v>286</v>
          </cell>
        </row>
        <row r="1657">
          <cell r="A1657" t="str">
            <v>71300000-30028000-03010000</v>
          </cell>
          <cell r="B1657" t="str">
            <v>FONDO DE AHORRO</v>
          </cell>
          <cell r="C1657">
            <v>1982.48</v>
          </cell>
          <cell r="D1657">
            <v>528</v>
          </cell>
          <cell r="E1657">
            <v>0</v>
          </cell>
          <cell r="F1657">
            <v>2510.48</v>
          </cell>
        </row>
        <row r="1658">
          <cell r="A1658" t="str">
            <v>71300000-30028000-03020000</v>
          </cell>
          <cell r="B1658" t="str">
            <v>CUOTAS AL I.M.S.S.</v>
          </cell>
          <cell r="C1658">
            <v>6457.47</v>
          </cell>
          <cell r="D1658">
            <v>940.95</v>
          </cell>
          <cell r="E1658">
            <v>0</v>
          </cell>
          <cell r="F1658">
            <v>7398.42</v>
          </cell>
        </row>
        <row r="1659">
          <cell r="A1659" t="str">
            <v>71300000-30028000-03040000</v>
          </cell>
          <cell r="B1659" t="str">
            <v>DESPENSA EN VALES</v>
          </cell>
          <cell r="C1659">
            <v>1040</v>
          </cell>
          <cell r="D1659">
            <v>264</v>
          </cell>
          <cell r="E1659">
            <v>0</v>
          </cell>
          <cell r="F1659">
            <v>1304</v>
          </cell>
        </row>
        <row r="1660">
          <cell r="A1660" t="str">
            <v>71300000-30028000-04010000</v>
          </cell>
          <cell r="B1660" t="str">
            <v>2.5% SOBRE NOMINAS</v>
          </cell>
          <cell r="C1660">
            <v>1833</v>
          </cell>
          <cell r="D1660">
            <v>339</v>
          </cell>
          <cell r="E1660">
            <v>0</v>
          </cell>
          <cell r="F1660">
            <v>2172</v>
          </cell>
        </row>
        <row r="1661">
          <cell r="A1661" t="str">
            <v>71300000-30028000-04020000</v>
          </cell>
          <cell r="B1661" t="str">
            <v>5% INFONAVIT</v>
          </cell>
          <cell r="C1661">
            <v>4326.54</v>
          </cell>
          <cell r="D1661">
            <v>521.61</v>
          </cell>
          <cell r="E1661">
            <v>0</v>
          </cell>
          <cell r="F1661">
            <v>4848.1499999999996</v>
          </cell>
        </row>
        <row r="1662">
          <cell r="A1662" t="str">
            <v>71300000-30028000-04030000</v>
          </cell>
          <cell r="B1662" t="str">
            <v>2% S.A.R. / RETIRO</v>
          </cell>
          <cell r="C1662">
            <v>1730.61</v>
          </cell>
          <cell r="D1662">
            <v>208.64</v>
          </cell>
          <cell r="E1662">
            <v>0</v>
          </cell>
          <cell r="F1662">
            <v>1939.25</v>
          </cell>
        </row>
        <row r="1663">
          <cell r="A1663" t="str">
            <v>71300000-30028000-04040000</v>
          </cell>
          <cell r="B1663" t="str">
            <v>CESANTIA Y VEJEZ</v>
          </cell>
          <cell r="C1663">
            <v>2725.71</v>
          </cell>
          <cell r="D1663">
            <v>328.61</v>
          </cell>
          <cell r="E1663">
            <v>0</v>
          </cell>
          <cell r="F1663">
            <v>3054.32</v>
          </cell>
        </row>
        <row r="1664">
          <cell r="A1664" t="str">
            <v>71300000-30028000-15010000</v>
          </cell>
          <cell r="B1664" t="str">
            <v>MANT. AUTOMOVILES</v>
          </cell>
          <cell r="C1664">
            <v>5413.62</v>
          </cell>
          <cell r="D1664">
            <v>247.42</v>
          </cell>
          <cell r="E1664">
            <v>0</v>
          </cell>
          <cell r="F1664">
            <v>5661.04</v>
          </cell>
        </row>
        <row r="1665">
          <cell r="A1665" t="str">
            <v>71300000-30028000-15090000</v>
          </cell>
          <cell r="B1665" t="str">
            <v>MANTTO A TIENDAS</v>
          </cell>
          <cell r="C1665">
            <v>12265.51</v>
          </cell>
          <cell r="D1665">
            <v>0</v>
          </cell>
          <cell r="E1665">
            <v>0</v>
          </cell>
          <cell r="F1665">
            <v>12265.51</v>
          </cell>
        </row>
        <row r="1666">
          <cell r="A1666" t="str">
            <v>71300000-30028000-19030000</v>
          </cell>
          <cell r="B1666" t="str">
            <v>TELEFONOS CELULARES</v>
          </cell>
          <cell r="C1666">
            <v>1306.48</v>
          </cell>
          <cell r="D1666">
            <v>514.55999999999995</v>
          </cell>
          <cell r="E1666">
            <v>0</v>
          </cell>
          <cell r="F1666">
            <v>1821.04</v>
          </cell>
        </row>
        <row r="1667">
          <cell r="A1667" t="str">
            <v>71300000-30028000-20010000</v>
          </cell>
          <cell r="B1667" t="str">
            <v>COMBUSTIBLE AUTOMOVILES</v>
          </cell>
          <cell r="C1667">
            <v>5118.3900000000003</v>
          </cell>
          <cell r="D1667">
            <v>1672.11</v>
          </cell>
          <cell r="E1667">
            <v>0</v>
          </cell>
          <cell r="F1667">
            <v>6790.5</v>
          </cell>
        </row>
        <row r="1668">
          <cell r="A1668" t="str">
            <v>71300000-30028000-35020000</v>
          </cell>
          <cell r="B1668" t="str">
            <v>DIVERSOS NO DEDUCIBLES</v>
          </cell>
          <cell r="C1668">
            <v>314</v>
          </cell>
          <cell r="D1668">
            <v>0</v>
          </cell>
          <cell r="E1668">
            <v>0</v>
          </cell>
          <cell r="F1668">
            <v>314</v>
          </cell>
        </row>
        <row r="1669">
          <cell r="A1669" t="str">
            <v>71300000-30028000-90030000</v>
          </cell>
          <cell r="B1669" t="str">
            <v>PROVISION AGUINALDO</v>
          </cell>
          <cell r="C1669">
            <v>2126.6799999999998</v>
          </cell>
          <cell r="D1669">
            <v>531.66999999999996</v>
          </cell>
          <cell r="E1669">
            <v>0</v>
          </cell>
          <cell r="F1669">
            <v>2658.35</v>
          </cell>
        </row>
        <row r="1670">
          <cell r="A1670" t="str">
            <v>71300000-30028000-90040000</v>
          </cell>
          <cell r="B1670" t="str">
            <v>BOLETIN D-3</v>
          </cell>
          <cell r="C1670">
            <v>234</v>
          </cell>
          <cell r="D1670">
            <v>58.5</v>
          </cell>
          <cell r="E1670">
            <v>0</v>
          </cell>
          <cell r="F1670">
            <v>292.5</v>
          </cell>
        </row>
        <row r="1671">
          <cell r="A1671" t="str">
            <v>71300000-30029000-00000000</v>
          </cell>
          <cell r="B1671" t="str">
            <v>COSTOS/GASTOS FIJOS DF 5</v>
          </cell>
          <cell r="C1671">
            <v>42163.47</v>
          </cell>
          <cell r="D1671">
            <v>8140.9</v>
          </cell>
          <cell r="E1671">
            <v>0</v>
          </cell>
          <cell r="F1671">
            <v>50304.37</v>
          </cell>
        </row>
        <row r="1672">
          <cell r="A1672" t="str">
            <v>71300000-30029000-05010000</v>
          </cell>
          <cell r="B1672" t="str">
            <v>SERV. PROFESIONALES EXTERNOS</v>
          </cell>
          <cell r="C1672">
            <v>32912.15</v>
          </cell>
          <cell r="D1672">
            <v>6785.88</v>
          </cell>
          <cell r="E1672">
            <v>0</v>
          </cell>
          <cell r="F1672">
            <v>39698.03</v>
          </cell>
        </row>
        <row r="1673">
          <cell r="A1673" t="str">
            <v>71300000-30029000-15010000</v>
          </cell>
          <cell r="B1673" t="str">
            <v>MANT. AUTOMOVILES</v>
          </cell>
          <cell r="C1673">
            <v>1637.93</v>
          </cell>
          <cell r="D1673">
            <v>0</v>
          </cell>
          <cell r="E1673">
            <v>0</v>
          </cell>
          <cell r="F1673">
            <v>1637.93</v>
          </cell>
        </row>
        <row r="1674">
          <cell r="A1674" t="str">
            <v>71300000-30029000-16010000</v>
          </cell>
          <cell r="B1674" t="str">
            <v>PAPELERIA</v>
          </cell>
          <cell r="C1674">
            <v>70</v>
          </cell>
          <cell r="D1674">
            <v>0</v>
          </cell>
          <cell r="E1674">
            <v>0</v>
          </cell>
          <cell r="F1674">
            <v>70</v>
          </cell>
        </row>
        <row r="1675">
          <cell r="A1675" t="str">
            <v>71300000-30029000-19030000</v>
          </cell>
          <cell r="B1675" t="str">
            <v>TELEFONOS CELULARES</v>
          </cell>
          <cell r="C1675">
            <v>1135.97</v>
          </cell>
          <cell r="D1675">
            <v>0</v>
          </cell>
          <cell r="E1675">
            <v>0</v>
          </cell>
          <cell r="F1675">
            <v>1135.97</v>
          </cell>
        </row>
        <row r="1676">
          <cell r="A1676" t="str">
            <v>71300000-30029000-20010000</v>
          </cell>
          <cell r="B1676" t="str">
            <v>COMBUSTIBLE AUTOMOVILES</v>
          </cell>
          <cell r="C1676">
            <v>4190.42</v>
          </cell>
          <cell r="D1676">
            <v>1355.02</v>
          </cell>
          <cell r="E1676">
            <v>0</v>
          </cell>
          <cell r="F1676">
            <v>5545.44</v>
          </cell>
        </row>
        <row r="1677">
          <cell r="A1677" t="str">
            <v>71300000-30029000-23130000</v>
          </cell>
          <cell r="B1677" t="str">
            <v>OTROS IMPUESTOS Y DERECHOS</v>
          </cell>
          <cell r="C1677">
            <v>2217</v>
          </cell>
          <cell r="D1677">
            <v>0</v>
          </cell>
          <cell r="E1677">
            <v>0</v>
          </cell>
          <cell r="F1677">
            <v>2217</v>
          </cell>
        </row>
        <row r="1678">
          <cell r="A1678" t="str">
            <v>71300000-30030000-00000000</v>
          </cell>
          <cell r="B1678" t="str">
            <v>COSTOS/GASTOS FIJOS NTE</v>
          </cell>
          <cell r="C1678">
            <v>58754.22</v>
          </cell>
          <cell r="D1678">
            <v>23192.240000000002</v>
          </cell>
          <cell r="E1678">
            <v>0</v>
          </cell>
          <cell r="F1678">
            <v>81946.460000000006</v>
          </cell>
        </row>
        <row r="1679">
          <cell r="A1679" t="str">
            <v>71300000-30030000-05010000</v>
          </cell>
          <cell r="B1679" t="str">
            <v>SERV. PROFESIONALES EXTERNOS</v>
          </cell>
          <cell r="C1679">
            <v>35485.86</v>
          </cell>
          <cell r="D1679">
            <v>10309.86</v>
          </cell>
          <cell r="E1679">
            <v>0</v>
          </cell>
          <cell r="F1679">
            <v>45795.72</v>
          </cell>
        </row>
        <row r="1680">
          <cell r="A1680" t="str">
            <v>71300000-30030000-12010000</v>
          </cell>
          <cell r="B1680" t="str">
            <v>ARREND. AUTOMOVILES</v>
          </cell>
          <cell r="C1680">
            <v>3608.4</v>
          </cell>
          <cell r="D1680">
            <v>3007</v>
          </cell>
          <cell r="E1680">
            <v>0</v>
          </cell>
          <cell r="F1680">
            <v>6615.4</v>
          </cell>
        </row>
        <row r="1681">
          <cell r="A1681" t="str">
            <v>71300000-30030000-15010000</v>
          </cell>
          <cell r="B1681" t="str">
            <v>MANT. AUTOMOVILES</v>
          </cell>
          <cell r="C1681">
            <v>1521.08</v>
          </cell>
          <cell r="D1681">
            <v>1552</v>
          </cell>
          <cell r="E1681">
            <v>0</v>
          </cell>
          <cell r="F1681">
            <v>3073.08</v>
          </cell>
        </row>
        <row r="1682">
          <cell r="A1682" t="str">
            <v>71300000-30030000-18020000</v>
          </cell>
          <cell r="B1682" t="str">
            <v>PASAJES Y TRANSPORTES LOCALES</v>
          </cell>
          <cell r="C1682">
            <v>0</v>
          </cell>
          <cell r="D1682">
            <v>250</v>
          </cell>
          <cell r="E1682">
            <v>0</v>
          </cell>
          <cell r="F1682">
            <v>250</v>
          </cell>
        </row>
        <row r="1683">
          <cell r="A1683" t="str">
            <v>71300000-30030000-18030000</v>
          </cell>
          <cell r="B1683" t="str">
            <v>GASTOS DE REPRESENTACION TRANS</v>
          </cell>
          <cell r="C1683">
            <v>2844.5</v>
          </cell>
          <cell r="D1683">
            <v>0</v>
          </cell>
          <cell r="E1683">
            <v>0</v>
          </cell>
          <cell r="F1683">
            <v>2844.5</v>
          </cell>
        </row>
        <row r="1684">
          <cell r="A1684" t="str">
            <v>71300000-30030000-18040000</v>
          </cell>
          <cell r="B1684" t="str">
            <v>GASTOS DE REPRESENTACION ALIME</v>
          </cell>
          <cell r="C1684">
            <v>1218.46</v>
          </cell>
          <cell r="D1684">
            <v>178.44</v>
          </cell>
          <cell r="E1684">
            <v>0</v>
          </cell>
          <cell r="F1684">
            <v>1396.9</v>
          </cell>
        </row>
        <row r="1685">
          <cell r="A1685" t="str">
            <v>71300000-30030000-19030000</v>
          </cell>
          <cell r="B1685" t="str">
            <v>TELEFONOS CELULARES</v>
          </cell>
          <cell r="C1685">
            <v>3326.61</v>
          </cell>
          <cell r="D1685">
            <v>695.5</v>
          </cell>
          <cell r="E1685">
            <v>0</v>
          </cell>
          <cell r="F1685">
            <v>4022.11</v>
          </cell>
        </row>
        <row r="1686">
          <cell r="A1686" t="str">
            <v>71300000-30030000-19050000</v>
          </cell>
          <cell r="B1686" t="str">
            <v>INTERNET</v>
          </cell>
          <cell r="C1686">
            <v>1713.41</v>
          </cell>
          <cell r="D1686">
            <v>390.43</v>
          </cell>
          <cell r="E1686">
            <v>0</v>
          </cell>
          <cell r="F1686">
            <v>2103.84</v>
          </cell>
        </row>
        <row r="1687">
          <cell r="A1687" t="str">
            <v>71300000-30030000-19070000</v>
          </cell>
          <cell r="B1687" t="str">
            <v>MENSAJERIA ESPECIALIZADA</v>
          </cell>
          <cell r="C1687">
            <v>0</v>
          </cell>
          <cell r="D1687">
            <v>964.09</v>
          </cell>
          <cell r="E1687">
            <v>0</v>
          </cell>
          <cell r="F1687">
            <v>964.09</v>
          </cell>
        </row>
        <row r="1688">
          <cell r="A1688" t="str">
            <v>71300000-30030000-20010000</v>
          </cell>
          <cell r="B1688" t="str">
            <v>COMBUSTIBLE AUTOMOVILES</v>
          </cell>
          <cell r="C1688">
            <v>6231.3</v>
          </cell>
          <cell r="D1688">
            <v>2018</v>
          </cell>
          <cell r="E1688">
            <v>0</v>
          </cell>
          <cell r="F1688">
            <v>8249.2999999999993</v>
          </cell>
        </row>
        <row r="1689">
          <cell r="A1689" t="str">
            <v>71300000-30030000-21010000</v>
          </cell>
          <cell r="B1689" t="str">
            <v>HONORARIOS PERSONAS FISICAS</v>
          </cell>
          <cell r="C1689">
            <v>996.54</v>
          </cell>
          <cell r="D1689">
            <v>0</v>
          </cell>
          <cell r="E1689">
            <v>0</v>
          </cell>
          <cell r="F1689">
            <v>996.54</v>
          </cell>
        </row>
        <row r="1690">
          <cell r="A1690" t="str">
            <v>71300000-30030000-23120000</v>
          </cell>
          <cell r="B1690" t="str">
            <v>DIVERSOS</v>
          </cell>
          <cell r="C1690">
            <v>0</v>
          </cell>
          <cell r="D1690">
            <v>43.1</v>
          </cell>
          <cell r="E1690">
            <v>0</v>
          </cell>
          <cell r="F1690">
            <v>43.1</v>
          </cell>
        </row>
        <row r="1691">
          <cell r="A1691" t="str">
            <v>71300000-30030000-23130000</v>
          </cell>
          <cell r="B1691" t="str">
            <v>OTROS IMPUESTOS Y DERECHOS</v>
          </cell>
          <cell r="C1691">
            <v>1587.06</v>
          </cell>
          <cell r="D1691">
            <v>3578</v>
          </cell>
          <cell r="E1691">
            <v>0</v>
          </cell>
          <cell r="F1691">
            <v>5165.0600000000004</v>
          </cell>
        </row>
        <row r="1692">
          <cell r="A1692" t="str">
            <v>71300000-30030000-35020000</v>
          </cell>
          <cell r="B1692" t="str">
            <v>DIVERSOS NO DEDUCIBLES</v>
          </cell>
          <cell r="C1692">
            <v>221</v>
          </cell>
          <cell r="D1692">
            <v>205.82</v>
          </cell>
          <cell r="E1692">
            <v>0</v>
          </cell>
          <cell r="F1692">
            <v>426.82</v>
          </cell>
        </row>
        <row r="1693">
          <cell r="A1693" t="str">
            <v>71300000-30031000-00000000</v>
          </cell>
          <cell r="B1693" t="str">
            <v>COSTOS/GASTOS FIJOS PROYEC ESP</v>
          </cell>
          <cell r="C1693">
            <v>0</v>
          </cell>
          <cell r="D1693">
            <v>27153.08</v>
          </cell>
          <cell r="E1693">
            <v>0</v>
          </cell>
          <cell r="F1693">
            <v>27153.08</v>
          </cell>
        </row>
        <row r="1694">
          <cell r="A1694" t="str">
            <v>71300000-30031000-05010000</v>
          </cell>
          <cell r="B1694" t="str">
            <v>SERV. PROFESIONALES EXTERNOS</v>
          </cell>
          <cell r="C1694">
            <v>0</v>
          </cell>
          <cell r="D1694">
            <v>25405.59</v>
          </cell>
          <cell r="E1694">
            <v>0</v>
          </cell>
          <cell r="F1694">
            <v>25405.59</v>
          </cell>
        </row>
        <row r="1695">
          <cell r="A1695" t="str">
            <v>71300000-30031000-15010000</v>
          </cell>
          <cell r="B1695" t="str">
            <v>MANT. AUTOMOVILES</v>
          </cell>
          <cell r="C1695">
            <v>0</v>
          </cell>
          <cell r="D1695">
            <v>495.69</v>
          </cell>
          <cell r="E1695">
            <v>0</v>
          </cell>
          <cell r="F1695">
            <v>495.69</v>
          </cell>
        </row>
        <row r="1696">
          <cell r="A1696" t="str">
            <v>71300000-30031000-16010000</v>
          </cell>
          <cell r="B1696" t="str">
            <v>PAPELERIA</v>
          </cell>
          <cell r="C1696">
            <v>0</v>
          </cell>
          <cell r="D1696">
            <v>140</v>
          </cell>
          <cell r="E1696">
            <v>0</v>
          </cell>
          <cell r="F1696">
            <v>140</v>
          </cell>
        </row>
        <row r="1697">
          <cell r="A1697" t="str">
            <v>71300000-30031000-20010000</v>
          </cell>
          <cell r="B1697" t="str">
            <v>COMBUSTIBLE AUTOMOVILES</v>
          </cell>
          <cell r="C1697">
            <v>0</v>
          </cell>
          <cell r="D1697">
            <v>1026.8</v>
          </cell>
          <cell r="E1697">
            <v>0</v>
          </cell>
          <cell r="F1697">
            <v>1026.8</v>
          </cell>
        </row>
        <row r="1698">
          <cell r="A1698" t="str">
            <v>71300000-30031000-23120000</v>
          </cell>
          <cell r="B1698" t="str">
            <v>DIVERSOS</v>
          </cell>
          <cell r="C1698">
            <v>0</v>
          </cell>
          <cell r="D1698">
            <v>85</v>
          </cell>
          <cell r="E1698">
            <v>0</v>
          </cell>
          <cell r="F1698">
            <v>85</v>
          </cell>
        </row>
        <row r="1699">
          <cell r="A1699" t="str">
            <v>71400000-00000000-00000000</v>
          </cell>
          <cell r="B1699" t="str">
            <v>COSTOS/GASTOS FIJOS MKT</v>
          </cell>
          <cell r="C1699">
            <v>1134919.77</v>
          </cell>
          <cell r="D1699">
            <v>280203.09999999998</v>
          </cell>
          <cell r="E1699">
            <v>0</v>
          </cell>
          <cell r="F1699">
            <v>1415122.87</v>
          </cell>
        </row>
        <row r="1700">
          <cell r="F1700">
            <v>1415122.87</v>
          </cell>
        </row>
        <row r="1701">
          <cell r="A1701" t="str">
            <v>71400000-40000000-00000000</v>
          </cell>
          <cell r="B1701" t="str">
            <v>COSTOS/GASTOS FIJOS MKT GRAL.</v>
          </cell>
          <cell r="C1701">
            <v>1134919.77</v>
          </cell>
          <cell r="D1701">
            <v>280203.09999999998</v>
          </cell>
          <cell r="E1701">
            <v>0</v>
          </cell>
        </row>
        <row r="1702">
          <cell r="A1702" t="str">
            <v>71400000-40001000-00000000</v>
          </cell>
          <cell r="B1702" t="str">
            <v>COSTOS/GASTOS FIJOS MKT GRAL</v>
          </cell>
          <cell r="C1702">
            <v>367748.96</v>
          </cell>
          <cell r="D1702">
            <v>86397.36</v>
          </cell>
          <cell r="E1702">
            <v>0</v>
          </cell>
          <cell r="F1702">
            <v>454146.32</v>
          </cell>
        </row>
        <row r="1703">
          <cell r="A1703" t="str">
            <v>71400000-40001000-01010000</v>
          </cell>
          <cell r="B1703" t="str">
            <v>SUELDOS Y SALARIOS</v>
          </cell>
          <cell r="C1703">
            <v>132920</v>
          </cell>
          <cell r="D1703">
            <v>35960</v>
          </cell>
          <cell r="E1703">
            <v>0</v>
          </cell>
          <cell r="F1703">
            <v>168880</v>
          </cell>
        </row>
        <row r="1704">
          <cell r="A1704" t="str">
            <v>71400000-40001000-01030000</v>
          </cell>
          <cell r="B1704" t="str">
            <v>GRATIFICACIONES</v>
          </cell>
          <cell r="C1704">
            <v>3480</v>
          </cell>
          <cell r="D1704">
            <v>0</v>
          </cell>
          <cell r="E1704">
            <v>0</v>
          </cell>
          <cell r="F1704">
            <v>3480</v>
          </cell>
        </row>
        <row r="1705">
          <cell r="A1705" t="str">
            <v>71400000-40001000-01040000</v>
          </cell>
          <cell r="B1705" t="str">
            <v>VACACIONES</v>
          </cell>
          <cell r="C1705">
            <v>2232</v>
          </cell>
          <cell r="D1705">
            <v>0</v>
          </cell>
          <cell r="E1705">
            <v>0</v>
          </cell>
          <cell r="F1705">
            <v>2232</v>
          </cell>
        </row>
        <row r="1706">
          <cell r="A1706" t="str">
            <v>71400000-40001000-01050000</v>
          </cell>
          <cell r="B1706" t="str">
            <v>PRIMA VACACIONAL</v>
          </cell>
          <cell r="C1706">
            <v>1450.8</v>
          </cell>
          <cell r="D1706">
            <v>0</v>
          </cell>
          <cell r="E1706">
            <v>0</v>
          </cell>
          <cell r="F1706">
            <v>1450.8</v>
          </cell>
        </row>
        <row r="1707">
          <cell r="A1707" t="str">
            <v>71400000-40001000-01080000</v>
          </cell>
          <cell r="B1707" t="str">
            <v>COMISIONES</v>
          </cell>
          <cell r="C1707">
            <v>9750.4</v>
          </cell>
          <cell r="D1707">
            <v>0</v>
          </cell>
          <cell r="E1707">
            <v>0</v>
          </cell>
          <cell r="F1707">
            <v>9750.4</v>
          </cell>
        </row>
        <row r="1708">
          <cell r="A1708" t="str">
            <v>71400000-40001000-03010000</v>
          </cell>
          <cell r="B1708" t="str">
            <v>FONDO DE AHORRO</v>
          </cell>
          <cell r="C1708">
            <v>8814.42</v>
          </cell>
          <cell r="D1708">
            <v>2315.64</v>
          </cell>
          <cell r="E1708">
            <v>0</v>
          </cell>
          <cell r="F1708">
            <v>11130.06</v>
          </cell>
        </row>
        <row r="1709">
          <cell r="A1709" t="str">
            <v>71400000-40001000-03020000</v>
          </cell>
          <cell r="B1709" t="str">
            <v>CUOTAS AL I.M.S.S.</v>
          </cell>
          <cell r="C1709">
            <v>11694.28</v>
          </cell>
          <cell r="D1709">
            <v>3021.02</v>
          </cell>
          <cell r="E1709">
            <v>0</v>
          </cell>
          <cell r="F1709">
            <v>14715.3</v>
          </cell>
        </row>
        <row r="1710">
          <cell r="A1710" t="str">
            <v>71400000-40001000-03040000</v>
          </cell>
          <cell r="B1710" t="str">
            <v>DESPENSA EN VALES</v>
          </cell>
          <cell r="C1710">
            <v>6722</v>
          </cell>
          <cell r="D1710">
            <v>1724</v>
          </cell>
          <cell r="E1710">
            <v>0</v>
          </cell>
          <cell r="F1710">
            <v>8446</v>
          </cell>
        </row>
        <row r="1711">
          <cell r="A1711" t="str">
            <v>71400000-40001000-04010000</v>
          </cell>
          <cell r="B1711" t="str">
            <v>2.5% SOBRE NOMINAS</v>
          </cell>
          <cell r="C1711">
            <v>4933</v>
          </cell>
          <cell r="D1711">
            <v>1191</v>
          </cell>
          <cell r="E1711">
            <v>0</v>
          </cell>
          <cell r="F1711">
            <v>6124</v>
          </cell>
        </row>
        <row r="1712">
          <cell r="A1712" t="str">
            <v>71400000-40001000-04020000</v>
          </cell>
          <cell r="B1712" t="str">
            <v>5% INFONAVIT</v>
          </cell>
          <cell r="C1712">
            <v>8619.02</v>
          </cell>
          <cell r="D1712">
            <v>2226.58</v>
          </cell>
          <cell r="E1712">
            <v>0</v>
          </cell>
          <cell r="F1712">
            <v>10845.6</v>
          </cell>
        </row>
        <row r="1713">
          <cell r="A1713" t="str">
            <v>71400000-40001000-04030000</v>
          </cell>
          <cell r="B1713" t="str">
            <v>2% S.A.R. / RETIRO</v>
          </cell>
          <cell r="C1713">
            <v>3447.6</v>
          </cell>
          <cell r="D1713">
            <v>890.63</v>
          </cell>
          <cell r="E1713">
            <v>0</v>
          </cell>
          <cell r="F1713">
            <v>4338.2299999999996</v>
          </cell>
        </row>
        <row r="1714">
          <cell r="A1714" t="str">
            <v>71400000-40001000-04040000</v>
          </cell>
          <cell r="B1714" t="str">
            <v>CESANTIA Y VEJEZ</v>
          </cell>
          <cell r="C1714">
            <v>5429.97</v>
          </cell>
          <cell r="D1714">
            <v>1402.74</v>
          </cell>
          <cell r="E1714">
            <v>0</v>
          </cell>
          <cell r="F1714">
            <v>6832.71</v>
          </cell>
        </row>
        <row r="1715">
          <cell r="A1715" t="str">
            <v>71400000-40001000-14010000</v>
          </cell>
          <cell r="B1715" t="str">
            <v>SEG. AUTOMOVILES</v>
          </cell>
          <cell r="C1715">
            <v>5371.08</v>
          </cell>
          <cell r="D1715">
            <v>1611.86</v>
          </cell>
          <cell r="E1715">
            <v>0</v>
          </cell>
          <cell r="F1715">
            <v>6982.94</v>
          </cell>
        </row>
        <row r="1716">
          <cell r="A1716" t="str">
            <v>71400000-40001000-14040000</v>
          </cell>
          <cell r="B1716" t="str">
            <v>VIDA</v>
          </cell>
          <cell r="C1716">
            <v>1193.99</v>
          </cell>
          <cell r="D1716">
            <v>355.66</v>
          </cell>
          <cell r="E1716">
            <v>0</v>
          </cell>
          <cell r="F1716">
            <v>1549.65</v>
          </cell>
        </row>
        <row r="1717">
          <cell r="A1717" t="str">
            <v>71400000-40001000-15060000</v>
          </cell>
          <cell r="B1717" t="str">
            <v>MANTTO A EQUIPOS DE COMPUTO</v>
          </cell>
          <cell r="C1717">
            <v>282.5</v>
          </cell>
          <cell r="D1717">
            <v>0</v>
          </cell>
          <cell r="E1717">
            <v>0</v>
          </cell>
          <cell r="F1717">
            <v>282.5</v>
          </cell>
        </row>
        <row r="1718">
          <cell r="A1718" t="str">
            <v>71400000-40001000-16010000</v>
          </cell>
          <cell r="B1718" t="str">
            <v>PAPELERIA</v>
          </cell>
          <cell r="C1718">
            <v>2371.27</v>
          </cell>
          <cell r="D1718">
            <v>0</v>
          </cell>
          <cell r="E1718">
            <v>0</v>
          </cell>
          <cell r="F1718">
            <v>2371.27</v>
          </cell>
        </row>
        <row r="1719">
          <cell r="A1719" t="str">
            <v>71400000-40001000-17010000</v>
          </cell>
          <cell r="B1719" t="str">
            <v>ENERGIA ELECTRICA</v>
          </cell>
          <cell r="C1719">
            <v>2444.75</v>
          </cell>
          <cell r="D1719">
            <v>2606.33</v>
          </cell>
          <cell r="E1719">
            <v>0</v>
          </cell>
          <cell r="F1719">
            <v>5051.08</v>
          </cell>
        </row>
        <row r="1720">
          <cell r="A1720" t="str">
            <v>71400000-40001000-18010000</v>
          </cell>
          <cell r="B1720" t="str">
            <v>CAPACITACION Y ADIESTRAMIENTO</v>
          </cell>
          <cell r="C1720">
            <v>5344.59</v>
          </cell>
          <cell r="D1720">
            <v>0</v>
          </cell>
          <cell r="E1720">
            <v>0</v>
          </cell>
          <cell r="F1720">
            <v>5344.59</v>
          </cell>
        </row>
        <row r="1721">
          <cell r="A1721" t="str">
            <v>71400000-40001000-18020000</v>
          </cell>
          <cell r="B1721" t="str">
            <v>PASAJES Y TRANSPORTES LOCALES</v>
          </cell>
          <cell r="C1721">
            <v>4997</v>
          </cell>
          <cell r="D1721">
            <v>1492</v>
          </cell>
          <cell r="E1721">
            <v>0</v>
          </cell>
          <cell r="F1721">
            <v>6489</v>
          </cell>
        </row>
        <row r="1722">
          <cell r="A1722" t="str">
            <v>71400000-40001000-18030000</v>
          </cell>
          <cell r="B1722" t="str">
            <v>GASTOS DE REPRESENTACION TRANS</v>
          </cell>
          <cell r="C1722">
            <v>7966</v>
          </cell>
          <cell r="D1722">
            <v>0</v>
          </cell>
          <cell r="E1722">
            <v>0</v>
          </cell>
          <cell r="F1722">
            <v>7966</v>
          </cell>
        </row>
        <row r="1723">
          <cell r="A1723" t="str">
            <v>71400000-40001000-18040000</v>
          </cell>
          <cell r="B1723" t="str">
            <v>GASTOS DE REPRESENTACION ALIME</v>
          </cell>
          <cell r="C1723">
            <v>7678.53</v>
          </cell>
          <cell r="D1723">
            <v>0</v>
          </cell>
          <cell r="E1723">
            <v>0</v>
          </cell>
          <cell r="F1723">
            <v>7678.53</v>
          </cell>
        </row>
        <row r="1724">
          <cell r="A1724" t="str">
            <v>71400000-40001000-18080000</v>
          </cell>
          <cell r="B1724" t="str">
            <v>COMEDOR</v>
          </cell>
          <cell r="C1724">
            <v>633.62</v>
          </cell>
          <cell r="D1724">
            <v>2421.9</v>
          </cell>
          <cell r="E1724">
            <v>0</v>
          </cell>
          <cell r="F1724">
            <v>3055.52</v>
          </cell>
        </row>
        <row r="1725">
          <cell r="A1725" t="str">
            <v>71400000-40001000-18110000</v>
          </cell>
          <cell r="B1725" t="str">
            <v>CONSUMOS RESTAURANT</v>
          </cell>
          <cell r="C1725">
            <v>911.37</v>
          </cell>
          <cell r="D1725">
            <v>0</v>
          </cell>
          <cell r="E1725">
            <v>0</v>
          </cell>
          <cell r="F1725">
            <v>911.37</v>
          </cell>
        </row>
        <row r="1726">
          <cell r="A1726" t="str">
            <v>71400000-40001000-19010000</v>
          </cell>
          <cell r="B1726" t="str">
            <v>TELEFONOS</v>
          </cell>
          <cell r="C1726">
            <v>24010.38</v>
          </cell>
          <cell r="D1726">
            <v>6747.63</v>
          </cell>
          <cell r="E1726">
            <v>0</v>
          </cell>
          <cell r="F1726">
            <v>30758.01</v>
          </cell>
        </row>
        <row r="1727">
          <cell r="A1727" t="str">
            <v>71400000-40001000-19030000</v>
          </cell>
          <cell r="B1727" t="str">
            <v>TELEFONOS CELULARES</v>
          </cell>
          <cell r="C1727">
            <v>5685.95</v>
          </cell>
          <cell r="D1727">
            <v>1284.26</v>
          </cell>
          <cell r="E1727">
            <v>0</v>
          </cell>
          <cell r="F1727">
            <v>6970.21</v>
          </cell>
        </row>
        <row r="1728">
          <cell r="A1728" t="str">
            <v>71400000-40001000-19050000</v>
          </cell>
          <cell r="B1728" t="str">
            <v>INTERNET</v>
          </cell>
          <cell r="C1728">
            <v>6224.76</v>
          </cell>
          <cell r="D1728">
            <v>1564.03</v>
          </cell>
          <cell r="E1728">
            <v>0</v>
          </cell>
          <cell r="F1728">
            <v>7788.79</v>
          </cell>
        </row>
        <row r="1729">
          <cell r="A1729" t="str">
            <v>71400000-40001000-20010000</v>
          </cell>
          <cell r="B1729" t="str">
            <v>COMBUSTIBLE AUTOMOVILES</v>
          </cell>
          <cell r="C1729">
            <v>5703.85</v>
          </cell>
          <cell r="D1729">
            <v>1394.24</v>
          </cell>
          <cell r="E1729">
            <v>0</v>
          </cell>
          <cell r="F1729">
            <v>7098.09</v>
          </cell>
        </row>
        <row r="1730">
          <cell r="A1730" t="str">
            <v>71400000-40001000-22050000</v>
          </cell>
          <cell r="B1730" t="str">
            <v>COMISIONES Y ASESORIAS EXTERNA</v>
          </cell>
          <cell r="C1730">
            <v>858.41</v>
          </cell>
          <cell r="D1730">
            <v>233.56</v>
          </cell>
          <cell r="E1730">
            <v>0</v>
          </cell>
          <cell r="F1730">
            <v>1091.97</v>
          </cell>
        </row>
        <row r="1731">
          <cell r="A1731" t="str">
            <v>71400000-40001000-23120000</v>
          </cell>
          <cell r="B1731" t="str">
            <v>DIVERSOS</v>
          </cell>
          <cell r="C1731">
            <v>2025.52</v>
          </cell>
          <cell r="D1731">
            <v>495.78</v>
          </cell>
          <cell r="E1731">
            <v>0</v>
          </cell>
          <cell r="F1731">
            <v>2521.3000000000002</v>
          </cell>
        </row>
        <row r="1732">
          <cell r="A1732" t="str">
            <v>71400000-40001000-23130000</v>
          </cell>
          <cell r="B1732" t="str">
            <v>OTROS IMPUESTOS Y DERECHOS</v>
          </cell>
          <cell r="C1732">
            <v>14906.93</v>
          </cell>
          <cell r="D1732">
            <v>264</v>
          </cell>
          <cell r="E1732">
            <v>0</v>
          </cell>
          <cell r="F1732">
            <v>15170.93</v>
          </cell>
        </row>
        <row r="1733">
          <cell r="A1733" t="str">
            <v>71400000-40001000-23200000</v>
          </cell>
          <cell r="B1733" t="str">
            <v>EVENTOS INTERNOS COREV</v>
          </cell>
          <cell r="C1733">
            <v>868.89</v>
          </cell>
          <cell r="D1733">
            <v>800</v>
          </cell>
          <cell r="E1733">
            <v>0</v>
          </cell>
          <cell r="F1733">
            <v>1668.89</v>
          </cell>
        </row>
        <row r="1734">
          <cell r="A1734" t="str">
            <v>71400000-40001000-27140000</v>
          </cell>
          <cell r="B1734" t="str">
            <v>INVESTIGACION DE MERCADOS</v>
          </cell>
          <cell r="C1734">
            <v>29424.58</v>
          </cell>
          <cell r="D1734">
            <v>4000</v>
          </cell>
          <cell r="E1734">
            <v>0</v>
          </cell>
          <cell r="F1734">
            <v>33424.58</v>
          </cell>
        </row>
        <row r="1735">
          <cell r="A1735" t="str">
            <v>71400000-40001000-35020000</v>
          </cell>
          <cell r="B1735" t="str">
            <v>DIVERSOS NO DEDUCIBLES</v>
          </cell>
          <cell r="C1735">
            <v>18875.580000000002</v>
          </cell>
          <cell r="D1735">
            <v>7275.52</v>
          </cell>
          <cell r="E1735">
            <v>0</v>
          </cell>
          <cell r="F1735">
            <v>26151.1</v>
          </cell>
        </row>
        <row r="1736">
          <cell r="A1736" t="str">
            <v>71400000-40001000-90010000</v>
          </cell>
          <cell r="B1736" t="str">
            <v>PRIMA DE ANTIGUEDAD</v>
          </cell>
          <cell r="C1736">
            <v>1580.8</v>
          </cell>
          <cell r="D1736">
            <v>395.2</v>
          </cell>
          <cell r="E1736">
            <v>0</v>
          </cell>
          <cell r="F1736">
            <v>1976</v>
          </cell>
        </row>
        <row r="1737">
          <cell r="A1737" t="str">
            <v>71400000-40001000-90020000</v>
          </cell>
          <cell r="B1737" t="str">
            <v>PLAN DE PENSIONES</v>
          </cell>
          <cell r="C1737">
            <v>5824.8</v>
          </cell>
          <cell r="D1737">
            <v>1456.2</v>
          </cell>
          <cell r="E1737">
            <v>0</v>
          </cell>
          <cell r="F1737">
            <v>7281</v>
          </cell>
        </row>
        <row r="1738">
          <cell r="A1738" t="str">
            <v>71400000-40001000-90030000</v>
          </cell>
          <cell r="B1738" t="str">
            <v>PROVISION AGUINALDO</v>
          </cell>
          <cell r="C1738">
            <v>12953.32</v>
          </cell>
          <cell r="D1738">
            <v>3238.33</v>
          </cell>
          <cell r="E1738">
            <v>0</v>
          </cell>
          <cell r="F1738">
            <v>16191.65</v>
          </cell>
        </row>
        <row r="1739">
          <cell r="A1739" t="str">
            <v>71400000-40001000-90040000</v>
          </cell>
          <cell r="B1739" t="str">
            <v>BOLETIN D-3</v>
          </cell>
          <cell r="C1739">
            <v>117</v>
          </cell>
          <cell r="D1739">
            <v>29.25</v>
          </cell>
          <cell r="E1739">
            <v>0</v>
          </cell>
          <cell r="F1739">
            <v>146.25</v>
          </cell>
        </row>
        <row r="1740">
          <cell r="A1740" t="str">
            <v>71400000-40002000-00000000</v>
          </cell>
          <cell r="B1740" t="str">
            <v>COSTOS/GASTOS FIJOS CAPACITACI</v>
          </cell>
          <cell r="C1740">
            <v>514806.67</v>
          </cell>
          <cell r="D1740">
            <v>117477.79</v>
          </cell>
          <cell r="E1740">
            <v>0</v>
          </cell>
          <cell r="F1740">
            <v>632284.46</v>
          </cell>
        </row>
        <row r="1741">
          <cell r="A1741" t="str">
            <v>71400000-40002000-01010000</v>
          </cell>
          <cell r="B1741" t="str">
            <v>SUELDOS Y SALARIOS</v>
          </cell>
          <cell r="C1741">
            <v>75366.17</v>
          </cell>
          <cell r="D1741">
            <v>22392.23</v>
          </cell>
          <cell r="E1741">
            <v>0</v>
          </cell>
          <cell r="F1741">
            <v>97758.399999999994</v>
          </cell>
        </row>
        <row r="1742">
          <cell r="A1742" t="str">
            <v>71400000-40002000-01030000</v>
          </cell>
          <cell r="B1742" t="str">
            <v>GRATIFICACIONES</v>
          </cell>
          <cell r="C1742">
            <v>1815.05</v>
          </cell>
          <cell r="D1742">
            <v>0</v>
          </cell>
          <cell r="E1742">
            <v>0</v>
          </cell>
          <cell r="F1742">
            <v>1815.05</v>
          </cell>
        </row>
        <row r="1743">
          <cell r="A1743" t="str">
            <v>71400000-40002000-01040000</v>
          </cell>
          <cell r="B1743" t="str">
            <v>VACACIONES</v>
          </cell>
          <cell r="C1743">
            <v>5473.64</v>
          </cell>
          <cell r="D1743">
            <v>0</v>
          </cell>
          <cell r="E1743">
            <v>0</v>
          </cell>
          <cell r="F1743">
            <v>5473.64</v>
          </cell>
        </row>
        <row r="1744">
          <cell r="A1744" t="str">
            <v>71400000-40002000-01050000</v>
          </cell>
          <cell r="B1744" t="str">
            <v>PRIMA VACACIONAL</v>
          </cell>
          <cell r="C1744">
            <v>3557.86</v>
          </cell>
          <cell r="D1744">
            <v>0</v>
          </cell>
          <cell r="E1744">
            <v>0</v>
          </cell>
          <cell r="F1744">
            <v>3557.86</v>
          </cell>
        </row>
        <row r="1745">
          <cell r="A1745" t="str">
            <v>71400000-40002000-01080000</v>
          </cell>
          <cell r="B1745" t="str">
            <v>COMISIONES</v>
          </cell>
          <cell r="C1745">
            <v>27400</v>
          </cell>
          <cell r="D1745">
            <v>4000</v>
          </cell>
          <cell r="E1745">
            <v>0</v>
          </cell>
          <cell r="F1745">
            <v>31400</v>
          </cell>
        </row>
        <row r="1746">
          <cell r="A1746" t="str">
            <v>71400000-40002000-03010000</v>
          </cell>
          <cell r="B1746" t="str">
            <v>FONDO DE AHORRO</v>
          </cell>
          <cell r="C1746">
            <v>6029.29</v>
          </cell>
          <cell r="D1746">
            <v>1791.38</v>
          </cell>
          <cell r="E1746">
            <v>0</v>
          </cell>
          <cell r="F1746">
            <v>7820.67</v>
          </cell>
        </row>
        <row r="1747">
          <cell r="A1747" t="str">
            <v>71400000-40002000-03020000</v>
          </cell>
          <cell r="B1747" t="str">
            <v>CUOTAS AL I.M.S.S.</v>
          </cell>
          <cell r="C1747">
            <v>9303.39</v>
          </cell>
          <cell r="D1747">
            <v>2237.54</v>
          </cell>
          <cell r="E1747">
            <v>0</v>
          </cell>
          <cell r="F1747">
            <v>11540.93</v>
          </cell>
        </row>
        <row r="1748">
          <cell r="A1748" t="str">
            <v>71400000-40002000-03030000</v>
          </cell>
          <cell r="B1748" t="str">
            <v>UNIFORMES Y EQUIPO</v>
          </cell>
          <cell r="C1748">
            <v>4200</v>
          </cell>
          <cell r="D1748">
            <v>0</v>
          </cell>
          <cell r="E1748">
            <v>0</v>
          </cell>
          <cell r="F1748">
            <v>4200</v>
          </cell>
        </row>
        <row r="1749">
          <cell r="A1749" t="str">
            <v>71400000-40002000-03040000</v>
          </cell>
          <cell r="B1749" t="str">
            <v>DESPENSA EN VALES</v>
          </cell>
          <cell r="C1749">
            <v>3359</v>
          </cell>
          <cell r="D1749">
            <v>867</v>
          </cell>
          <cell r="E1749">
            <v>0</v>
          </cell>
          <cell r="F1749">
            <v>4226</v>
          </cell>
        </row>
        <row r="1750">
          <cell r="A1750" t="str">
            <v>71400000-40002000-04010000</v>
          </cell>
          <cell r="B1750" t="str">
            <v>2.5% SOBRE NOMINAS</v>
          </cell>
          <cell r="C1750">
            <v>2992</v>
          </cell>
          <cell r="D1750">
            <v>705</v>
          </cell>
          <cell r="E1750">
            <v>0</v>
          </cell>
          <cell r="F1750">
            <v>3697</v>
          </cell>
        </row>
        <row r="1751">
          <cell r="A1751" t="str">
            <v>71400000-40002000-04020000</v>
          </cell>
          <cell r="B1751" t="str">
            <v>5% INFONAVIT</v>
          </cell>
          <cell r="C1751">
            <v>6659.27</v>
          </cell>
          <cell r="D1751">
            <v>1584.38</v>
          </cell>
          <cell r="E1751">
            <v>0</v>
          </cell>
          <cell r="F1751">
            <v>8243.65</v>
          </cell>
        </row>
        <row r="1752">
          <cell r="A1752" t="str">
            <v>71400000-40002000-04030000</v>
          </cell>
          <cell r="B1752" t="str">
            <v>2% S.A.R. / RETIRO</v>
          </cell>
          <cell r="C1752">
            <v>2663.69</v>
          </cell>
          <cell r="D1752">
            <v>633.75</v>
          </cell>
          <cell r="E1752">
            <v>0</v>
          </cell>
          <cell r="F1752">
            <v>3297.44</v>
          </cell>
        </row>
        <row r="1753">
          <cell r="A1753" t="str">
            <v>71400000-40002000-04040000</v>
          </cell>
          <cell r="B1753" t="str">
            <v>CESANTIA Y VEJEZ</v>
          </cell>
          <cell r="C1753">
            <v>4195.34</v>
          </cell>
          <cell r="D1753">
            <v>998.17</v>
          </cell>
          <cell r="E1753">
            <v>0</v>
          </cell>
          <cell r="F1753">
            <v>5193.51</v>
          </cell>
        </row>
        <row r="1754">
          <cell r="A1754" t="str">
            <v>71400000-40002000-05010000</v>
          </cell>
          <cell r="B1754" t="str">
            <v>SERV. PROFESIONALES EXTERNOS</v>
          </cell>
          <cell r="C1754">
            <v>65323.24</v>
          </cell>
          <cell r="D1754">
            <v>15306.19</v>
          </cell>
          <cell r="E1754">
            <v>0</v>
          </cell>
          <cell r="F1754">
            <v>80629.429999999993</v>
          </cell>
        </row>
        <row r="1755">
          <cell r="A1755" t="str">
            <v>71400000-40002000-12010000</v>
          </cell>
          <cell r="B1755" t="str">
            <v>ARREND. AUTOMOVILES</v>
          </cell>
          <cell r="C1755">
            <v>8214.8799999999992</v>
          </cell>
          <cell r="D1755">
            <v>2053.7199999999998</v>
          </cell>
          <cell r="E1755">
            <v>0</v>
          </cell>
          <cell r="F1755">
            <v>10268.6</v>
          </cell>
        </row>
        <row r="1756">
          <cell r="A1756" t="str">
            <v>71400000-40002000-12020000</v>
          </cell>
          <cell r="B1756" t="str">
            <v>CAMIONES Y CAMIONETAS</v>
          </cell>
          <cell r="C1756">
            <v>21600</v>
          </cell>
          <cell r="D1756">
            <v>7200</v>
          </cell>
          <cell r="E1756">
            <v>0</v>
          </cell>
          <cell r="F1756">
            <v>28800</v>
          </cell>
        </row>
        <row r="1757">
          <cell r="A1757" t="str">
            <v>71400000-40002000-13020000</v>
          </cell>
          <cell r="B1757" t="str">
            <v>ARRENDAMIENTO DE INMUEBLES PER</v>
          </cell>
          <cell r="C1757">
            <v>53415</v>
          </cell>
          <cell r="D1757">
            <v>17805</v>
          </cell>
          <cell r="E1757">
            <v>0</v>
          </cell>
          <cell r="F1757">
            <v>71220</v>
          </cell>
        </row>
        <row r="1758">
          <cell r="A1758" t="str">
            <v>71400000-40002000-15020000</v>
          </cell>
          <cell r="B1758" t="str">
            <v>CAMIONES Y CAMIONETAS</v>
          </cell>
          <cell r="C1758">
            <v>24301.34</v>
          </cell>
          <cell r="D1758">
            <v>0</v>
          </cell>
          <cell r="E1758">
            <v>0</v>
          </cell>
          <cell r="F1758">
            <v>24301.34</v>
          </cell>
        </row>
        <row r="1759">
          <cell r="A1759" t="str">
            <v>71400000-40002000-15070000</v>
          </cell>
          <cell r="B1759" t="str">
            <v>MANTTO A INMUEBLES ARRENDADOS</v>
          </cell>
          <cell r="C1759">
            <v>7750</v>
          </cell>
          <cell r="D1759">
            <v>0</v>
          </cell>
          <cell r="E1759">
            <v>0</v>
          </cell>
          <cell r="F1759">
            <v>7750</v>
          </cell>
        </row>
        <row r="1760">
          <cell r="A1760" t="str">
            <v>71400000-40002000-16010000</v>
          </cell>
          <cell r="B1760" t="str">
            <v>PAPELERIA</v>
          </cell>
          <cell r="C1760">
            <v>1276.8599999999999</v>
          </cell>
          <cell r="D1760">
            <v>728.8</v>
          </cell>
          <cell r="E1760">
            <v>0</v>
          </cell>
          <cell r="F1760">
            <v>2005.66</v>
          </cell>
        </row>
        <row r="1761">
          <cell r="A1761" t="str">
            <v>71400000-40002000-16040000</v>
          </cell>
          <cell r="B1761" t="str">
            <v>IMPLEMENTOS DE OFICINA</v>
          </cell>
          <cell r="C1761">
            <v>2000</v>
          </cell>
          <cell r="D1761">
            <v>0</v>
          </cell>
          <cell r="E1761">
            <v>0</v>
          </cell>
          <cell r="F1761">
            <v>2000</v>
          </cell>
        </row>
        <row r="1762">
          <cell r="A1762" t="str">
            <v>71400000-40002000-17010000</v>
          </cell>
          <cell r="B1762" t="str">
            <v>ENERGIA ELECTRICA</v>
          </cell>
          <cell r="C1762">
            <v>2279.31</v>
          </cell>
          <cell r="D1762">
            <v>0</v>
          </cell>
          <cell r="E1762">
            <v>0</v>
          </cell>
          <cell r="F1762">
            <v>2279.31</v>
          </cell>
        </row>
        <row r="1763">
          <cell r="A1763" t="str">
            <v>71400000-40002000-18020000</v>
          </cell>
          <cell r="B1763" t="str">
            <v>PASAJES Y TRANSPORTES LOCALES</v>
          </cell>
          <cell r="C1763">
            <v>2340</v>
          </cell>
          <cell r="D1763">
            <v>3460</v>
          </cell>
          <cell r="E1763">
            <v>0</v>
          </cell>
          <cell r="F1763">
            <v>5800</v>
          </cell>
        </row>
        <row r="1764">
          <cell r="A1764" t="str">
            <v>71400000-40002000-19030000</v>
          </cell>
          <cell r="B1764" t="str">
            <v>TELEFONOS CELULARES</v>
          </cell>
          <cell r="C1764">
            <v>2581.1</v>
          </cell>
          <cell r="D1764">
            <v>720.18</v>
          </cell>
          <cell r="E1764">
            <v>0</v>
          </cell>
          <cell r="F1764">
            <v>3301.28</v>
          </cell>
        </row>
        <row r="1765">
          <cell r="A1765" t="str">
            <v>71400000-40002000-20010000</v>
          </cell>
          <cell r="B1765" t="str">
            <v>COMBUSTIBLE AUTOMOVILES</v>
          </cell>
          <cell r="C1765">
            <v>13823.27</v>
          </cell>
          <cell r="D1765">
            <v>3533.53</v>
          </cell>
          <cell r="E1765">
            <v>0</v>
          </cell>
          <cell r="F1765">
            <v>17356.8</v>
          </cell>
        </row>
        <row r="1766">
          <cell r="A1766" t="str">
            <v>71400000-40002000-20020000</v>
          </cell>
          <cell r="B1766" t="str">
            <v>CAMIONES Y CAMIONETAS</v>
          </cell>
          <cell r="C1766">
            <v>27804.95</v>
          </cell>
          <cell r="D1766">
            <v>8340.75</v>
          </cell>
          <cell r="E1766">
            <v>0</v>
          </cell>
          <cell r="F1766">
            <v>36145.699999999997</v>
          </cell>
        </row>
        <row r="1767">
          <cell r="A1767" t="str">
            <v>71400000-40002000-21010000</v>
          </cell>
          <cell r="B1767" t="str">
            <v>HONORARIOS PERSONAS FISICAS</v>
          </cell>
          <cell r="C1767">
            <v>17805</v>
          </cell>
          <cell r="D1767">
            <v>0</v>
          </cell>
          <cell r="E1767">
            <v>0</v>
          </cell>
          <cell r="F1767">
            <v>17805</v>
          </cell>
        </row>
        <row r="1768">
          <cell r="A1768" t="str">
            <v>71400000-40002000-23120000</v>
          </cell>
          <cell r="B1768" t="str">
            <v>DIVERSOS</v>
          </cell>
          <cell r="C1768">
            <v>1792.88</v>
          </cell>
          <cell r="D1768">
            <v>30.12</v>
          </cell>
          <cell r="E1768">
            <v>0</v>
          </cell>
          <cell r="F1768">
            <v>1823</v>
          </cell>
        </row>
        <row r="1769">
          <cell r="A1769" t="str">
            <v>71400000-40002000-23130000</v>
          </cell>
          <cell r="B1769" t="str">
            <v>OTROS IMPUESTOS Y DERECHOS</v>
          </cell>
          <cell r="C1769">
            <v>5675.93</v>
          </cell>
          <cell r="D1769">
            <v>2421.2199999999998</v>
          </cell>
          <cell r="E1769">
            <v>0</v>
          </cell>
          <cell r="F1769">
            <v>8097.15</v>
          </cell>
        </row>
        <row r="1770">
          <cell r="A1770" t="str">
            <v>71400000-40002000-24010000</v>
          </cell>
          <cell r="B1770" t="str">
            <v>MATERIAL DE APOYO</v>
          </cell>
          <cell r="C1770">
            <v>4610.1499999999996</v>
          </cell>
          <cell r="D1770">
            <v>1465.6</v>
          </cell>
          <cell r="E1770">
            <v>0</v>
          </cell>
          <cell r="F1770">
            <v>6075.75</v>
          </cell>
        </row>
        <row r="1771">
          <cell r="A1771" t="str">
            <v>71400000-40002000-24020000</v>
          </cell>
          <cell r="B1771" t="str">
            <v>CAFETERIA</v>
          </cell>
          <cell r="C1771">
            <v>13177.39</v>
          </cell>
          <cell r="D1771">
            <v>2078.0300000000002</v>
          </cell>
          <cell r="E1771">
            <v>0</v>
          </cell>
          <cell r="F1771">
            <v>15255.42</v>
          </cell>
        </row>
        <row r="1772">
          <cell r="A1772" t="str">
            <v>71400000-40002000-24070000</v>
          </cell>
          <cell r="B1772" t="str">
            <v>GTS DE REPRESENTACION TRANSPOR</v>
          </cell>
          <cell r="C1772">
            <v>13190.22</v>
          </cell>
          <cell r="D1772">
            <v>0</v>
          </cell>
          <cell r="E1772">
            <v>0</v>
          </cell>
          <cell r="F1772">
            <v>13190.22</v>
          </cell>
        </row>
        <row r="1773">
          <cell r="A1773" t="str">
            <v>71400000-40002000-24080000</v>
          </cell>
          <cell r="B1773" t="str">
            <v>GTS DE REPRESENTACION ALIMENTO</v>
          </cell>
          <cell r="C1773">
            <v>48527.21</v>
          </cell>
          <cell r="D1773">
            <v>10482.89</v>
          </cell>
          <cell r="E1773">
            <v>0</v>
          </cell>
          <cell r="F1773">
            <v>59010.1</v>
          </cell>
        </row>
        <row r="1774">
          <cell r="A1774" t="str">
            <v>71400000-40002000-35020000</v>
          </cell>
          <cell r="B1774" t="str">
            <v>DIVERSOS NO DEDUCIBLES</v>
          </cell>
          <cell r="C1774">
            <v>17676.400000000001</v>
          </cell>
          <cell r="D1774">
            <v>4985.6000000000004</v>
          </cell>
          <cell r="E1774">
            <v>0</v>
          </cell>
          <cell r="F1774">
            <v>22662</v>
          </cell>
        </row>
        <row r="1775">
          <cell r="A1775" t="str">
            <v>71400000-40002000-90030000</v>
          </cell>
          <cell r="B1775" t="str">
            <v>PROVISION AGUINALDO</v>
          </cell>
          <cell r="C1775">
            <v>6392.84</v>
          </cell>
          <cell r="D1775">
            <v>1598.21</v>
          </cell>
          <cell r="E1775">
            <v>0</v>
          </cell>
          <cell r="F1775">
            <v>7991.05</v>
          </cell>
        </row>
        <row r="1776">
          <cell r="A1776" t="str">
            <v>71400000-40002000-90040000</v>
          </cell>
          <cell r="B1776" t="str">
            <v>BOLETIN D-3</v>
          </cell>
          <cell r="C1776">
            <v>234</v>
          </cell>
          <cell r="D1776">
            <v>58.5</v>
          </cell>
          <cell r="E1776">
            <v>0</v>
          </cell>
          <cell r="F1776">
            <v>292.5</v>
          </cell>
        </row>
        <row r="1777">
          <cell r="A1777" t="str">
            <v>71400000-40003000-00000000</v>
          </cell>
          <cell r="B1777" t="str">
            <v>COSTOS/GASTOS FIJOS PUB Y MKT</v>
          </cell>
          <cell r="C1777">
            <v>179543.29</v>
          </cell>
          <cell r="D1777">
            <v>69204.94</v>
          </cell>
          <cell r="E1777">
            <v>0</v>
          </cell>
          <cell r="F1777">
            <v>248748.23</v>
          </cell>
        </row>
        <row r="1778">
          <cell r="A1778" t="str">
            <v>71400000-40003000-03040000</v>
          </cell>
          <cell r="B1778" t="str">
            <v>DESPENSA EN VALES</v>
          </cell>
          <cell r="C1778">
            <v>478</v>
          </cell>
          <cell r="D1778">
            <v>235</v>
          </cell>
          <cell r="E1778">
            <v>0</v>
          </cell>
          <cell r="F1778">
            <v>713</v>
          </cell>
        </row>
        <row r="1779">
          <cell r="A1779" t="str">
            <v>71400000-40003000-05010000</v>
          </cell>
          <cell r="B1779" t="str">
            <v>SERV. PROFESIONALES EXTERNOS</v>
          </cell>
          <cell r="C1779">
            <v>144872.1</v>
          </cell>
          <cell r="D1779">
            <v>40120.32</v>
          </cell>
          <cell r="E1779">
            <v>0</v>
          </cell>
          <cell r="F1779">
            <v>184992.42</v>
          </cell>
        </row>
        <row r="1780">
          <cell r="A1780" t="str">
            <v>71400000-40003000-13010000</v>
          </cell>
          <cell r="B1780" t="str">
            <v>ARRENDAMIENTO DE EQUIPO DE OFI</v>
          </cell>
          <cell r="C1780">
            <v>4200</v>
          </cell>
          <cell r="D1780">
            <v>1500</v>
          </cell>
          <cell r="E1780">
            <v>0</v>
          </cell>
          <cell r="F1780">
            <v>5700</v>
          </cell>
        </row>
        <row r="1781">
          <cell r="A1781" t="str">
            <v>71400000-40003000-16010000</v>
          </cell>
          <cell r="B1781" t="str">
            <v>PAPELERIA</v>
          </cell>
          <cell r="C1781">
            <v>14210.28</v>
          </cell>
          <cell r="D1781">
            <v>241.47</v>
          </cell>
          <cell r="E1781">
            <v>0</v>
          </cell>
          <cell r="F1781">
            <v>14451.75</v>
          </cell>
        </row>
        <row r="1782">
          <cell r="A1782" t="str">
            <v>71400000-40003000-16040000</v>
          </cell>
          <cell r="B1782" t="str">
            <v>IMPLEMENTOS DE OFICINA</v>
          </cell>
          <cell r="C1782">
            <v>2000</v>
          </cell>
          <cell r="D1782">
            <v>0</v>
          </cell>
          <cell r="E1782">
            <v>0</v>
          </cell>
          <cell r="F1782">
            <v>2000</v>
          </cell>
        </row>
        <row r="1783">
          <cell r="A1783" t="str">
            <v>71400000-40003000-18020000</v>
          </cell>
          <cell r="B1783" t="str">
            <v>PASAJES Y TRANSPORTES LOCALES</v>
          </cell>
          <cell r="C1783">
            <v>1167</v>
          </cell>
          <cell r="D1783">
            <v>1005</v>
          </cell>
          <cell r="E1783">
            <v>0</v>
          </cell>
          <cell r="F1783">
            <v>2172</v>
          </cell>
        </row>
        <row r="1784">
          <cell r="A1784" t="str">
            <v>71400000-40003000-19010000</v>
          </cell>
          <cell r="B1784" t="str">
            <v>TELEFONOS</v>
          </cell>
          <cell r="C1784">
            <v>991.29</v>
          </cell>
          <cell r="D1784">
            <v>330.43</v>
          </cell>
          <cell r="E1784">
            <v>0</v>
          </cell>
          <cell r="F1784">
            <v>1321.72</v>
          </cell>
        </row>
        <row r="1785">
          <cell r="A1785" t="str">
            <v>71400000-40003000-19030000</v>
          </cell>
          <cell r="B1785" t="str">
            <v>TELEFONOS CELULARES</v>
          </cell>
          <cell r="C1785">
            <v>5480.26</v>
          </cell>
          <cell r="D1785">
            <v>1430.82</v>
          </cell>
          <cell r="E1785">
            <v>0</v>
          </cell>
          <cell r="F1785">
            <v>6911.08</v>
          </cell>
        </row>
        <row r="1786">
          <cell r="A1786" t="str">
            <v>71400000-40003000-20010000</v>
          </cell>
          <cell r="B1786" t="str">
            <v>COMBUSTIBLE AUTOMOVILES</v>
          </cell>
          <cell r="C1786">
            <v>2781.47</v>
          </cell>
          <cell r="D1786">
            <v>567.77</v>
          </cell>
          <cell r="E1786">
            <v>0</v>
          </cell>
          <cell r="F1786">
            <v>3349.24</v>
          </cell>
        </row>
        <row r="1787">
          <cell r="A1787" t="str">
            <v>71400000-40003000-21010000</v>
          </cell>
          <cell r="B1787" t="str">
            <v>HONORARIOS PERSONAS FISICAS</v>
          </cell>
          <cell r="C1787">
            <v>0</v>
          </cell>
          <cell r="D1787">
            <v>21300</v>
          </cell>
          <cell r="E1787">
            <v>0</v>
          </cell>
          <cell r="F1787">
            <v>21300</v>
          </cell>
        </row>
        <row r="1788">
          <cell r="A1788" t="str">
            <v>71400000-40003000-23120000</v>
          </cell>
          <cell r="B1788" t="str">
            <v>DIVERSOS</v>
          </cell>
          <cell r="C1788">
            <v>601.29</v>
          </cell>
          <cell r="D1788">
            <v>182.93</v>
          </cell>
          <cell r="E1788">
            <v>0</v>
          </cell>
          <cell r="F1788">
            <v>784.22</v>
          </cell>
        </row>
        <row r="1789">
          <cell r="A1789" t="str">
            <v>71400000-40003000-35020000</v>
          </cell>
          <cell r="B1789" t="str">
            <v>DIVERSOS NO DEDUCIBLES</v>
          </cell>
          <cell r="C1789">
            <v>2761.6</v>
          </cell>
          <cell r="D1789">
            <v>2291.1999999999998</v>
          </cell>
          <cell r="E1789">
            <v>0</v>
          </cell>
          <cell r="F1789">
            <v>5052.8</v>
          </cell>
        </row>
        <row r="1790">
          <cell r="A1790" t="str">
            <v>71400000-40004000-00000000</v>
          </cell>
          <cell r="B1790" t="str">
            <v>COSTOS/GASTOS FIJOS EXPORT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</row>
        <row r="1791">
          <cell r="A1791" t="str">
            <v>71400000-40005000-00000000</v>
          </cell>
          <cell r="B1791" t="str">
            <v>COSTOS/GASTOS FIJOS ESPECIFIC.</v>
          </cell>
          <cell r="C1791">
            <v>72820.850000000006</v>
          </cell>
          <cell r="D1791">
            <v>7123.01</v>
          </cell>
          <cell r="E1791">
            <v>0</v>
          </cell>
          <cell r="F1791">
            <v>79943.86</v>
          </cell>
        </row>
        <row r="1792">
          <cell r="A1792" t="str">
            <v>71400000-40005000-05010000</v>
          </cell>
          <cell r="B1792" t="str">
            <v>SERV. PROFESIONALES EXTERNOS</v>
          </cell>
          <cell r="C1792">
            <v>48804.29</v>
          </cell>
          <cell r="D1792">
            <v>3350.27</v>
          </cell>
          <cell r="E1792">
            <v>0</v>
          </cell>
          <cell r="F1792">
            <v>52154.559999999998</v>
          </cell>
        </row>
        <row r="1793">
          <cell r="A1793" t="str">
            <v>71400000-40005000-15010000</v>
          </cell>
          <cell r="B1793" t="str">
            <v>MANT. AUTOMOVILES</v>
          </cell>
          <cell r="C1793">
            <v>8570.68</v>
          </cell>
          <cell r="D1793">
            <v>0</v>
          </cell>
          <cell r="E1793">
            <v>0</v>
          </cell>
          <cell r="F1793">
            <v>8570.68</v>
          </cell>
        </row>
        <row r="1794">
          <cell r="A1794" t="str">
            <v>71400000-40005000-16010000</v>
          </cell>
          <cell r="B1794" t="str">
            <v>PAPELERIA</v>
          </cell>
          <cell r="C1794">
            <v>280</v>
          </cell>
          <cell r="D1794">
            <v>317.67</v>
          </cell>
          <cell r="E1794">
            <v>0</v>
          </cell>
          <cell r="F1794">
            <v>597.66999999999996</v>
          </cell>
        </row>
        <row r="1795">
          <cell r="A1795" t="str">
            <v>71400000-40005000-18020000</v>
          </cell>
          <cell r="B1795" t="str">
            <v>PASAJES Y TRANSPORTES LOCALES</v>
          </cell>
          <cell r="C1795">
            <v>3820</v>
          </cell>
          <cell r="D1795">
            <v>0</v>
          </cell>
          <cell r="E1795">
            <v>0</v>
          </cell>
          <cell r="F1795">
            <v>3820</v>
          </cell>
        </row>
        <row r="1796">
          <cell r="A1796" t="str">
            <v>71400000-40005000-19030000</v>
          </cell>
          <cell r="B1796" t="str">
            <v>TELEFONOS CELULARES</v>
          </cell>
          <cell r="C1796">
            <v>1252.54</v>
          </cell>
          <cell r="D1796">
            <v>475.57</v>
          </cell>
          <cell r="E1796">
            <v>0</v>
          </cell>
          <cell r="F1796">
            <v>1728.11</v>
          </cell>
        </row>
        <row r="1797">
          <cell r="A1797" t="str">
            <v>71400000-40005000-20010000</v>
          </cell>
          <cell r="B1797" t="str">
            <v>COMBUSTIBLE AUTOMOVILES</v>
          </cell>
          <cell r="C1797">
            <v>3973.86</v>
          </cell>
          <cell r="D1797">
            <v>1328.49</v>
          </cell>
          <cell r="E1797">
            <v>0</v>
          </cell>
          <cell r="F1797">
            <v>5302.35</v>
          </cell>
        </row>
        <row r="1798">
          <cell r="A1798" t="str">
            <v>71400000-40005000-23120000</v>
          </cell>
          <cell r="B1798" t="str">
            <v>DIVERSOS</v>
          </cell>
          <cell r="C1798">
            <v>1476.38</v>
          </cell>
          <cell r="D1798">
            <v>0</v>
          </cell>
          <cell r="E1798">
            <v>0</v>
          </cell>
          <cell r="F1798">
            <v>1476.38</v>
          </cell>
        </row>
        <row r="1799">
          <cell r="A1799" t="str">
            <v>71400000-40005000-23130000</v>
          </cell>
          <cell r="B1799" t="str">
            <v>OTROS IMPUESTOS Y DERECHOS</v>
          </cell>
          <cell r="C1799">
            <v>2123.6799999999998</v>
          </cell>
          <cell r="D1799">
            <v>435.51</v>
          </cell>
          <cell r="E1799">
            <v>0</v>
          </cell>
          <cell r="F1799">
            <v>2559.19</v>
          </cell>
        </row>
        <row r="1800">
          <cell r="A1800" t="str">
            <v>71400000-40005000-35020000</v>
          </cell>
          <cell r="B1800" t="str">
            <v>DIVERSOS NO DEDUCIBLES</v>
          </cell>
          <cell r="C1800">
            <v>2519.42</v>
          </cell>
          <cell r="D1800">
            <v>1215.5</v>
          </cell>
          <cell r="E1800">
            <v>0</v>
          </cell>
          <cell r="F1800">
            <v>3734.92</v>
          </cell>
        </row>
        <row r="1801">
          <cell r="A1801" t="str">
            <v>71500000-00000000-00000000</v>
          </cell>
          <cell r="B1801" t="str">
            <v>COSTOS/GASTOS FIJOS EXPORTACIO</v>
          </cell>
          <cell r="C1801">
            <v>336367.08</v>
          </cell>
          <cell r="D1801">
            <v>54733.74</v>
          </cell>
          <cell r="E1801">
            <v>0</v>
          </cell>
          <cell r="F1801">
            <v>391100.82</v>
          </cell>
        </row>
        <row r="1802">
          <cell r="F1802">
            <v>391100.82</v>
          </cell>
        </row>
        <row r="1803">
          <cell r="A1803" t="str">
            <v>71500000-50000000-00000000</v>
          </cell>
          <cell r="B1803" t="str">
            <v>COSTOS/GASTOS FIJOS EXPORTACIO</v>
          </cell>
          <cell r="C1803">
            <v>336367.08</v>
          </cell>
          <cell r="D1803">
            <v>54733.74</v>
          </cell>
          <cell r="E1803">
            <v>0</v>
          </cell>
        </row>
        <row r="1804">
          <cell r="A1804" t="str">
            <v>71500000-50001000-00000000</v>
          </cell>
          <cell r="B1804" t="str">
            <v>COSTOS/GASTOS FIJOS EXPORTACIO</v>
          </cell>
          <cell r="C1804">
            <v>336367.08</v>
          </cell>
          <cell r="D1804">
            <v>54733.74</v>
          </cell>
          <cell r="E1804">
            <v>0</v>
          </cell>
          <cell r="F1804">
            <v>391100.82</v>
          </cell>
        </row>
        <row r="1805">
          <cell r="A1805" t="str">
            <v>71500000-50001000-01010000</v>
          </cell>
          <cell r="B1805" t="str">
            <v>SUELDOS Y SALARIOS</v>
          </cell>
          <cell r="C1805">
            <v>55971.18</v>
          </cell>
          <cell r="D1805">
            <v>14282</v>
          </cell>
          <cell r="E1805">
            <v>0</v>
          </cell>
          <cell r="F1805">
            <v>70253.179999999993</v>
          </cell>
        </row>
        <row r="1806">
          <cell r="A1806" t="str">
            <v>71500000-50001000-01030000</v>
          </cell>
          <cell r="B1806" t="str">
            <v>GRATIFICACIONES</v>
          </cell>
          <cell r="C1806">
            <v>2588.0500000000002</v>
          </cell>
          <cell r="D1806">
            <v>530</v>
          </cell>
          <cell r="E1806">
            <v>0</v>
          </cell>
          <cell r="F1806">
            <v>3118.05</v>
          </cell>
        </row>
        <row r="1807">
          <cell r="A1807" t="str">
            <v>71500000-50001000-01040000</v>
          </cell>
          <cell r="B1807" t="str">
            <v>VACACIONES</v>
          </cell>
          <cell r="C1807">
            <v>754</v>
          </cell>
          <cell r="D1807">
            <v>784</v>
          </cell>
          <cell r="E1807">
            <v>0</v>
          </cell>
          <cell r="F1807">
            <v>1538</v>
          </cell>
        </row>
        <row r="1808">
          <cell r="A1808" t="str">
            <v>71500000-50001000-01050000</v>
          </cell>
          <cell r="B1808" t="str">
            <v>PRIMA VACACIONAL</v>
          </cell>
          <cell r="C1808">
            <v>490.1</v>
          </cell>
          <cell r="D1808">
            <v>509.6</v>
          </cell>
          <cell r="E1808">
            <v>0</v>
          </cell>
          <cell r="F1808">
            <v>999.7</v>
          </cell>
        </row>
        <row r="1809">
          <cell r="A1809" t="str">
            <v>71500000-50001000-01080000</v>
          </cell>
          <cell r="B1809" t="str">
            <v>COMISIONES</v>
          </cell>
          <cell r="C1809">
            <v>2437.6</v>
          </cell>
          <cell r="D1809">
            <v>0</v>
          </cell>
          <cell r="E1809">
            <v>0</v>
          </cell>
          <cell r="F1809">
            <v>2437.6</v>
          </cell>
        </row>
        <row r="1810">
          <cell r="A1810" t="str">
            <v>71500000-50001000-03010000</v>
          </cell>
          <cell r="B1810" t="str">
            <v>FONDO DE AHORRO</v>
          </cell>
          <cell r="C1810">
            <v>1819.3</v>
          </cell>
          <cell r="D1810">
            <v>423.36</v>
          </cell>
          <cell r="E1810">
            <v>0</v>
          </cell>
          <cell r="F1810">
            <v>2242.66</v>
          </cell>
        </row>
        <row r="1811">
          <cell r="A1811" t="str">
            <v>71500000-50001000-03020000</v>
          </cell>
          <cell r="B1811" t="str">
            <v>CUOTAS AL I.M.S.S.</v>
          </cell>
          <cell r="C1811">
            <v>3137.78</v>
          </cell>
          <cell r="D1811">
            <v>743.51</v>
          </cell>
          <cell r="E1811">
            <v>0</v>
          </cell>
          <cell r="F1811">
            <v>3881.29</v>
          </cell>
        </row>
        <row r="1812">
          <cell r="A1812" t="str">
            <v>71500000-50001000-03040000</v>
          </cell>
          <cell r="B1812" t="str">
            <v>DESPENSA EN VALES</v>
          </cell>
          <cell r="C1812">
            <v>440</v>
          </cell>
          <cell r="D1812">
            <v>0</v>
          </cell>
          <cell r="E1812">
            <v>0</v>
          </cell>
          <cell r="F1812">
            <v>440</v>
          </cell>
        </row>
        <row r="1813">
          <cell r="A1813" t="str">
            <v>71500000-50001000-04010000</v>
          </cell>
          <cell r="B1813" t="str">
            <v>2% SOBRE NOMINAS</v>
          </cell>
          <cell r="C1813">
            <v>666</v>
          </cell>
          <cell r="D1813">
            <v>188</v>
          </cell>
          <cell r="E1813">
            <v>0</v>
          </cell>
          <cell r="F1813">
            <v>854</v>
          </cell>
        </row>
        <row r="1814">
          <cell r="A1814" t="str">
            <v>71500000-50001000-04020000</v>
          </cell>
          <cell r="B1814" t="str">
            <v>5% INFONAVIT</v>
          </cell>
          <cell r="C1814">
            <v>1605.51</v>
          </cell>
          <cell r="D1814">
            <v>359.76</v>
          </cell>
          <cell r="E1814">
            <v>0</v>
          </cell>
          <cell r="F1814">
            <v>1965.27</v>
          </cell>
        </row>
        <row r="1815">
          <cell r="A1815" t="str">
            <v>71500000-50001000-04030000</v>
          </cell>
          <cell r="B1815" t="str">
            <v>2% SAR / RETIRO</v>
          </cell>
          <cell r="C1815">
            <v>642.20000000000005</v>
          </cell>
          <cell r="D1815">
            <v>143.9</v>
          </cell>
          <cell r="E1815">
            <v>0</v>
          </cell>
          <cell r="F1815">
            <v>786.1</v>
          </cell>
        </row>
        <row r="1816">
          <cell r="A1816" t="str">
            <v>71500000-50001000-04040000</v>
          </cell>
          <cell r="B1816" t="str">
            <v>CESANTIA Y VEJEZ</v>
          </cell>
          <cell r="C1816">
            <v>1011.5</v>
          </cell>
          <cell r="D1816">
            <v>226.64</v>
          </cell>
          <cell r="E1816">
            <v>0</v>
          </cell>
          <cell r="F1816">
            <v>1238.1400000000001</v>
          </cell>
        </row>
        <row r="1817">
          <cell r="A1817" t="str">
            <v>71500000-50001000-14080000</v>
          </cell>
          <cell r="B1817" t="str">
            <v>CARGA</v>
          </cell>
          <cell r="C1817">
            <v>15612.58</v>
          </cell>
          <cell r="D1817">
            <v>3821.52</v>
          </cell>
          <cell r="E1817">
            <v>0</v>
          </cell>
          <cell r="F1817">
            <v>19434.099999999999</v>
          </cell>
        </row>
        <row r="1818">
          <cell r="A1818" t="str">
            <v>71500000-50001000-18010000</v>
          </cell>
          <cell r="B1818" t="str">
            <v>CAPACITACION Y ADIESTRAMIENTO</v>
          </cell>
          <cell r="C1818">
            <v>0</v>
          </cell>
          <cell r="D1818">
            <v>1200</v>
          </cell>
          <cell r="E1818">
            <v>0</v>
          </cell>
          <cell r="F1818">
            <v>1200</v>
          </cell>
        </row>
        <row r="1819">
          <cell r="A1819" t="str">
            <v>71500000-50001000-18020000</v>
          </cell>
          <cell r="B1819" t="str">
            <v>PASAJES Y TRANSPORTES LOCALES</v>
          </cell>
          <cell r="C1819">
            <v>1362.96</v>
          </cell>
          <cell r="D1819">
            <v>192.73</v>
          </cell>
          <cell r="E1819">
            <v>0</v>
          </cell>
          <cell r="F1819">
            <v>1555.69</v>
          </cell>
        </row>
        <row r="1820">
          <cell r="A1820" t="str">
            <v>71500000-50001000-18090000</v>
          </cell>
          <cell r="B1820" t="str">
            <v>GASTOS DE REPRESENTACION AGENT</v>
          </cell>
          <cell r="C1820">
            <v>9434.2900000000009</v>
          </cell>
          <cell r="D1820">
            <v>3749.74</v>
          </cell>
          <cell r="E1820">
            <v>0</v>
          </cell>
          <cell r="F1820">
            <v>13184.03</v>
          </cell>
        </row>
        <row r="1821">
          <cell r="A1821" t="str">
            <v>71500000-50001000-18100000</v>
          </cell>
          <cell r="B1821" t="str">
            <v>GASTOS DE REPRESENTACION DIREC</v>
          </cell>
          <cell r="C1821">
            <v>14400.3</v>
          </cell>
          <cell r="D1821">
            <v>4418.4799999999996</v>
          </cell>
          <cell r="E1821">
            <v>0</v>
          </cell>
          <cell r="F1821">
            <v>18818.78</v>
          </cell>
        </row>
        <row r="1822">
          <cell r="A1822" t="str">
            <v>71500000-50001000-18110000</v>
          </cell>
          <cell r="B1822" t="str">
            <v>CONSUMOS RESTAURANT</v>
          </cell>
          <cell r="C1822">
            <v>0</v>
          </cell>
          <cell r="D1822">
            <v>22.79</v>
          </cell>
          <cell r="E1822">
            <v>0</v>
          </cell>
          <cell r="F1822">
            <v>22.79</v>
          </cell>
        </row>
        <row r="1823">
          <cell r="A1823" t="str">
            <v>71500000-50001000-19030000</v>
          </cell>
          <cell r="B1823" t="str">
            <v>TELEFONOS CELULARES</v>
          </cell>
          <cell r="C1823">
            <v>8572.85</v>
          </cell>
          <cell r="D1823">
            <v>2717.38</v>
          </cell>
          <cell r="E1823">
            <v>0</v>
          </cell>
          <cell r="F1823">
            <v>11290.23</v>
          </cell>
        </row>
        <row r="1824">
          <cell r="A1824" t="str">
            <v>71500000-50001000-19070000</v>
          </cell>
          <cell r="B1824" t="str">
            <v>MENSAJERIA ESPECIALIZADA</v>
          </cell>
          <cell r="C1824">
            <v>5313</v>
          </cell>
          <cell r="D1824">
            <v>2609</v>
          </cell>
          <cell r="E1824">
            <v>0</v>
          </cell>
          <cell r="F1824">
            <v>7922</v>
          </cell>
        </row>
        <row r="1825">
          <cell r="A1825" t="str">
            <v>71500000-50001000-22050000</v>
          </cell>
          <cell r="B1825" t="str">
            <v>COMISIONES Y ASESORIAS EXTERNA</v>
          </cell>
          <cell r="C1825">
            <v>91304.320000000007</v>
          </cell>
          <cell r="D1825">
            <v>0</v>
          </cell>
          <cell r="E1825">
            <v>0</v>
          </cell>
          <cell r="F1825">
            <v>91304.320000000007</v>
          </cell>
        </row>
        <row r="1826">
          <cell r="A1826" t="str">
            <v>71500000-50001000-23070000</v>
          </cell>
          <cell r="B1826" t="str">
            <v>TARIMAS</v>
          </cell>
          <cell r="C1826">
            <v>113129.58</v>
          </cell>
          <cell r="D1826">
            <v>10824.6</v>
          </cell>
          <cell r="E1826">
            <v>0</v>
          </cell>
          <cell r="F1826">
            <v>123954.18</v>
          </cell>
        </row>
        <row r="1827">
          <cell r="A1827" t="str">
            <v>71500000-50001000-23120000</v>
          </cell>
          <cell r="B1827" t="str">
            <v>DIVERSOS</v>
          </cell>
          <cell r="C1827">
            <v>0</v>
          </cell>
          <cell r="D1827">
            <v>5636.67</v>
          </cell>
          <cell r="E1827">
            <v>0</v>
          </cell>
          <cell r="F1827">
            <v>5636.67</v>
          </cell>
        </row>
        <row r="1828">
          <cell r="A1828" t="str">
            <v>71500000-50001000-23130000</v>
          </cell>
          <cell r="B1828" t="str">
            <v>OTROS IMPUESTOS Y DERECHOS</v>
          </cell>
          <cell r="C1828">
            <v>698.9</v>
          </cell>
          <cell r="D1828">
            <v>527.6</v>
          </cell>
          <cell r="E1828">
            <v>0</v>
          </cell>
          <cell r="F1828">
            <v>1226.5</v>
          </cell>
        </row>
        <row r="1829">
          <cell r="A1829" t="str">
            <v>71500000-50001000-35020000</v>
          </cell>
          <cell r="B1829" t="str">
            <v>DIVERSOS NO DEDUCIBLES</v>
          </cell>
          <cell r="C1829">
            <v>3202.88</v>
          </cell>
          <cell r="D1829">
            <v>379.41</v>
          </cell>
          <cell r="E1829">
            <v>0</v>
          </cell>
          <cell r="F1829">
            <v>3582.29</v>
          </cell>
        </row>
        <row r="1830">
          <cell r="A1830" t="str">
            <v>71500000-50001000-90030000</v>
          </cell>
          <cell r="B1830" t="str">
            <v>PROVISION AGUINALDO</v>
          </cell>
          <cell r="C1830">
            <v>1772.2</v>
          </cell>
          <cell r="D1830">
            <v>443.05</v>
          </cell>
          <cell r="E1830">
            <v>0</v>
          </cell>
          <cell r="F1830">
            <v>2215.25</v>
          </cell>
        </row>
        <row r="1831">
          <cell r="A1831" t="str">
            <v>72000000-00000000-00000000</v>
          </cell>
          <cell r="B1831" t="str">
            <v>COSTOS/GASTOS VARIABLES</v>
          </cell>
          <cell r="C1831">
            <v>1929490.99</v>
          </cell>
          <cell r="D1831">
            <v>1000231.58</v>
          </cell>
          <cell r="E1831">
            <v>190386.84</v>
          </cell>
          <cell r="F1831">
            <v>2739335.73</v>
          </cell>
        </row>
        <row r="1834">
          <cell r="A1834" t="str">
            <v>72100000-00000000-00000000</v>
          </cell>
          <cell r="B1834" t="str">
            <v>COSTOS/GASTOS VAR OPERACIONES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</row>
        <row r="1835">
          <cell r="F1835">
            <v>0</v>
          </cell>
        </row>
        <row r="1836">
          <cell r="A1836" t="str">
            <v>72100000-10000000-00000000</v>
          </cell>
          <cell r="C1836">
            <v>0</v>
          </cell>
          <cell r="D1836">
            <v>0</v>
          </cell>
          <cell r="E1836">
            <v>0</v>
          </cell>
        </row>
        <row r="1837">
          <cell r="A1837" t="str">
            <v>72100000-10001000-00000000</v>
          </cell>
          <cell r="B1837" t="str">
            <v>COSTOS/GASTOS VAR OPERACIONES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</row>
        <row r="1838">
          <cell r="A1838" t="str">
            <v>72100000-10002000-00000000</v>
          </cell>
          <cell r="B1838" t="str">
            <v>COSTOS/GASTOS VAR EMBARQUES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</row>
        <row r="1839">
          <cell r="A1839" t="str">
            <v>72100000-10003000-00000000</v>
          </cell>
          <cell r="B1839" t="str">
            <v>COSTOS/GASTOS VAR MAT PRIMAS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</row>
        <row r="1840">
          <cell r="A1840" t="str">
            <v>72100000-10004000-00000000</v>
          </cell>
          <cell r="B1840" t="str">
            <v>COSTOS/GASTOS VAR PRODUCCION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</row>
        <row r="1841">
          <cell r="A1841" t="str">
            <v>72100000-10005000-00000000</v>
          </cell>
          <cell r="B1841" t="str">
            <v>COSTOS/GASTOS VAR LABORATORIO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</row>
        <row r="1842">
          <cell r="A1842" t="str">
            <v>72200000-00000000-00000000</v>
          </cell>
          <cell r="B1842" t="str">
            <v>COSTOS/GASTOS VAR ADMON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</row>
        <row r="1843">
          <cell r="F1843">
            <v>0</v>
          </cell>
        </row>
        <row r="1844">
          <cell r="A1844" t="str">
            <v>72200000-20000000-00000000</v>
          </cell>
          <cell r="C1844">
            <v>0</v>
          </cell>
          <cell r="D1844">
            <v>0</v>
          </cell>
          <cell r="E1844">
            <v>0</v>
          </cell>
        </row>
        <row r="1845">
          <cell r="A1845" t="str">
            <v>72200000-20001000-00000000</v>
          </cell>
          <cell r="B1845" t="str">
            <v>COSTOS/GASTOS VAR ADMON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</row>
        <row r="1846">
          <cell r="A1846" t="str">
            <v>72200000-20002000-00000000</v>
          </cell>
          <cell r="B1846" t="str">
            <v>COSTOS/GASTOS VAR LEGAL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</row>
        <row r="1847">
          <cell r="A1847" t="str">
            <v>72200000-20003000-00000000</v>
          </cell>
          <cell r="B1847" t="str">
            <v>COSTOS/GASTOS DIR GRAL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</row>
        <row r="1848">
          <cell r="A1848" t="str">
            <v>72200000-20004000-00000000</v>
          </cell>
          <cell r="B1848" t="str">
            <v>COSTOS/GASTOS VAR REC HUM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</row>
        <row r="1849">
          <cell r="A1849" t="str">
            <v>72300000-00000000-00000000</v>
          </cell>
          <cell r="B1849" t="str">
            <v>COSTOS/GASTOS VAR VENTAS</v>
          </cell>
          <cell r="C1849">
            <v>787599.99</v>
          </cell>
          <cell r="D1849">
            <v>124611.42</v>
          </cell>
          <cell r="E1849">
            <v>0</v>
          </cell>
          <cell r="F1849">
            <v>912211.41</v>
          </cell>
        </row>
        <row r="1850">
          <cell r="F1850">
            <v>912211.41</v>
          </cell>
        </row>
        <row r="1851">
          <cell r="A1851" t="str">
            <v>72300000-30000000-00000000</v>
          </cell>
          <cell r="B1851" t="str">
            <v>COSTOS/GASTOS VAR VENTAS</v>
          </cell>
          <cell r="C1851">
            <v>787599.99</v>
          </cell>
          <cell r="D1851">
            <v>124611.42</v>
          </cell>
          <cell r="E1851">
            <v>0</v>
          </cell>
        </row>
        <row r="1852">
          <cell r="A1852" t="str">
            <v>72300000-30001000-00000000</v>
          </cell>
          <cell r="B1852" t="str">
            <v>COSTOS/GASTOS VAR VTAS NAL</v>
          </cell>
          <cell r="C1852">
            <v>46999.54</v>
          </cell>
          <cell r="D1852">
            <v>31333.99</v>
          </cell>
          <cell r="E1852">
            <v>0</v>
          </cell>
          <cell r="F1852">
            <v>78333.53</v>
          </cell>
        </row>
        <row r="1853">
          <cell r="A1853" t="str">
            <v>72300000-30001000-01080000</v>
          </cell>
          <cell r="B1853" t="str">
            <v>COMISIONES</v>
          </cell>
          <cell r="C1853">
            <v>2342</v>
          </cell>
          <cell r="D1853">
            <v>503.5</v>
          </cell>
          <cell r="E1853">
            <v>0</v>
          </cell>
          <cell r="F1853">
            <v>2845.5</v>
          </cell>
        </row>
        <row r="1854">
          <cell r="A1854" t="str">
            <v>72300000-30001000-01090000</v>
          </cell>
          <cell r="B1854" t="str">
            <v>BONOS Y PREMIOS POR LOGROS</v>
          </cell>
          <cell r="C1854">
            <v>2800</v>
          </cell>
          <cell r="D1854">
            <v>0</v>
          </cell>
          <cell r="E1854">
            <v>0</v>
          </cell>
          <cell r="F1854">
            <v>2800</v>
          </cell>
        </row>
        <row r="1855">
          <cell r="A1855" t="str">
            <v>72300000-30001000-05010000</v>
          </cell>
          <cell r="B1855" t="str">
            <v>SERV. PROFESIONALES EXTERNOS</v>
          </cell>
          <cell r="C1855">
            <v>41857.54</v>
          </cell>
          <cell r="D1855">
            <v>30830.49</v>
          </cell>
          <cell r="E1855">
            <v>0</v>
          </cell>
          <cell r="F1855">
            <v>72688.03</v>
          </cell>
        </row>
        <row r="1856">
          <cell r="A1856" t="str">
            <v>72300000-30002000-00000000</v>
          </cell>
          <cell r="B1856" t="str">
            <v>COSTOS/GASTOS VAR DF 1</v>
          </cell>
          <cell r="C1856">
            <v>86411.74</v>
          </cell>
          <cell r="D1856">
            <v>5820.44</v>
          </cell>
          <cell r="E1856">
            <v>0</v>
          </cell>
          <cell r="F1856">
            <v>92232.18</v>
          </cell>
        </row>
        <row r="1857">
          <cell r="A1857" t="str">
            <v>72300000-30002000-05010000</v>
          </cell>
          <cell r="B1857" t="str">
            <v>SERV. PROFESIONALES EXTERNOS</v>
          </cell>
          <cell r="C1857">
            <v>86411.74</v>
          </cell>
          <cell r="D1857">
            <v>5820.44</v>
          </cell>
          <cell r="E1857">
            <v>0</v>
          </cell>
          <cell r="F1857">
            <v>92232.18</v>
          </cell>
        </row>
        <row r="1858">
          <cell r="A1858" t="str">
            <v>72300000-30003000-00000000</v>
          </cell>
          <cell r="B1858" t="str">
            <v>COSTOS/GASTOS VAR SUR</v>
          </cell>
          <cell r="C1858">
            <v>34319</v>
          </cell>
          <cell r="D1858">
            <v>3178</v>
          </cell>
          <cell r="E1858">
            <v>0</v>
          </cell>
          <cell r="F1858">
            <v>37497</v>
          </cell>
        </row>
        <row r="1859">
          <cell r="A1859" t="str">
            <v>72300000-30003000-01080000</v>
          </cell>
          <cell r="B1859" t="str">
            <v>COMISIONES</v>
          </cell>
          <cell r="C1859">
            <v>26319</v>
          </cell>
          <cell r="D1859">
            <v>3178</v>
          </cell>
          <cell r="E1859">
            <v>0</v>
          </cell>
          <cell r="F1859">
            <v>29497</v>
          </cell>
        </row>
        <row r="1860">
          <cell r="A1860" t="str">
            <v>72300000-30003000-01090000</v>
          </cell>
          <cell r="B1860" t="str">
            <v>BONOS Y PREMIOS POR LOGROS</v>
          </cell>
          <cell r="C1860">
            <v>8000</v>
          </cell>
          <cell r="D1860">
            <v>0</v>
          </cell>
          <cell r="E1860">
            <v>0</v>
          </cell>
          <cell r="F1860">
            <v>8000</v>
          </cell>
        </row>
        <row r="1861">
          <cell r="A1861" t="str">
            <v>72300000-30004000-00000000</v>
          </cell>
          <cell r="B1861" t="str">
            <v>COSTOS/GASTOS VAR GOLFO</v>
          </cell>
          <cell r="C1861">
            <v>49186</v>
          </cell>
          <cell r="D1861">
            <v>9958</v>
          </cell>
          <cell r="E1861">
            <v>0</v>
          </cell>
          <cell r="F1861">
            <v>59144</v>
          </cell>
        </row>
        <row r="1862">
          <cell r="A1862" t="str">
            <v>72300000-30004000-01080000</v>
          </cell>
          <cell r="B1862" t="str">
            <v>COMISIONES</v>
          </cell>
          <cell r="C1862">
            <v>40936</v>
          </cell>
          <cell r="D1862">
            <v>9958</v>
          </cell>
          <cell r="E1862">
            <v>0</v>
          </cell>
          <cell r="F1862">
            <v>50894</v>
          </cell>
        </row>
        <row r="1863">
          <cell r="A1863" t="str">
            <v>72300000-30004000-01090000</v>
          </cell>
          <cell r="B1863" t="str">
            <v>BONOS Y PREMIOS POR LOGROS</v>
          </cell>
          <cell r="C1863">
            <v>8250</v>
          </cell>
          <cell r="D1863">
            <v>0</v>
          </cell>
          <cell r="E1863">
            <v>0</v>
          </cell>
          <cell r="F1863">
            <v>8250</v>
          </cell>
        </row>
        <row r="1864">
          <cell r="A1864" t="str">
            <v>72300000-30005000-00000000</v>
          </cell>
          <cell r="B1864" t="str">
            <v>COSTOS/GASTOS VAR TIENDAS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</row>
        <row r="1865">
          <cell r="A1865" t="str">
            <v>72300000-30006000-00000000</v>
          </cell>
          <cell r="B1865" t="str">
            <v>COSTOS/GASTOS VAR NTE CONURB</v>
          </cell>
          <cell r="C1865">
            <v>24565.08</v>
          </cell>
          <cell r="D1865">
            <v>2993.47</v>
          </cell>
          <cell r="E1865">
            <v>0</v>
          </cell>
          <cell r="F1865">
            <v>27558.55</v>
          </cell>
        </row>
        <row r="1866">
          <cell r="A1866" t="str">
            <v>72300000-30006000-05010000</v>
          </cell>
          <cell r="B1866" t="str">
            <v>SERV. PROFESIONALES EXTERNOS</v>
          </cell>
          <cell r="C1866">
            <v>24565.08</v>
          </cell>
          <cell r="D1866">
            <v>2993.47</v>
          </cell>
          <cell r="E1866">
            <v>0</v>
          </cell>
          <cell r="F1866">
            <v>27558.55</v>
          </cell>
        </row>
        <row r="1867">
          <cell r="A1867" t="str">
            <v>72300000-30007000-00000000</v>
          </cell>
          <cell r="B1867" t="str">
            <v>COSTOS/GASTOS VAR PAC NTE</v>
          </cell>
          <cell r="C1867">
            <v>40036</v>
          </cell>
          <cell r="D1867">
            <v>10128</v>
          </cell>
          <cell r="E1867">
            <v>0</v>
          </cell>
          <cell r="F1867">
            <v>50164</v>
          </cell>
        </row>
        <row r="1868">
          <cell r="A1868" t="str">
            <v>72300000-30007000-01080000</v>
          </cell>
          <cell r="B1868" t="str">
            <v>COMISIONES</v>
          </cell>
          <cell r="C1868">
            <v>40036</v>
          </cell>
          <cell r="D1868">
            <v>10128</v>
          </cell>
          <cell r="E1868">
            <v>0</v>
          </cell>
          <cell r="F1868">
            <v>50164</v>
          </cell>
        </row>
        <row r="1869">
          <cell r="A1869" t="str">
            <v>72300000-30008000-00000000</v>
          </cell>
          <cell r="B1869" t="str">
            <v>COSTOS/GASTOS VAR PAC CTRO</v>
          </cell>
          <cell r="C1869">
            <v>61896</v>
          </cell>
          <cell r="D1869">
            <v>12978</v>
          </cell>
          <cell r="E1869">
            <v>0</v>
          </cell>
          <cell r="F1869">
            <v>74874</v>
          </cell>
        </row>
        <row r="1870">
          <cell r="A1870" t="str">
            <v>72300000-30008000-01080000</v>
          </cell>
          <cell r="B1870" t="str">
            <v>COMISIONES</v>
          </cell>
          <cell r="C1870">
            <v>58296</v>
          </cell>
          <cell r="D1870">
            <v>12978</v>
          </cell>
          <cell r="E1870">
            <v>0</v>
          </cell>
          <cell r="F1870">
            <v>71274</v>
          </cell>
        </row>
        <row r="1871">
          <cell r="A1871" t="str">
            <v>72300000-30008000-01090000</v>
          </cell>
          <cell r="B1871" t="str">
            <v>BONOS Y PREMIOS POR LOGROS</v>
          </cell>
          <cell r="C1871">
            <v>3600</v>
          </cell>
          <cell r="D1871">
            <v>0</v>
          </cell>
          <cell r="E1871">
            <v>0</v>
          </cell>
          <cell r="F1871">
            <v>3600</v>
          </cell>
        </row>
        <row r="1872">
          <cell r="A1872" t="str">
            <v>72300000-30009000-00000000</v>
          </cell>
          <cell r="B1872" t="str">
            <v>COSTOS/GASTOS VAR GDL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</row>
        <row r="1873">
          <cell r="A1873" t="str">
            <v>72300000-30010000-00000000</v>
          </cell>
          <cell r="B1873" t="str">
            <v>COSTOS/GASTOS VAR OCCIDENTE</v>
          </cell>
          <cell r="C1873">
            <v>21772</v>
          </cell>
          <cell r="D1873">
            <v>10416</v>
          </cell>
          <cell r="E1873">
            <v>0</v>
          </cell>
          <cell r="F1873">
            <v>32188</v>
          </cell>
        </row>
        <row r="1874">
          <cell r="A1874" t="str">
            <v>72300000-30010000-01080000</v>
          </cell>
          <cell r="B1874" t="str">
            <v>COMISIONES</v>
          </cell>
          <cell r="C1874">
            <v>21772</v>
          </cell>
          <cell r="D1874">
            <v>10416</v>
          </cell>
          <cell r="E1874">
            <v>0</v>
          </cell>
          <cell r="F1874">
            <v>32188</v>
          </cell>
        </row>
        <row r="1875">
          <cell r="A1875" t="str">
            <v>72300000-30011000-00000000</v>
          </cell>
          <cell r="B1875" t="str">
            <v>COSTOS/GASTOS VAR CONURBADA</v>
          </cell>
          <cell r="C1875">
            <v>129944</v>
          </cell>
          <cell r="D1875">
            <v>12814</v>
          </cell>
          <cell r="E1875">
            <v>0</v>
          </cell>
          <cell r="F1875">
            <v>142758</v>
          </cell>
        </row>
        <row r="1876">
          <cell r="A1876" t="str">
            <v>72300000-30011000-01080000</v>
          </cell>
          <cell r="B1876" t="str">
            <v>COMISIONES</v>
          </cell>
          <cell r="C1876">
            <v>99264</v>
          </cell>
          <cell r="D1876">
            <v>12814</v>
          </cell>
          <cell r="E1876">
            <v>0</v>
          </cell>
          <cell r="F1876">
            <v>112078</v>
          </cell>
        </row>
        <row r="1877">
          <cell r="A1877" t="str">
            <v>72300000-30011000-01090000</v>
          </cell>
          <cell r="B1877" t="str">
            <v>BONOS Y PREMIOS POR LOGROS</v>
          </cell>
          <cell r="C1877">
            <v>30680</v>
          </cell>
          <cell r="D1877">
            <v>0</v>
          </cell>
          <cell r="E1877">
            <v>0</v>
          </cell>
          <cell r="F1877">
            <v>30680</v>
          </cell>
        </row>
        <row r="1878">
          <cell r="A1878" t="str">
            <v>72300000-30012000-00000000</v>
          </cell>
          <cell r="B1878" t="str">
            <v>COSTOS/GASTOS VAR PRECOR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</row>
        <row r="1879">
          <cell r="A1879" t="str">
            <v>72300000-30013000-00000000</v>
          </cell>
          <cell r="B1879" t="str">
            <v>COSTOS/GASTOS VAR CANCUN</v>
          </cell>
          <cell r="C1879">
            <v>30590.69</v>
          </cell>
          <cell r="D1879">
            <v>1811.54</v>
          </cell>
          <cell r="E1879">
            <v>0</v>
          </cell>
          <cell r="F1879">
            <v>32402.23</v>
          </cell>
        </row>
        <row r="1880">
          <cell r="A1880" t="str">
            <v>72300000-30013000-05010000</v>
          </cell>
          <cell r="B1880" t="str">
            <v>SERV. PROFESIONALES EXTERNOS</v>
          </cell>
          <cell r="C1880">
            <v>30590.69</v>
          </cell>
          <cell r="D1880">
            <v>1811.54</v>
          </cell>
          <cell r="E1880">
            <v>0</v>
          </cell>
          <cell r="F1880">
            <v>32402.23</v>
          </cell>
        </row>
        <row r="1881">
          <cell r="A1881" t="str">
            <v>72300000-30014000-00000000</v>
          </cell>
          <cell r="B1881" t="str">
            <v>COSTOS/GASTOS VAR G. FORANEA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</row>
        <row r="1882">
          <cell r="A1882" t="str">
            <v>72300000-30015000-00000000</v>
          </cell>
          <cell r="B1882" t="str">
            <v>COSTOS/GASTOS VAR T AGRICULTUR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</row>
        <row r="1883">
          <cell r="A1883" t="str">
            <v>72300000-30016000-00000000</v>
          </cell>
          <cell r="B1883" t="str">
            <v>COSTOS/GASTOS VAR T IZTAPALAPA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</row>
        <row r="1884">
          <cell r="A1884" t="str">
            <v>72300000-30017000-00000000</v>
          </cell>
          <cell r="B1884" t="str">
            <v>COSTOS/GASTOS VAR T JALISCO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</row>
        <row r="1885">
          <cell r="A1885" t="str">
            <v>72300000-30018000-00000000</v>
          </cell>
          <cell r="B1885" t="str">
            <v>COSTOS/GASTOS VAR T ACOXPA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</row>
        <row r="1886">
          <cell r="A1886" t="str">
            <v>72300000-30019000-00000000</v>
          </cell>
          <cell r="B1886" t="str">
            <v>COSTOS/GASTOS VAR T DIV NORTE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</row>
        <row r="1887">
          <cell r="A1887" t="str">
            <v>72300000-30020000-00000000</v>
          </cell>
          <cell r="B1887" t="str">
            <v>COSTOS/GASTOS VAR T PORTALES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</row>
        <row r="1888">
          <cell r="A1888" t="str">
            <v>72300000-30021000-00000000</v>
          </cell>
          <cell r="B1888" t="str">
            <v>COSTOS/GASTOS VAR T CUAJIMALPA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</row>
        <row r="1889">
          <cell r="A1889" t="str">
            <v>72300000-30022000-00000000</v>
          </cell>
          <cell r="B1889" t="str">
            <v>COSTOS/GASTOS VAR T ECATEPEC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</row>
        <row r="1890">
          <cell r="A1890" t="str">
            <v>72300000-30023000-00000000</v>
          </cell>
          <cell r="B1890" t="str">
            <v>COSTOS/GASTOS FIJOS COACALCO 1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</row>
        <row r="1891">
          <cell r="A1891" t="str">
            <v>72300000-30024000-00000000</v>
          </cell>
          <cell r="B1891" t="str">
            <v>COSTOS/GASTOS FIJOS COACALCO 2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</row>
        <row r="1892">
          <cell r="A1892" t="str">
            <v>72300000-30025000-00000000</v>
          </cell>
          <cell r="B1892" t="str">
            <v>COSTOS/GASTOS VAR OCCIDENTE 2</v>
          </cell>
          <cell r="C1892">
            <v>35882.54</v>
          </cell>
          <cell r="D1892">
            <v>4423.28</v>
          </cell>
          <cell r="E1892">
            <v>0</v>
          </cell>
          <cell r="F1892">
            <v>40305.82</v>
          </cell>
        </row>
        <row r="1893">
          <cell r="A1893" t="str">
            <v>72300000-30025000-05010000</v>
          </cell>
          <cell r="B1893" t="str">
            <v>SERV. PROFESIONALES EXTERNOS</v>
          </cell>
          <cell r="C1893">
            <v>35882.54</v>
          </cell>
          <cell r="D1893">
            <v>4423.28</v>
          </cell>
          <cell r="E1893">
            <v>0</v>
          </cell>
          <cell r="F1893">
            <v>40305.82</v>
          </cell>
        </row>
        <row r="1894">
          <cell r="A1894" t="str">
            <v>72300000-30026000-00000000</v>
          </cell>
          <cell r="B1894" t="str">
            <v>COSTOS/GASTOS FIJOS DF 2</v>
          </cell>
          <cell r="C1894">
            <v>78145.56</v>
          </cell>
          <cell r="D1894">
            <v>1330.49</v>
          </cell>
          <cell r="E1894">
            <v>0</v>
          </cell>
          <cell r="F1894">
            <v>79476.05</v>
          </cell>
        </row>
        <row r="1895">
          <cell r="A1895" t="str">
            <v>72300000-30026000-05010000</v>
          </cell>
          <cell r="B1895" t="str">
            <v>SERV. PROFESIONALES EXTERNOS</v>
          </cell>
          <cell r="C1895">
            <v>78145.56</v>
          </cell>
          <cell r="D1895">
            <v>1330.49</v>
          </cell>
          <cell r="E1895">
            <v>0</v>
          </cell>
          <cell r="F1895">
            <v>79476.05</v>
          </cell>
        </row>
        <row r="1896">
          <cell r="A1896" t="str">
            <v>72300000-30027000-00000000</v>
          </cell>
          <cell r="B1896" t="str">
            <v>COSTOS/GASTOS FIJOS DF 3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</row>
        <row r="1897">
          <cell r="A1897" t="str">
            <v>72300000-30028000-00000000</v>
          </cell>
          <cell r="B1897" t="str">
            <v>COSTOS/GASTOS FIJOS DF 4</v>
          </cell>
          <cell r="C1897">
            <v>44164</v>
          </cell>
          <cell r="D1897">
            <v>6016</v>
          </cell>
          <cell r="E1897">
            <v>0</v>
          </cell>
          <cell r="F1897">
            <v>50180</v>
          </cell>
        </row>
        <row r="1898">
          <cell r="A1898" t="str">
            <v>72300000-30028000-01080000</v>
          </cell>
          <cell r="B1898" t="str">
            <v>COMISIONES</v>
          </cell>
          <cell r="C1898">
            <v>20164</v>
          </cell>
          <cell r="D1898">
            <v>6016</v>
          </cell>
          <cell r="E1898">
            <v>0</v>
          </cell>
          <cell r="F1898">
            <v>26180</v>
          </cell>
        </row>
        <row r="1899">
          <cell r="A1899" t="str">
            <v>72300000-30028000-01090000</v>
          </cell>
          <cell r="B1899" t="str">
            <v>BONOS Y PREMIOS POR LOGROS</v>
          </cell>
          <cell r="C1899">
            <v>24000</v>
          </cell>
          <cell r="D1899">
            <v>0</v>
          </cell>
          <cell r="E1899">
            <v>0</v>
          </cell>
          <cell r="F1899">
            <v>24000</v>
          </cell>
        </row>
        <row r="1900">
          <cell r="A1900" t="str">
            <v>72300000-30029000-00000000</v>
          </cell>
          <cell r="B1900" t="str">
            <v>COSTOS/GASTOS FIJOS DF 5</v>
          </cell>
          <cell r="C1900">
            <v>30440.38</v>
          </cell>
          <cell r="D1900">
            <v>6489.3</v>
          </cell>
          <cell r="E1900">
            <v>0</v>
          </cell>
          <cell r="F1900">
            <v>36929.68</v>
          </cell>
        </row>
        <row r="1901">
          <cell r="A1901" t="str">
            <v>72300000-30029000-05010000</v>
          </cell>
          <cell r="B1901" t="str">
            <v>SERV. PROFESIONALES EXTERNOS</v>
          </cell>
          <cell r="C1901">
            <v>30440.38</v>
          </cell>
          <cell r="D1901">
            <v>6489.3</v>
          </cell>
          <cell r="E1901">
            <v>0</v>
          </cell>
          <cell r="F1901">
            <v>36929.68</v>
          </cell>
        </row>
        <row r="1902">
          <cell r="A1902" t="str">
            <v>72300000-30030000-00000000</v>
          </cell>
          <cell r="B1902" t="str">
            <v>COSTOS/GASTOS VAR NTE</v>
          </cell>
          <cell r="C1902">
            <v>73247.460000000006</v>
          </cell>
          <cell r="D1902">
            <v>4920.91</v>
          </cell>
          <cell r="E1902">
            <v>0</v>
          </cell>
          <cell r="F1902">
            <v>78168.37</v>
          </cell>
        </row>
        <row r="1903">
          <cell r="A1903" t="str">
            <v>72300000-30030000-05010000</v>
          </cell>
          <cell r="B1903" t="str">
            <v>SERV. PROFESIONALES EXTERNOS</v>
          </cell>
          <cell r="C1903">
            <v>73247.460000000006</v>
          </cell>
          <cell r="D1903">
            <v>4920.91</v>
          </cell>
          <cell r="E1903">
            <v>0</v>
          </cell>
          <cell r="F1903">
            <v>78168.37</v>
          </cell>
        </row>
        <row r="1904">
          <cell r="A1904" t="str">
            <v>72300000-30031000-00000000</v>
          </cell>
          <cell r="B1904" t="str">
            <v>COSTOS/GASTOS FIJOS PROYEC ESP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</row>
        <row r="1905">
          <cell r="A1905" t="str">
            <v>72400000-00000000-00000000</v>
          </cell>
          <cell r="B1905" t="str">
            <v>COSTOS/GASTOS VAR MKT</v>
          </cell>
          <cell r="C1905">
            <v>898451.74</v>
          </cell>
          <cell r="D1905">
            <v>738535.92</v>
          </cell>
          <cell r="E1905">
            <v>51108.47</v>
          </cell>
          <cell r="F1905">
            <v>1585879.19</v>
          </cell>
        </row>
        <row r="1906">
          <cell r="F1906">
            <v>1585879.19</v>
          </cell>
        </row>
        <row r="1907">
          <cell r="A1907" t="str">
            <v>72400000-40000000-00000000</v>
          </cell>
          <cell r="B1907" t="str">
            <v>COSTOS/GASTOS VAR MKT</v>
          </cell>
          <cell r="C1907">
            <v>898451.74</v>
          </cell>
          <cell r="D1907">
            <v>738535.92</v>
          </cell>
          <cell r="E1907">
            <v>51108.47</v>
          </cell>
        </row>
        <row r="1908">
          <cell r="A1908" t="str">
            <v>72400000-40001000-00000000</v>
          </cell>
          <cell r="B1908" t="str">
            <v>COSTOS/GASTOS VAR MKT GRAL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</row>
        <row r="1909">
          <cell r="A1909" t="str">
            <v>72400000-40002000-00000000</v>
          </cell>
          <cell r="B1909" t="str">
            <v>COSTOS/GASTOS VAR CAPACITACION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</row>
        <row r="1910">
          <cell r="A1910" t="str">
            <v>72400000-40003000-00000000</v>
          </cell>
          <cell r="B1910" t="str">
            <v>COSTOS/GASTOS VAR PUB Y MKT</v>
          </cell>
          <cell r="C1910">
            <v>898451.74</v>
          </cell>
          <cell r="D1910">
            <v>738535.92</v>
          </cell>
          <cell r="E1910">
            <v>51108.47</v>
          </cell>
          <cell r="F1910">
            <v>1585879.19</v>
          </cell>
        </row>
        <row r="1911">
          <cell r="A1911" t="str">
            <v>72400000-40003000-21010000</v>
          </cell>
          <cell r="B1911" t="str">
            <v>HONORARIOS PERSONAS FISICAS</v>
          </cell>
          <cell r="C1911">
            <v>0</v>
          </cell>
          <cell r="D1911">
            <v>15000</v>
          </cell>
          <cell r="E1911">
            <v>15000</v>
          </cell>
          <cell r="F1911">
            <v>0</v>
          </cell>
        </row>
        <row r="1912">
          <cell r="A1912" t="str">
            <v>72400000-40003000-24010000</v>
          </cell>
          <cell r="B1912" t="str">
            <v>MATERIAL DE APOYO</v>
          </cell>
          <cell r="C1912">
            <v>1431.4</v>
          </cell>
          <cell r="D1912">
            <v>0</v>
          </cell>
          <cell r="E1912">
            <v>0</v>
          </cell>
          <cell r="F1912">
            <v>1431.4</v>
          </cell>
        </row>
        <row r="1913">
          <cell r="A1913" t="str">
            <v>72400000-40003000-27010000</v>
          </cell>
          <cell r="B1913" t="str">
            <v>EXPOSICIONES Y EVENTOS PROFESI</v>
          </cell>
          <cell r="C1913">
            <v>185637.83</v>
          </cell>
          <cell r="D1913">
            <v>175333.54</v>
          </cell>
          <cell r="E1913">
            <v>36108.47</v>
          </cell>
          <cell r="F1913">
            <v>324862.90000000002</v>
          </cell>
        </row>
        <row r="1914">
          <cell r="A1914" t="str">
            <v>72400000-40003000-27020000</v>
          </cell>
          <cell r="B1914" t="str">
            <v>PUBLICIDAD REVISTAS Y PERIODIC</v>
          </cell>
          <cell r="C1914">
            <v>158232.57999999999</v>
          </cell>
          <cell r="D1914">
            <v>393268</v>
          </cell>
          <cell r="E1914">
            <v>0</v>
          </cell>
          <cell r="F1914">
            <v>551500.57999999996</v>
          </cell>
        </row>
        <row r="1915">
          <cell r="A1915" t="str">
            <v>72400000-40003000-27050000</v>
          </cell>
          <cell r="B1915" t="str">
            <v>ROTULACION DE VEHICULOS</v>
          </cell>
          <cell r="C1915">
            <v>13100</v>
          </cell>
          <cell r="D1915">
            <v>2650</v>
          </cell>
          <cell r="E1915">
            <v>0</v>
          </cell>
          <cell r="F1915">
            <v>15750</v>
          </cell>
        </row>
        <row r="1916">
          <cell r="A1916" t="str">
            <v>72400000-40003000-27060000</v>
          </cell>
          <cell r="B1916" t="str">
            <v>ROTULACION MANTAS</v>
          </cell>
          <cell r="C1916">
            <v>2195</v>
          </cell>
          <cell r="D1916">
            <v>350</v>
          </cell>
          <cell r="E1916">
            <v>0</v>
          </cell>
          <cell r="F1916">
            <v>2545</v>
          </cell>
        </row>
        <row r="1917">
          <cell r="A1917" t="str">
            <v>72400000-40003000-27070000</v>
          </cell>
          <cell r="B1917" t="str">
            <v>ARTICULOS PROMOCIONALES</v>
          </cell>
          <cell r="C1917">
            <v>210744.42</v>
          </cell>
          <cell r="D1917">
            <v>74745.38</v>
          </cell>
          <cell r="E1917">
            <v>0</v>
          </cell>
          <cell r="F1917">
            <v>285489.8</v>
          </cell>
        </row>
        <row r="1918">
          <cell r="A1918" t="str">
            <v>72400000-40003000-27080000</v>
          </cell>
          <cell r="B1918" t="str">
            <v>FOLLETERIA CARTA DE COLORES</v>
          </cell>
          <cell r="C1918">
            <v>159805</v>
          </cell>
          <cell r="D1918">
            <v>45485</v>
          </cell>
          <cell r="E1918">
            <v>0</v>
          </cell>
          <cell r="F1918">
            <v>205290</v>
          </cell>
        </row>
        <row r="1919">
          <cell r="A1919" t="str">
            <v>72400000-40003000-27100000</v>
          </cell>
          <cell r="B1919" t="str">
            <v>MUESTRAS</v>
          </cell>
          <cell r="C1919">
            <v>5570.88</v>
          </cell>
          <cell r="D1919">
            <v>1725</v>
          </cell>
          <cell r="E1919">
            <v>0</v>
          </cell>
          <cell r="F1919">
            <v>7295.88</v>
          </cell>
        </row>
        <row r="1920">
          <cell r="A1920" t="str">
            <v>72400000-40003000-27120000</v>
          </cell>
          <cell r="B1920" t="str">
            <v>AGENCIAS PUBLICITARIAS</v>
          </cell>
          <cell r="C1920">
            <v>110666.66</v>
          </cell>
          <cell r="D1920">
            <v>2000</v>
          </cell>
          <cell r="E1920">
            <v>0</v>
          </cell>
          <cell r="F1920">
            <v>112666.66</v>
          </cell>
        </row>
        <row r="1921">
          <cell r="A1921" t="str">
            <v>72400000-40003000-27180000</v>
          </cell>
          <cell r="B1921" t="str">
            <v>REMODELA DISEÑO</v>
          </cell>
          <cell r="C1921">
            <v>13565.52</v>
          </cell>
          <cell r="D1921">
            <v>0</v>
          </cell>
          <cell r="E1921">
            <v>0</v>
          </cell>
          <cell r="F1921">
            <v>13565.52</v>
          </cell>
        </row>
        <row r="1922">
          <cell r="A1922" t="str">
            <v>72400000-40003000-27190000</v>
          </cell>
          <cell r="B1922" t="str">
            <v>REMODELA ROTULACION</v>
          </cell>
          <cell r="C1922">
            <v>5119.2</v>
          </cell>
          <cell r="D1922">
            <v>0</v>
          </cell>
          <cell r="E1922">
            <v>0</v>
          </cell>
          <cell r="F1922">
            <v>5119.2</v>
          </cell>
        </row>
        <row r="1923">
          <cell r="A1923" t="str">
            <v>72400000-40003000-27200000</v>
          </cell>
          <cell r="B1923" t="str">
            <v>EXPOSICIONES CON DISTRIBUIDOR</v>
          </cell>
          <cell r="C1923">
            <v>12342.25</v>
          </cell>
          <cell r="D1923">
            <v>0</v>
          </cell>
          <cell r="E1923">
            <v>0</v>
          </cell>
          <cell r="F1923">
            <v>12342.25</v>
          </cell>
        </row>
        <row r="1924">
          <cell r="A1924" t="str">
            <v>72400000-40003000-27210000</v>
          </cell>
          <cell r="B1924" t="str">
            <v>PUBLICIDAD CON DISTRIBUIDORES</v>
          </cell>
          <cell r="C1924">
            <v>20041</v>
          </cell>
          <cell r="D1924">
            <v>5000</v>
          </cell>
          <cell r="E1924">
            <v>0</v>
          </cell>
          <cell r="F1924">
            <v>25041</v>
          </cell>
        </row>
        <row r="1925">
          <cell r="A1925" t="str">
            <v>72400000-40003000-27240000</v>
          </cell>
          <cell r="B1925" t="str">
            <v>PUBLICIDAD EN RADIO</v>
          </cell>
          <cell r="C1925">
            <v>0</v>
          </cell>
          <cell r="D1925">
            <v>22979</v>
          </cell>
          <cell r="E1925">
            <v>0</v>
          </cell>
          <cell r="F1925">
            <v>22979</v>
          </cell>
        </row>
        <row r="1926">
          <cell r="A1926" t="str">
            <v>72400000-40004000-00000000</v>
          </cell>
          <cell r="B1926" t="str">
            <v>COSTOS/GASTOS VAR EXPORT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</row>
        <row r="1927">
          <cell r="A1927" t="str">
            <v>72400000-40005000-00000000</v>
          </cell>
          <cell r="B1927" t="str">
            <v>COSTOS/GASTOS FIJOS ESPECIFIC.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</row>
        <row r="1928">
          <cell r="A1928" t="str">
            <v>72400000-40013000-00000000</v>
          </cell>
          <cell r="B1928" t="str">
            <v>COSTOS/GASTOS VAR CANCUN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</row>
        <row r="1929">
          <cell r="A1929" t="str">
            <v>72500000-00000000-00000000</v>
          </cell>
          <cell r="B1929" t="str">
            <v>COSTOS/GASTOS VAR EXPORTACION</v>
          </cell>
          <cell r="C1929">
            <v>243439.26</v>
          </cell>
          <cell r="D1929">
            <v>137084.24</v>
          </cell>
          <cell r="E1929">
            <v>139278.37</v>
          </cell>
          <cell r="F1929">
            <v>241245.13</v>
          </cell>
        </row>
        <row r="1930">
          <cell r="F1930">
            <v>241245.13</v>
          </cell>
        </row>
        <row r="1931">
          <cell r="A1931" t="str">
            <v>72500000-20000000-00000000</v>
          </cell>
          <cell r="C1931">
            <v>0</v>
          </cell>
          <cell r="D1931">
            <v>0</v>
          </cell>
          <cell r="E1931">
            <v>0</v>
          </cell>
        </row>
        <row r="1932">
          <cell r="A1932" t="str">
            <v>72500000-20001000-00000000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</row>
        <row r="1933">
          <cell r="A1933" t="str">
            <v>72500000-50000000-00000000</v>
          </cell>
          <cell r="B1933" t="str">
            <v>COSTOS/GASTOS VAR EXPORTACION</v>
          </cell>
          <cell r="C1933">
            <v>243439.26</v>
          </cell>
          <cell r="D1933">
            <v>137084.24</v>
          </cell>
          <cell r="E1933">
            <v>139278.37</v>
          </cell>
        </row>
        <row r="1934">
          <cell r="A1934" t="str">
            <v>72500000-50001000-00000000</v>
          </cell>
          <cell r="B1934" t="str">
            <v>COSTOS/GASTOS VAR ESPORT</v>
          </cell>
          <cell r="C1934">
            <v>243439.26</v>
          </cell>
          <cell r="D1934">
            <v>137084.24</v>
          </cell>
          <cell r="E1934">
            <v>139278.37</v>
          </cell>
          <cell r="F1934">
            <v>241245.13</v>
          </cell>
        </row>
        <row r="1935">
          <cell r="A1935" t="str">
            <v>72500000-50001000-22050000</v>
          </cell>
          <cell r="B1935" t="str">
            <v>COMISIONES Y ASESORIAS EXTERNA</v>
          </cell>
          <cell r="C1935">
            <v>243439.26</v>
          </cell>
          <cell r="D1935">
            <v>137084.24</v>
          </cell>
          <cell r="E1935">
            <v>139278.37</v>
          </cell>
          <cell r="F1935">
            <v>241245.13</v>
          </cell>
        </row>
      </sheetData>
      <sheetData sheetId="5">
        <row r="1366">
          <cell r="A1366" t="str">
            <v>71300000-00000000-00000000</v>
          </cell>
          <cell r="B1366" t="str">
            <v>COSTOS/GASTOS FIJOS VENTAS</v>
          </cell>
          <cell r="C1366">
            <v>3104491.83</v>
          </cell>
          <cell r="D1366">
            <v>564297.98</v>
          </cell>
          <cell r="E1366">
            <v>5848.79</v>
          </cell>
          <cell r="F1366">
            <v>3662941.02</v>
          </cell>
        </row>
        <row r="1367">
          <cell r="F1367">
            <v>3662941.02</v>
          </cell>
        </row>
        <row r="1368">
          <cell r="A1368" t="str">
            <v>71300000-30000000-00000000</v>
          </cell>
          <cell r="B1368" t="str">
            <v>COSTOS/GASTOS FIJOS VENTAS</v>
          </cell>
          <cell r="C1368">
            <v>3104491.83</v>
          </cell>
          <cell r="D1368">
            <v>564297.98</v>
          </cell>
          <cell r="E1368">
            <v>5848.79</v>
          </cell>
        </row>
        <row r="1369">
          <cell r="A1369" t="str">
            <v>71300000-30001000-00000000</v>
          </cell>
          <cell r="B1369" t="str">
            <v>COSTOS/GASTOS FIJOS VTAS NAL</v>
          </cell>
          <cell r="C1369">
            <v>1027007.22</v>
          </cell>
          <cell r="D1369">
            <v>160867.41</v>
          </cell>
          <cell r="E1369">
            <v>0</v>
          </cell>
          <cell r="F1369">
            <v>1187874.6299999999</v>
          </cell>
        </row>
        <row r="1370">
          <cell r="A1370" t="str">
            <v>71300000-30001000-01010000</v>
          </cell>
          <cell r="B1370" t="str">
            <v>SUELDOS Y SALARIOS</v>
          </cell>
          <cell r="C1370">
            <v>99360</v>
          </cell>
          <cell r="D1370">
            <v>23327.75</v>
          </cell>
          <cell r="E1370">
            <v>0</v>
          </cell>
          <cell r="F1370">
            <v>122687.75</v>
          </cell>
        </row>
        <row r="1371">
          <cell r="A1371" t="str">
            <v>71300000-30001000-01030000</v>
          </cell>
          <cell r="B1371" t="str">
            <v>GRATIFICACIONES</v>
          </cell>
          <cell r="C1371">
            <v>1922</v>
          </cell>
          <cell r="D1371">
            <v>530</v>
          </cell>
          <cell r="E1371">
            <v>0</v>
          </cell>
          <cell r="F1371">
            <v>2452</v>
          </cell>
        </row>
        <row r="1372">
          <cell r="A1372" t="str">
            <v>71300000-30001000-01040000</v>
          </cell>
          <cell r="B1372" t="str">
            <v>VACACIONES</v>
          </cell>
          <cell r="C1372">
            <v>2720</v>
          </cell>
          <cell r="D1372">
            <v>0</v>
          </cell>
          <cell r="E1372">
            <v>0</v>
          </cell>
          <cell r="F1372">
            <v>2720</v>
          </cell>
        </row>
        <row r="1373">
          <cell r="A1373" t="str">
            <v>71300000-30001000-01050000</v>
          </cell>
          <cell r="B1373" t="str">
            <v>PRIMA VACACIONAL</v>
          </cell>
          <cell r="C1373">
            <v>1768</v>
          </cell>
          <cell r="D1373">
            <v>0</v>
          </cell>
          <cell r="E1373">
            <v>0</v>
          </cell>
          <cell r="F1373">
            <v>1768</v>
          </cell>
        </row>
        <row r="1374">
          <cell r="A1374" t="str">
            <v>71300000-30001000-03010000</v>
          </cell>
          <cell r="B1374" t="str">
            <v>FONDO DE AHORRO</v>
          </cell>
          <cell r="C1374">
            <v>7948.8</v>
          </cell>
          <cell r="D1374">
            <v>2100.77</v>
          </cell>
          <cell r="E1374">
            <v>0</v>
          </cell>
          <cell r="F1374">
            <v>10049.57</v>
          </cell>
        </row>
        <row r="1375">
          <cell r="A1375" t="str">
            <v>71300000-30001000-03020000</v>
          </cell>
          <cell r="B1375" t="str">
            <v>CUOTAS AL I.M.S.S.</v>
          </cell>
          <cell r="C1375">
            <v>9843.2099999999991</v>
          </cell>
          <cell r="D1375">
            <v>2582.27</v>
          </cell>
          <cell r="E1375">
            <v>0</v>
          </cell>
          <cell r="F1375">
            <v>12425.48</v>
          </cell>
        </row>
        <row r="1376">
          <cell r="A1376" t="str">
            <v>71300000-30001000-03030000</v>
          </cell>
          <cell r="B1376" t="str">
            <v>UNIFORMES Y EQUIPO</v>
          </cell>
          <cell r="C1376">
            <v>513</v>
          </cell>
          <cell r="D1376">
            <v>0</v>
          </cell>
          <cell r="E1376">
            <v>0</v>
          </cell>
          <cell r="F1376">
            <v>513</v>
          </cell>
        </row>
        <row r="1377">
          <cell r="A1377" t="str">
            <v>71300000-30001000-03040000</v>
          </cell>
          <cell r="B1377" t="str">
            <v>DESPENSA EN VALES</v>
          </cell>
          <cell r="C1377">
            <v>4662</v>
          </cell>
          <cell r="D1377">
            <v>816</v>
          </cell>
          <cell r="E1377">
            <v>0</v>
          </cell>
          <cell r="F1377">
            <v>5478</v>
          </cell>
        </row>
        <row r="1378">
          <cell r="A1378" t="str">
            <v>71300000-30001000-04010000</v>
          </cell>
          <cell r="B1378" t="str">
            <v>2.5% SOBRE NOMINAS</v>
          </cell>
          <cell r="C1378">
            <v>3280</v>
          </cell>
          <cell r="D1378">
            <v>833</v>
          </cell>
          <cell r="E1378">
            <v>0</v>
          </cell>
          <cell r="F1378">
            <v>4113</v>
          </cell>
        </row>
        <row r="1379">
          <cell r="A1379" t="str">
            <v>71300000-30001000-04020000</v>
          </cell>
          <cell r="B1379" t="str">
            <v>5% INFONAVIT</v>
          </cell>
          <cell r="C1379">
            <v>6852.09</v>
          </cell>
          <cell r="D1379">
            <v>1633.34</v>
          </cell>
          <cell r="E1379">
            <v>0</v>
          </cell>
          <cell r="F1379">
            <v>8485.43</v>
          </cell>
        </row>
        <row r="1380">
          <cell r="A1380" t="str">
            <v>71300000-30001000-04030000</v>
          </cell>
          <cell r="B1380" t="str">
            <v>2% S.A.R. / RETIRO</v>
          </cell>
          <cell r="C1380">
            <v>2740.84</v>
          </cell>
          <cell r="D1380">
            <v>653.33000000000004</v>
          </cell>
          <cell r="E1380">
            <v>0</v>
          </cell>
          <cell r="F1380">
            <v>3394.17</v>
          </cell>
        </row>
        <row r="1381">
          <cell r="A1381" t="str">
            <v>71300000-30001000-04040000</v>
          </cell>
          <cell r="B1381" t="str">
            <v>CESANTIA Y VEJEZ</v>
          </cell>
          <cell r="C1381">
            <v>4316.83</v>
          </cell>
          <cell r="D1381">
            <v>1029</v>
          </cell>
          <cell r="E1381">
            <v>0</v>
          </cell>
          <cell r="F1381">
            <v>5345.83</v>
          </cell>
        </row>
        <row r="1382">
          <cell r="A1382" t="str">
            <v>71300000-30001000-05010000</v>
          </cell>
          <cell r="B1382" t="str">
            <v>SERV. PROFESIONALES EXTERNOS</v>
          </cell>
          <cell r="C1382">
            <v>231631.61</v>
          </cell>
          <cell r="D1382">
            <v>52114.91</v>
          </cell>
          <cell r="E1382">
            <v>0</v>
          </cell>
          <cell r="F1382">
            <v>283746.52</v>
          </cell>
        </row>
        <row r="1383">
          <cell r="A1383" t="str">
            <v>71300000-30001000-12010000</v>
          </cell>
          <cell r="B1383" t="str">
            <v>ARREND. AUTOMOVILES</v>
          </cell>
          <cell r="C1383">
            <v>6844.34</v>
          </cell>
          <cell r="D1383">
            <v>0</v>
          </cell>
          <cell r="E1383">
            <v>0</v>
          </cell>
          <cell r="F1383">
            <v>6844.34</v>
          </cell>
        </row>
        <row r="1384">
          <cell r="A1384" t="str">
            <v>71300000-30001000-14010000</v>
          </cell>
          <cell r="B1384" t="str">
            <v>SEG. AUTOMOVILES</v>
          </cell>
          <cell r="C1384">
            <v>43526.23</v>
          </cell>
          <cell r="D1384">
            <v>7903.29</v>
          </cell>
          <cell r="E1384">
            <v>0</v>
          </cell>
          <cell r="F1384">
            <v>51429.52</v>
          </cell>
        </row>
        <row r="1385">
          <cell r="A1385" t="str">
            <v>71300000-30001000-14040000</v>
          </cell>
          <cell r="B1385" t="str">
            <v>VIDA</v>
          </cell>
          <cell r="C1385">
            <v>11880.67</v>
          </cell>
          <cell r="D1385">
            <v>4050.66</v>
          </cell>
          <cell r="E1385">
            <v>0</v>
          </cell>
          <cell r="F1385">
            <v>15931.33</v>
          </cell>
        </row>
        <row r="1386">
          <cell r="A1386" t="str">
            <v>71300000-30001000-14050000</v>
          </cell>
          <cell r="B1386" t="str">
            <v>MULTIPLE EMPRESARIAL</v>
          </cell>
          <cell r="C1386">
            <v>6854.37</v>
          </cell>
          <cell r="D1386">
            <v>1669.45</v>
          </cell>
          <cell r="E1386">
            <v>0</v>
          </cell>
          <cell r="F1386">
            <v>8523.82</v>
          </cell>
        </row>
        <row r="1387">
          <cell r="A1387" t="str">
            <v>71300000-30001000-14070000</v>
          </cell>
          <cell r="B1387" t="str">
            <v>FIANZAS</v>
          </cell>
          <cell r="C1387">
            <v>0</v>
          </cell>
          <cell r="D1387">
            <v>163.76</v>
          </cell>
          <cell r="E1387">
            <v>0</v>
          </cell>
          <cell r="F1387">
            <v>163.76</v>
          </cell>
        </row>
        <row r="1388">
          <cell r="A1388" t="str">
            <v>71300000-30001000-15010000</v>
          </cell>
          <cell r="B1388" t="str">
            <v>MANT. AUTOMOVILES</v>
          </cell>
          <cell r="C1388">
            <v>537.5</v>
          </cell>
          <cell r="D1388">
            <v>0</v>
          </cell>
          <cell r="E1388">
            <v>0</v>
          </cell>
          <cell r="F1388">
            <v>537.5</v>
          </cell>
        </row>
        <row r="1389">
          <cell r="A1389" t="str">
            <v>71300000-30001000-15030000</v>
          </cell>
          <cell r="B1389" t="str">
            <v>MANTTO A EDIFICIOS Y CONSTRUCC</v>
          </cell>
          <cell r="C1389">
            <v>53065.75</v>
          </cell>
          <cell r="D1389">
            <v>0</v>
          </cell>
          <cell r="E1389">
            <v>0</v>
          </cell>
          <cell r="F1389">
            <v>53065.75</v>
          </cell>
        </row>
        <row r="1390">
          <cell r="A1390" t="str">
            <v>71300000-30001000-15050000</v>
          </cell>
          <cell r="B1390" t="str">
            <v>MANTTO A EQUIPOS DE OFICINA</v>
          </cell>
          <cell r="C1390">
            <v>1900</v>
          </cell>
          <cell r="D1390">
            <v>0</v>
          </cell>
          <cell r="E1390">
            <v>0</v>
          </cell>
          <cell r="F1390">
            <v>1900</v>
          </cell>
        </row>
        <row r="1391">
          <cell r="A1391" t="str">
            <v>71300000-30001000-15060000</v>
          </cell>
          <cell r="B1391" t="str">
            <v>MANTTO A EQUIPOS DE COMPUTO</v>
          </cell>
          <cell r="C1391">
            <v>1234.58</v>
          </cell>
          <cell r="D1391">
            <v>1095</v>
          </cell>
          <cell r="E1391">
            <v>0</v>
          </cell>
          <cell r="F1391">
            <v>2329.58</v>
          </cell>
        </row>
        <row r="1392">
          <cell r="A1392" t="str">
            <v>71300000-30001000-15080000</v>
          </cell>
          <cell r="B1392" t="str">
            <v>MANTTO A VARIOS</v>
          </cell>
          <cell r="C1392">
            <v>1298.98</v>
          </cell>
          <cell r="D1392">
            <v>0</v>
          </cell>
          <cell r="E1392">
            <v>0</v>
          </cell>
          <cell r="F1392">
            <v>1298.98</v>
          </cell>
        </row>
        <row r="1393">
          <cell r="A1393" t="str">
            <v>71300000-30001000-15100000</v>
          </cell>
          <cell r="B1393" t="str">
            <v>SOFTWARE SISTEMAS</v>
          </cell>
          <cell r="C1393">
            <v>1690.54</v>
          </cell>
          <cell r="D1393">
            <v>0</v>
          </cell>
          <cell r="E1393">
            <v>0</v>
          </cell>
          <cell r="F1393">
            <v>1690.54</v>
          </cell>
        </row>
        <row r="1394">
          <cell r="A1394" t="str">
            <v>71300000-30001000-16010000</v>
          </cell>
          <cell r="B1394" t="str">
            <v>PAPELERIA</v>
          </cell>
          <cell r="C1394">
            <v>12196.14</v>
          </cell>
          <cell r="D1394">
            <v>3083.4</v>
          </cell>
          <cell r="E1394">
            <v>0</v>
          </cell>
          <cell r="F1394">
            <v>15279.54</v>
          </cell>
        </row>
        <row r="1395">
          <cell r="A1395" t="str">
            <v>71300000-30001000-16040000</v>
          </cell>
          <cell r="B1395" t="str">
            <v>IMPLEMENTOS DE OFICINA</v>
          </cell>
          <cell r="C1395">
            <v>4550</v>
          </cell>
          <cell r="D1395">
            <v>0</v>
          </cell>
          <cell r="E1395">
            <v>0</v>
          </cell>
          <cell r="F1395">
            <v>4550</v>
          </cell>
        </row>
        <row r="1396">
          <cell r="A1396" t="str">
            <v>71300000-30001000-17010000</v>
          </cell>
          <cell r="B1396" t="str">
            <v>ENERGIA ELECTRICA</v>
          </cell>
          <cell r="C1396">
            <v>11788.87</v>
          </cell>
          <cell r="D1396">
            <v>5078.0200000000004</v>
          </cell>
          <cell r="E1396">
            <v>0</v>
          </cell>
          <cell r="F1396">
            <v>16866.89</v>
          </cell>
        </row>
        <row r="1397">
          <cell r="A1397" t="str">
            <v>71300000-30001000-17030000</v>
          </cell>
          <cell r="B1397" t="str">
            <v>SEGURIDAD PRIVADA</v>
          </cell>
          <cell r="C1397">
            <v>2595</v>
          </cell>
          <cell r="D1397">
            <v>519</v>
          </cell>
          <cell r="E1397">
            <v>0</v>
          </cell>
          <cell r="F1397">
            <v>3114</v>
          </cell>
        </row>
        <row r="1398">
          <cell r="A1398" t="str">
            <v>71300000-30001000-18010000</v>
          </cell>
          <cell r="B1398" t="str">
            <v>CAPACITACION Y ADIESTRAMIENTO</v>
          </cell>
          <cell r="C1398">
            <v>25872.48</v>
          </cell>
          <cell r="D1398">
            <v>0</v>
          </cell>
          <cell r="E1398">
            <v>0</v>
          </cell>
          <cell r="F1398">
            <v>25872.48</v>
          </cell>
        </row>
        <row r="1399">
          <cell r="A1399" t="str">
            <v>71300000-30001000-18020000</v>
          </cell>
          <cell r="B1399" t="str">
            <v>PASAJES Y TRANSPORTES LOCALES</v>
          </cell>
          <cell r="C1399">
            <v>1010</v>
          </cell>
          <cell r="D1399">
            <v>258</v>
          </cell>
          <cell r="E1399">
            <v>0</v>
          </cell>
          <cell r="F1399">
            <v>1268</v>
          </cell>
        </row>
        <row r="1400">
          <cell r="A1400" t="str">
            <v>71300000-30001000-18050000</v>
          </cell>
          <cell r="B1400" t="str">
            <v>AGUA ELECTROPURA</v>
          </cell>
          <cell r="C1400">
            <v>2072</v>
          </cell>
          <cell r="D1400">
            <v>280</v>
          </cell>
          <cell r="E1400">
            <v>0</v>
          </cell>
          <cell r="F1400">
            <v>2352</v>
          </cell>
        </row>
        <row r="1401">
          <cell r="A1401" t="str">
            <v>71300000-30001000-18110000</v>
          </cell>
          <cell r="B1401" t="str">
            <v>CONSUMOS RESTAURANT</v>
          </cell>
          <cell r="C1401">
            <v>17.350000000000001</v>
          </cell>
          <cell r="D1401">
            <v>34.369999999999997</v>
          </cell>
          <cell r="E1401">
            <v>0</v>
          </cell>
          <cell r="F1401">
            <v>51.72</v>
          </cell>
        </row>
        <row r="1402">
          <cell r="A1402" t="str">
            <v>71300000-30001000-19010000</v>
          </cell>
          <cell r="B1402" t="str">
            <v>TELEFONOS</v>
          </cell>
          <cell r="C1402">
            <v>102526.73</v>
          </cell>
          <cell r="D1402">
            <v>15027.27</v>
          </cell>
          <cell r="E1402">
            <v>0</v>
          </cell>
          <cell r="F1402">
            <v>117554</v>
          </cell>
        </row>
        <row r="1403">
          <cell r="A1403" t="str">
            <v>71300000-30001000-19030000</v>
          </cell>
          <cell r="B1403" t="str">
            <v>TELEFONOS CELULARES</v>
          </cell>
          <cell r="C1403">
            <v>16986.28</v>
          </cell>
          <cell r="D1403">
            <v>0</v>
          </cell>
          <cell r="E1403">
            <v>0</v>
          </cell>
          <cell r="F1403">
            <v>16986.28</v>
          </cell>
        </row>
        <row r="1404">
          <cell r="A1404" t="str">
            <v>71300000-30001000-19050000</v>
          </cell>
          <cell r="B1404" t="str">
            <v>INTERNET</v>
          </cell>
          <cell r="C1404">
            <v>34493.269999999997</v>
          </cell>
          <cell r="D1404">
            <v>6926.43</v>
          </cell>
          <cell r="E1404">
            <v>0</v>
          </cell>
          <cell r="F1404">
            <v>41419.699999999997</v>
          </cell>
        </row>
        <row r="1405">
          <cell r="A1405" t="str">
            <v>71300000-30001000-19070000</v>
          </cell>
          <cell r="B1405" t="str">
            <v>MENSAJERIA ESPECIALIZADA</v>
          </cell>
          <cell r="C1405">
            <v>8278.9500000000007</v>
          </cell>
          <cell r="D1405">
            <v>463.49</v>
          </cell>
          <cell r="E1405">
            <v>0</v>
          </cell>
          <cell r="F1405">
            <v>8742.44</v>
          </cell>
        </row>
        <row r="1406">
          <cell r="A1406" t="str">
            <v>71300000-30001000-20010000</v>
          </cell>
          <cell r="B1406" t="str">
            <v>COMBUSTIBLE AUTOMOVILES</v>
          </cell>
          <cell r="C1406">
            <v>16397.84</v>
          </cell>
          <cell r="D1406">
            <v>3847.03</v>
          </cell>
          <cell r="E1406">
            <v>0</v>
          </cell>
          <cell r="F1406">
            <v>20244.87</v>
          </cell>
        </row>
        <row r="1407">
          <cell r="A1407" t="str">
            <v>71300000-30001000-22050000</v>
          </cell>
          <cell r="B1407" t="str">
            <v>COMISIONES Y ASESORIAS EXTERNA</v>
          </cell>
          <cell r="C1407">
            <v>57259.03</v>
          </cell>
          <cell r="D1407">
            <v>1064.1600000000001</v>
          </cell>
          <cell r="E1407">
            <v>0</v>
          </cell>
          <cell r="F1407">
            <v>58323.19</v>
          </cell>
        </row>
        <row r="1408">
          <cell r="A1408" t="str">
            <v>71300000-30001000-23030000</v>
          </cell>
          <cell r="B1408" t="str">
            <v>DERECHOS DE AGUA</v>
          </cell>
          <cell r="C1408">
            <v>51558.45</v>
          </cell>
          <cell r="D1408">
            <v>0</v>
          </cell>
          <cell r="E1408">
            <v>0</v>
          </cell>
          <cell r="F1408">
            <v>51558.45</v>
          </cell>
        </row>
        <row r="1409">
          <cell r="A1409" t="str">
            <v>71300000-30001000-23120000</v>
          </cell>
          <cell r="B1409" t="str">
            <v>DIVERSOS</v>
          </cell>
          <cell r="C1409">
            <v>9178.0499999999993</v>
          </cell>
          <cell r="D1409">
            <v>2336.0300000000002</v>
          </cell>
          <cell r="E1409">
            <v>0</v>
          </cell>
          <cell r="F1409">
            <v>11514.08</v>
          </cell>
        </row>
        <row r="1410">
          <cell r="A1410" t="str">
            <v>71300000-30001000-23130000</v>
          </cell>
          <cell r="B1410" t="str">
            <v>OTROS IMPUESTOS Y DERECHOS</v>
          </cell>
          <cell r="C1410">
            <v>38695.07</v>
          </cell>
          <cell r="D1410">
            <v>7956.21</v>
          </cell>
          <cell r="E1410">
            <v>0</v>
          </cell>
          <cell r="F1410">
            <v>46651.28</v>
          </cell>
        </row>
        <row r="1411">
          <cell r="A1411" t="str">
            <v>71300000-30001000-23140000</v>
          </cell>
          <cell r="B1411" t="str">
            <v>FLETES Y ACARREOS</v>
          </cell>
          <cell r="C1411">
            <v>382.52</v>
          </cell>
          <cell r="D1411">
            <v>0</v>
          </cell>
          <cell r="E1411">
            <v>0</v>
          </cell>
          <cell r="F1411">
            <v>382.52</v>
          </cell>
        </row>
        <row r="1412">
          <cell r="A1412" t="str">
            <v>71300000-30001000-23150000</v>
          </cell>
          <cell r="B1412" t="str">
            <v>ASEO LIMPIEZA E IMPLEMENTOS</v>
          </cell>
          <cell r="C1412">
            <v>7356.7</v>
          </cell>
          <cell r="D1412">
            <v>0</v>
          </cell>
          <cell r="E1412">
            <v>0</v>
          </cell>
          <cell r="F1412">
            <v>7356.7</v>
          </cell>
        </row>
        <row r="1413">
          <cell r="A1413" t="str">
            <v>71300000-30001000-23200000</v>
          </cell>
          <cell r="B1413" t="str">
            <v>EVENTOS INTERNOS COREV</v>
          </cell>
          <cell r="C1413">
            <v>13461.16</v>
          </cell>
          <cell r="D1413">
            <v>0</v>
          </cell>
          <cell r="E1413">
            <v>0</v>
          </cell>
          <cell r="F1413">
            <v>13461.16</v>
          </cell>
        </row>
        <row r="1414">
          <cell r="A1414" t="str">
            <v>71300000-30001000-27150000</v>
          </cell>
          <cell r="B1414" t="str">
            <v>SECCION AMARILLA</v>
          </cell>
          <cell r="C1414">
            <v>20542.8</v>
          </cell>
          <cell r="D1414">
            <v>1183.45</v>
          </cell>
          <cell r="E1414">
            <v>0</v>
          </cell>
          <cell r="F1414">
            <v>21726.25</v>
          </cell>
        </row>
        <row r="1415">
          <cell r="A1415" t="str">
            <v>71300000-30001000-35020000</v>
          </cell>
          <cell r="B1415" t="str">
            <v>DIVERSOS NO DEDUCIBLES</v>
          </cell>
          <cell r="C1415">
            <v>14784.09</v>
          </cell>
          <cell r="D1415">
            <v>2728.13</v>
          </cell>
          <cell r="E1415">
            <v>0</v>
          </cell>
          <cell r="F1415">
            <v>17512.22</v>
          </cell>
        </row>
        <row r="1416">
          <cell r="A1416" t="str">
            <v>71300000-30001000-90010000</v>
          </cell>
          <cell r="B1416" t="str">
            <v>PRIMA DE ANTIGUEDAD</v>
          </cell>
          <cell r="C1416">
            <v>11856.25</v>
          </cell>
          <cell r="D1416">
            <v>992.96</v>
          </cell>
          <cell r="E1416">
            <v>0</v>
          </cell>
          <cell r="F1416">
            <v>12849.21</v>
          </cell>
        </row>
        <row r="1417">
          <cell r="A1417" t="str">
            <v>71300000-30001000-90020000</v>
          </cell>
          <cell r="B1417" t="str">
            <v>PLAN DE PENSIONES</v>
          </cell>
          <cell r="C1417">
            <v>48540.2</v>
          </cell>
          <cell r="D1417">
            <v>6943.6</v>
          </cell>
          <cell r="E1417">
            <v>0</v>
          </cell>
          <cell r="F1417">
            <v>55483.8</v>
          </cell>
        </row>
        <row r="1418">
          <cell r="A1418" t="str">
            <v>71300000-30001000-90030000</v>
          </cell>
          <cell r="B1418" t="str">
            <v>PROVISION AGUINALDO</v>
          </cell>
          <cell r="C1418">
            <v>8216.65</v>
          </cell>
          <cell r="D1418">
            <v>1643.33</v>
          </cell>
          <cell r="E1418">
            <v>0</v>
          </cell>
          <cell r="F1418">
            <v>9859.98</v>
          </cell>
        </row>
        <row r="1419">
          <cell r="A1419" t="str">
            <v>71300000-30002000-00000000</v>
          </cell>
          <cell r="B1419" t="str">
            <v>COSTOS/GASTOS FIJOS DF 1</v>
          </cell>
          <cell r="C1419">
            <v>108497.28</v>
          </cell>
          <cell r="D1419">
            <v>11397.9</v>
          </cell>
          <cell r="E1419">
            <v>0</v>
          </cell>
          <cell r="F1419">
            <v>119895.18</v>
          </cell>
        </row>
        <row r="1420">
          <cell r="A1420" t="str">
            <v>71300000-30002000-05010000</v>
          </cell>
          <cell r="B1420" t="str">
            <v>SERV. PROFESIONALES EXTERNOS</v>
          </cell>
          <cell r="C1420">
            <v>81255.47</v>
          </cell>
          <cell r="D1420">
            <v>8052.71</v>
          </cell>
          <cell r="E1420">
            <v>0</v>
          </cell>
          <cell r="F1420">
            <v>89308.18</v>
          </cell>
        </row>
        <row r="1421">
          <cell r="A1421" t="str">
            <v>71300000-30002000-12010000</v>
          </cell>
          <cell r="B1421" t="str">
            <v>ARREND. AUTOMOVILES</v>
          </cell>
          <cell r="C1421">
            <v>10268.6</v>
          </cell>
          <cell r="D1421">
            <v>2053.7199999999998</v>
          </cell>
          <cell r="E1421">
            <v>0</v>
          </cell>
          <cell r="F1421">
            <v>12322.32</v>
          </cell>
        </row>
        <row r="1422">
          <cell r="A1422" t="str">
            <v>71300000-30002000-15010000</v>
          </cell>
          <cell r="B1422" t="str">
            <v>MANT. AUTOMOVILES</v>
          </cell>
          <cell r="C1422">
            <v>3127.58</v>
          </cell>
          <cell r="D1422">
            <v>0</v>
          </cell>
          <cell r="E1422">
            <v>0</v>
          </cell>
          <cell r="F1422">
            <v>3127.58</v>
          </cell>
        </row>
        <row r="1423">
          <cell r="A1423" t="str">
            <v>71300000-30002000-16010000</v>
          </cell>
          <cell r="B1423" t="str">
            <v>PAPELERIA</v>
          </cell>
          <cell r="C1423">
            <v>140</v>
          </cell>
          <cell r="D1423">
            <v>0</v>
          </cell>
          <cell r="E1423">
            <v>0</v>
          </cell>
          <cell r="F1423">
            <v>140</v>
          </cell>
        </row>
        <row r="1424">
          <cell r="A1424" t="str">
            <v>71300000-30002000-19030000</v>
          </cell>
          <cell r="B1424" t="str">
            <v>TELEFONOS CELULARES</v>
          </cell>
          <cell r="C1424">
            <v>5090.5200000000004</v>
          </cell>
          <cell r="D1424">
            <v>0</v>
          </cell>
          <cell r="E1424">
            <v>0</v>
          </cell>
          <cell r="F1424">
            <v>5090.5200000000004</v>
          </cell>
        </row>
        <row r="1425">
          <cell r="A1425" t="str">
            <v>71300000-30002000-20010000</v>
          </cell>
          <cell r="B1425" t="str">
            <v>COMBUSTIBLE AUTOMOVILES</v>
          </cell>
          <cell r="C1425">
            <v>5647.73</v>
          </cell>
          <cell r="D1425">
            <v>1291.47</v>
          </cell>
          <cell r="E1425">
            <v>0</v>
          </cell>
          <cell r="F1425">
            <v>6939.2</v>
          </cell>
        </row>
        <row r="1426">
          <cell r="A1426" t="str">
            <v>71300000-30002000-23130000</v>
          </cell>
          <cell r="B1426" t="str">
            <v>OTROS IMPUESTOS Y DERECHOS</v>
          </cell>
          <cell r="C1426">
            <v>2717.38</v>
          </cell>
          <cell r="D1426">
            <v>0</v>
          </cell>
          <cell r="E1426">
            <v>0</v>
          </cell>
          <cell r="F1426">
            <v>2717.38</v>
          </cell>
        </row>
        <row r="1427">
          <cell r="A1427" t="str">
            <v>71300000-30002000-35020000</v>
          </cell>
          <cell r="B1427" t="str">
            <v>DIVERSOS NO DEDUCIBLES</v>
          </cell>
          <cell r="C1427">
            <v>250</v>
          </cell>
          <cell r="D1427">
            <v>0</v>
          </cell>
          <cell r="E1427">
            <v>0</v>
          </cell>
          <cell r="F1427">
            <v>250</v>
          </cell>
        </row>
        <row r="1428">
          <cell r="A1428" t="str">
            <v>71300000-30003000-00000000</v>
          </cell>
          <cell r="B1428" t="str">
            <v>COSTOS/GASTOS FIJOS SUR</v>
          </cell>
          <cell r="C1428">
            <v>101461.44</v>
          </cell>
          <cell r="D1428">
            <v>24900.959999999999</v>
          </cell>
          <cell r="E1428">
            <v>146.25</v>
          </cell>
          <cell r="F1428">
            <v>126216.15</v>
          </cell>
        </row>
        <row r="1429">
          <cell r="A1429" t="str">
            <v>71300000-30003000-01010000</v>
          </cell>
          <cell r="B1429" t="str">
            <v>SUELDOS Y SALARIOS</v>
          </cell>
          <cell r="C1429">
            <v>44700</v>
          </cell>
          <cell r="D1429">
            <v>9000</v>
          </cell>
          <cell r="E1429">
            <v>0</v>
          </cell>
          <cell r="F1429">
            <v>53700</v>
          </cell>
        </row>
        <row r="1430">
          <cell r="A1430" t="str">
            <v>71300000-30003000-01040000</v>
          </cell>
          <cell r="B1430" t="str">
            <v>VACACIONES</v>
          </cell>
          <cell r="C1430">
            <v>300</v>
          </cell>
          <cell r="D1430">
            <v>0</v>
          </cell>
          <cell r="E1430">
            <v>0</v>
          </cell>
          <cell r="F1430">
            <v>300</v>
          </cell>
        </row>
        <row r="1431">
          <cell r="A1431" t="str">
            <v>71300000-30003000-01050000</v>
          </cell>
          <cell r="B1431" t="str">
            <v>PRIMA VACACIONAL</v>
          </cell>
          <cell r="C1431">
            <v>195</v>
          </cell>
          <cell r="D1431">
            <v>0</v>
          </cell>
          <cell r="E1431">
            <v>0</v>
          </cell>
          <cell r="F1431">
            <v>195</v>
          </cell>
        </row>
        <row r="1432">
          <cell r="A1432" t="str">
            <v>71300000-30003000-03010000</v>
          </cell>
          <cell r="B1432" t="str">
            <v>FONDO DE AHORRO</v>
          </cell>
          <cell r="C1432">
            <v>3576</v>
          </cell>
          <cell r="D1432">
            <v>720</v>
          </cell>
          <cell r="E1432">
            <v>0</v>
          </cell>
          <cell r="F1432">
            <v>4296</v>
          </cell>
        </row>
        <row r="1433">
          <cell r="A1433" t="str">
            <v>71300000-30003000-03020000</v>
          </cell>
          <cell r="B1433" t="str">
            <v>CUOTAS AL I.M.S.S.</v>
          </cell>
          <cell r="C1433">
            <v>7706.13</v>
          </cell>
          <cell r="D1433">
            <v>1370.44</v>
          </cell>
          <cell r="E1433">
            <v>0</v>
          </cell>
          <cell r="F1433">
            <v>9076.57</v>
          </cell>
        </row>
        <row r="1434">
          <cell r="A1434" t="str">
            <v>71300000-30003000-03040000</v>
          </cell>
          <cell r="B1434" t="str">
            <v>DESPENSA EN VALES</v>
          </cell>
          <cell r="C1434">
            <v>1440</v>
          </cell>
          <cell r="D1434">
            <v>360</v>
          </cell>
          <cell r="E1434">
            <v>0</v>
          </cell>
          <cell r="F1434">
            <v>1800</v>
          </cell>
        </row>
        <row r="1435">
          <cell r="A1435" t="str">
            <v>71300000-30003000-04010000</v>
          </cell>
          <cell r="B1435" t="str">
            <v>2.5% SOBRE NOMINAS</v>
          </cell>
          <cell r="C1435">
            <v>2322</v>
          </cell>
          <cell r="D1435">
            <v>360</v>
          </cell>
          <cell r="E1435">
            <v>0</v>
          </cell>
          <cell r="F1435">
            <v>2682</v>
          </cell>
        </row>
        <row r="1436">
          <cell r="A1436" t="str">
            <v>71300000-30003000-04020000</v>
          </cell>
          <cell r="B1436" t="str">
            <v>5% INFONAVIT</v>
          </cell>
          <cell r="C1436">
            <v>5100.37</v>
          </cell>
          <cell r="D1436">
            <v>881.7</v>
          </cell>
          <cell r="E1436">
            <v>0</v>
          </cell>
          <cell r="F1436">
            <v>5982.07</v>
          </cell>
        </row>
        <row r="1437">
          <cell r="A1437" t="str">
            <v>71300000-30003000-04030000</v>
          </cell>
          <cell r="B1437" t="str">
            <v>2% S.A.R. / RETIRO</v>
          </cell>
          <cell r="C1437">
            <v>2040.15</v>
          </cell>
          <cell r="D1437">
            <v>352.68</v>
          </cell>
          <cell r="E1437">
            <v>0</v>
          </cell>
          <cell r="F1437">
            <v>2392.83</v>
          </cell>
        </row>
        <row r="1438">
          <cell r="A1438" t="str">
            <v>71300000-30003000-04040000</v>
          </cell>
          <cell r="B1438" t="str">
            <v>CESANTIA Y VEJEZ</v>
          </cell>
          <cell r="C1438">
            <v>3213.25</v>
          </cell>
          <cell r="D1438">
            <v>555.47</v>
          </cell>
          <cell r="E1438">
            <v>0</v>
          </cell>
          <cell r="F1438">
            <v>3768.72</v>
          </cell>
        </row>
        <row r="1439">
          <cell r="A1439" t="str">
            <v>71300000-30003000-15010000</v>
          </cell>
          <cell r="B1439" t="str">
            <v>MANT. AUTOMOVILES</v>
          </cell>
          <cell r="C1439">
            <v>2754.9</v>
          </cell>
          <cell r="D1439">
            <v>0</v>
          </cell>
          <cell r="E1439">
            <v>0</v>
          </cell>
          <cell r="F1439">
            <v>2754.9</v>
          </cell>
        </row>
        <row r="1440">
          <cell r="A1440" t="str">
            <v>71300000-30003000-16010000</v>
          </cell>
          <cell r="B1440" t="str">
            <v>PAPELERIA</v>
          </cell>
          <cell r="C1440">
            <v>140</v>
          </cell>
          <cell r="D1440">
            <v>0</v>
          </cell>
          <cell r="E1440">
            <v>0</v>
          </cell>
          <cell r="F1440">
            <v>140</v>
          </cell>
        </row>
        <row r="1441">
          <cell r="A1441" t="str">
            <v>71300000-30003000-18020000</v>
          </cell>
          <cell r="B1441" t="str">
            <v>PASAJES Y TRANSPORTES LOCALES</v>
          </cell>
          <cell r="C1441">
            <v>952</v>
          </cell>
          <cell r="D1441">
            <v>0</v>
          </cell>
          <cell r="E1441">
            <v>0</v>
          </cell>
          <cell r="F1441">
            <v>952</v>
          </cell>
        </row>
        <row r="1442">
          <cell r="A1442" t="str">
            <v>71300000-30003000-18030000</v>
          </cell>
          <cell r="B1442" t="str">
            <v>GASTOS DE REPRESENTACION TRANS</v>
          </cell>
          <cell r="C1442">
            <v>7190</v>
          </cell>
          <cell r="D1442">
            <v>0</v>
          </cell>
          <cell r="E1442">
            <v>0</v>
          </cell>
          <cell r="F1442">
            <v>7190</v>
          </cell>
        </row>
        <row r="1443">
          <cell r="A1443" t="str">
            <v>71300000-30003000-18040000</v>
          </cell>
          <cell r="B1443" t="str">
            <v>GASTOS DE REPRESENTACION ALIME</v>
          </cell>
          <cell r="C1443">
            <v>1258.5999999999999</v>
          </cell>
          <cell r="D1443">
            <v>0</v>
          </cell>
          <cell r="E1443">
            <v>0</v>
          </cell>
          <cell r="F1443">
            <v>1258.5999999999999</v>
          </cell>
        </row>
        <row r="1444">
          <cell r="A1444" t="str">
            <v>71300000-30003000-18110000</v>
          </cell>
          <cell r="B1444" t="str">
            <v>CONSUMOS RESTAURANT</v>
          </cell>
          <cell r="C1444">
            <v>201.84</v>
          </cell>
          <cell r="D1444">
            <v>0</v>
          </cell>
          <cell r="E1444">
            <v>0</v>
          </cell>
          <cell r="F1444">
            <v>201.84</v>
          </cell>
        </row>
        <row r="1445">
          <cell r="A1445" t="str">
            <v>71300000-30003000-19030000</v>
          </cell>
          <cell r="B1445" t="str">
            <v>TELEFONOS CELULARES</v>
          </cell>
          <cell r="C1445">
            <v>3020.1</v>
          </cell>
          <cell r="D1445">
            <v>0</v>
          </cell>
          <cell r="E1445">
            <v>0</v>
          </cell>
          <cell r="F1445">
            <v>3020.1</v>
          </cell>
        </row>
        <row r="1446">
          <cell r="A1446" t="str">
            <v>71300000-30003000-20010000</v>
          </cell>
          <cell r="B1446" t="str">
            <v>COMBUSTIBLE AUTOMOVILES</v>
          </cell>
          <cell r="C1446">
            <v>9314.75</v>
          </cell>
          <cell r="D1446">
            <v>2389.89</v>
          </cell>
          <cell r="E1446">
            <v>0</v>
          </cell>
          <cell r="F1446">
            <v>11704.64</v>
          </cell>
        </row>
        <row r="1447">
          <cell r="A1447" t="str">
            <v>71300000-30003000-23030000</v>
          </cell>
          <cell r="B1447" t="str">
            <v>DERECHOS DE AGUA</v>
          </cell>
          <cell r="C1447">
            <v>0</v>
          </cell>
          <cell r="D1447">
            <v>6216.38</v>
          </cell>
          <cell r="E1447">
            <v>0</v>
          </cell>
          <cell r="F1447">
            <v>6216.38</v>
          </cell>
        </row>
        <row r="1448">
          <cell r="A1448" t="str">
            <v>71300000-30003000-23130000</v>
          </cell>
          <cell r="B1448" t="str">
            <v>OTROS IMPUESTOS Y DERECHOS</v>
          </cell>
          <cell r="C1448">
            <v>1419.22</v>
          </cell>
          <cell r="D1448">
            <v>0</v>
          </cell>
          <cell r="E1448">
            <v>0</v>
          </cell>
          <cell r="F1448">
            <v>1419.22</v>
          </cell>
        </row>
        <row r="1449">
          <cell r="A1449" t="str">
            <v>71300000-30003000-23140000</v>
          </cell>
          <cell r="B1449" t="str">
            <v>FLETES Y ACARREOS</v>
          </cell>
          <cell r="C1449">
            <v>755.88</v>
          </cell>
          <cell r="D1449">
            <v>1969.4</v>
          </cell>
          <cell r="E1449">
            <v>0</v>
          </cell>
          <cell r="F1449">
            <v>2725.28</v>
          </cell>
        </row>
        <row r="1450">
          <cell r="A1450" t="str">
            <v>71300000-30003000-35020000</v>
          </cell>
          <cell r="B1450" t="str">
            <v>DIVERSOS NO DEDUCIBLES</v>
          </cell>
          <cell r="C1450">
            <v>90</v>
          </cell>
          <cell r="D1450">
            <v>0</v>
          </cell>
          <cell r="E1450">
            <v>0</v>
          </cell>
          <cell r="F1450">
            <v>90</v>
          </cell>
        </row>
        <row r="1451">
          <cell r="A1451" t="str">
            <v>71300000-30003000-90030000</v>
          </cell>
          <cell r="B1451" t="str">
            <v>PROVISION AGUINALDO</v>
          </cell>
          <cell r="C1451">
            <v>3625</v>
          </cell>
          <cell r="D1451">
            <v>725</v>
          </cell>
          <cell r="E1451">
            <v>0</v>
          </cell>
          <cell r="F1451">
            <v>4350</v>
          </cell>
        </row>
        <row r="1452">
          <cell r="A1452" t="str">
            <v>71300000-30003000-90040000</v>
          </cell>
          <cell r="B1452" t="str">
            <v>BOLETIN D-3</v>
          </cell>
          <cell r="C1452">
            <v>146.25</v>
          </cell>
          <cell r="D1452">
            <v>0</v>
          </cell>
          <cell r="E1452">
            <v>146.25</v>
          </cell>
          <cell r="F1452">
            <v>0</v>
          </cell>
        </row>
        <row r="1453">
          <cell r="A1453" t="str">
            <v>71300000-30004000-00000000</v>
          </cell>
          <cell r="B1453" t="str">
            <v>COSTOS/GASTOS FIJOS GOLFO</v>
          </cell>
          <cell r="C1453">
            <v>150770.51999999999</v>
          </cell>
          <cell r="D1453">
            <v>33468.400000000001</v>
          </cell>
          <cell r="E1453">
            <v>146.25</v>
          </cell>
          <cell r="F1453">
            <v>184092.67</v>
          </cell>
        </row>
        <row r="1454">
          <cell r="A1454" t="str">
            <v>71300000-30004000-01010000</v>
          </cell>
          <cell r="B1454" t="str">
            <v>SUELDOS Y SALARIOS</v>
          </cell>
          <cell r="C1454">
            <v>35587.5</v>
          </cell>
          <cell r="D1454">
            <v>7800</v>
          </cell>
          <cell r="E1454">
            <v>0</v>
          </cell>
          <cell r="F1454">
            <v>43387.5</v>
          </cell>
        </row>
        <row r="1455">
          <cell r="A1455" t="str">
            <v>71300000-30004000-01030000</v>
          </cell>
          <cell r="B1455" t="str">
            <v>GRATIFICACIONES</v>
          </cell>
          <cell r="C1455">
            <v>1166</v>
          </cell>
          <cell r="D1455">
            <v>318</v>
          </cell>
          <cell r="E1455">
            <v>0</v>
          </cell>
          <cell r="F1455">
            <v>1484</v>
          </cell>
        </row>
        <row r="1456">
          <cell r="A1456" t="str">
            <v>71300000-30004000-01040000</v>
          </cell>
          <cell r="B1456" t="str">
            <v>VACACIONES</v>
          </cell>
          <cell r="C1456">
            <v>3380</v>
          </cell>
          <cell r="D1456">
            <v>0</v>
          </cell>
          <cell r="E1456">
            <v>0</v>
          </cell>
          <cell r="F1456">
            <v>3380</v>
          </cell>
        </row>
        <row r="1457">
          <cell r="A1457" t="str">
            <v>71300000-30004000-01050000</v>
          </cell>
          <cell r="B1457" t="str">
            <v>PRIMA VACACIONAL</v>
          </cell>
          <cell r="C1457">
            <v>2197</v>
          </cell>
          <cell r="D1457">
            <v>0</v>
          </cell>
          <cell r="E1457">
            <v>0</v>
          </cell>
          <cell r="F1457">
            <v>2197</v>
          </cell>
        </row>
        <row r="1458">
          <cell r="A1458" t="str">
            <v>71300000-30004000-03010000</v>
          </cell>
          <cell r="B1458" t="str">
            <v>FONDO DE AHORRO</v>
          </cell>
          <cell r="C1458">
            <v>2847</v>
          </cell>
          <cell r="D1458">
            <v>624</v>
          </cell>
          <cell r="E1458">
            <v>0</v>
          </cell>
          <cell r="F1458">
            <v>3471</v>
          </cell>
        </row>
        <row r="1459">
          <cell r="A1459" t="str">
            <v>71300000-30004000-03020000</v>
          </cell>
          <cell r="B1459" t="str">
            <v>CUOTAS AL I.M.S.S.</v>
          </cell>
          <cell r="C1459">
            <v>8045.66</v>
          </cell>
          <cell r="D1459">
            <v>1383.86</v>
          </cell>
          <cell r="E1459">
            <v>0</v>
          </cell>
          <cell r="F1459">
            <v>9429.52</v>
          </cell>
        </row>
        <row r="1460">
          <cell r="A1460" t="str">
            <v>71300000-30004000-03040000</v>
          </cell>
          <cell r="B1460" t="str">
            <v>DESPENSA EN VALES</v>
          </cell>
          <cell r="C1460">
            <v>1560</v>
          </cell>
          <cell r="D1460">
            <v>312</v>
          </cell>
          <cell r="E1460">
            <v>0</v>
          </cell>
          <cell r="F1460">
            <v>1872</v>
          </cell>
        </row>
        <row r="1461">
          <cell r="A1461" t="str">
            <v>71300000-30004000-04010000</v>
          </cell>
          <cell r="B1461" t="str">
            <v>2.5% SOBRE NOMINAS</v>
          </cell>
          <cell r="C1461">
            <v>2608</v>
          </cell>
          <cell r="D1461">
            <v>500</v>
          </cell>
          <cell r="E1461">
            <v>0</v>
          </cell>
          <cell r="F1461">
            <v>3108</v>
          </cell>
        </row>
        <row r="1462">
          <cell r="A1462" t="str">
            <v>71300000-30004000-04020000</v>
          </cell>
          <cell r="B1462" t="str">
            <v>5% INFONAVIT</v>
          </cell>
          <cell r="C1462">
            <v>5378.68</v>
          </cell>
          <cell r="D1462">
            <v>892.73</v>
          </cell>
          <cell r="E1462">
            <v>0</v>
          </cell>
          <cell r="F1462">
            <v>6271.41</v>
          </cell>
        </row>
        <row r="1463">
          <cell r="A1463" t="str">
            <v>71300000-30004000-04030000</v>
          </cell>
          <cell r="B1463" t="str">
            <v>2% S.A.R. / RETIRO</v>
          </cell>
          <cell r="C1463">
            <v>2151.4699999999998</v>
          </cell>
          <cell r="D1463">
            <v>357.09</v>
          </cell>
          <cell r="E1463">
            <v>0</v>
          </cell>
          <cell r="F1463">
            <v>2508.56</v>
          </cell>
        </row>
        <row r="1464">
          <cell r="A1464" t="str">
            <v>71300000-30004000-04040000</v>
          </cell>
          <cell r="B1464" t="str">
            <v>CESANTIA Y VEJEZ</v>
          </cell>
          <cell r="C1464">
            <v>3388.58</v>
          </cell>
          <cell r="D1464">
            <v>562.41999999999996</v>
          </cell>
          <cell r="E1464">
            <v>0</v>
          </cell>
          <cell r="F1464">
            <v>3951</v>
          </cell>
        </row>
        <row r="1465">
          <cell r="A1465" t="str">
            <v>71300000-30004000-12010000</v>
          </cell>
          <cell r="B1465" t="str">
            <v>ARREND. AUTOMOVILES</v>
          </cell>
          <cell r="C1465">
            <v>13346.05</v>
          </cell>
          <cell r="D1465">
            <v>2669.21</v>
          </cell>
          <cell r="E1465">
            <v>0</v>
          </cell>
          <cell r="F1465">
            <v>16015.26</v>
          </cell>
        </row>
        <row r="1466">
          <cell r="A1466" t="str">
            <v>71300000-30004000-15010000</v>
          </cell>
          <cell r="B1466" t="str">
            <v>MANT. AUTOMOVILES</v>
          </cell>
          <cell r="C1466">
            <v>1795</v>
          </cell>
          <cell r="D1466">
            <v>1497.41</v>
          </cell>
          <cell r="E1466">
            <v>0</v>
          </cell>
          <cell r="F1466">
            <v>3292.41</v>
          </cell>
        </row>
        <row r="1467">
          <cell r="A1467" t="str">
            <v>71300000-30004000-15090000</v>
          </cell>
          <cell r="B1467" t="str">
            <v>MANTTO A TIENDAS</v>
          </cell>
          <cell r="C1467">
            <v>14250</v>
          </cell>
          <cell r="D1467">
            <v>6000</v>
          </cell>
          <cell r="E1467">
            <v>0</v>
          </cell>
          <cell r="F1467">
            <v>20250</v>
          </cell>
        </row>
        <row r="1468">
          <cell r="A1468" t="str">
            <v>71300000-30004000-18040000</v>
          </cell>
          <cell r="B1468" t="str">
            <v>GASTOS DE REPRESENTACION ALIME</v>
          </cell>
          <cell r="C1468">
            <v>14346.19</v>
          </cell>
          <cell r="D1468">
            <v>4045.13</v>
          </cell>
          <cell r="E1468">
            <v>0</v>
          </cell>
          <cell r="F1468">
            <v>18391.32</v>
          </cell>
        </row>
        <row r="1469">
          <cell r="A1469" t="str">
            <v>71300000-30004000-19030000</v>
          </cell>
          <cell r="B1469" t="str">
            <v>TELEFONOS CELULARES</v>
          </cell>
          <cell r="C1469">
            <v>3209.39</v>
          </cell>
          <cell r="D1469">
            <v>0</v>
          </cell>
          <cell r="E1469">
            <v>0</v>
          </cell>
          <cell r="F1469">
            <v>3209.39</v>
          </cell>
        </row>
        <row r="1470">
          <cell r="A1470" t="str">
            <v>71300000-30004000-20010000</v>
          </cell>
          <cell r="B1470" t="str">
            <v>COMBUSTIBLE AUTOMOVILES</v>
          </cell>
          <cell r="C1470">
            <v>18009.810000000001</v>
          </cell>
          <cell r="D1470">
            <v>2998.85</v>
          </cell>
          <cell r="E1470">
            <v>0</v>
          </cell>
          <cell r="F1470">
            <v>21008.66</v>
          </cell>
        </row>
        <row r="1471">
          <cell r="A1471" t="str">
            <v>71300000-30004000-23130000</v>
          </cell>
          <cell r="B1471" t="str">
            <v>OTROS IMPUESTOS Y DERECHOS</v>
          </cell>
          <cell r="C1471">
            <v>10350.040000000001</v>
          </cell>
          <cell r="D1471">
            <v>2021.47</v>
          </cell>
          <cell r="E1471">
            <v>0</v>
          </cell>
          <cell r="F1471">
            <v>12371.51</v>
          </cell>
        </row>
        <row r="1472">
          <cell r="A1472" t="str">
            <v>71300000-30004000-35020000</v>
          </cell>
          <cell r="B1472" t="str">
            <v>DIVERSOS NO DEDUCIBLES</v>
          </cell>
          <cell r="C1472">
            <v>3866.25</v>
          </cell>
          <cell r="D1472">
            <v>857.9</v>
          </cell>
          <cell r="E1472">
            <v>0</v>
          </cell>
          <cell r="F1472">
            <v>4724.1499999999996</v>
          </cell>
        </row>
        <row r="1473">
          <cell r="A1473" t="str">
            <v>71300000-30004000-90030000</v>
          </cell>
          <cell r="B1473" t="str">
            <v>PROVISION AGUINALDO</v>
          </cell>
          <cell r="C1473">
            <v>3141.65</v>
          </cell>
          <cell r="D1473">
            <v>628.33000000000004</v>
          </cell>
          <cell r="E1473">
            <v>0</v>
          </cell>
          <cell r="F1473">
            <v>3769.98</v>
          </cell>
        </row>
        <row r="1474">
          <cell r="A1474" t="str">
            <v>71300000-30004000-90040000</v>
          </cell>
          <cell r="B1474" t="str">
            <v>BOLETIN D-3</v>
          </cell>
          <cell r="C1474">
            <v>146.25</v>
          </cell>
          <cell r="D1474">
            <v>0</v>
          </cell>
          <cell r="E1474">
            <v>146.25</v>
          </cell>
          <cell r="F1474">
            <v>0</v>
          </cell>
        </row>
        <row r="1475">
          <cell r="A1475" t="str">
            <v>71300000-30005000-00000000</v>
          </cell>
          <cell r="B1475" t="str">
            <v>COSTOS/GASTOS FIJOS TIENDAS</v>
          </cell>
          <cell r="C1475">
            <v>2082.02</v>
          </cell>
          <cell r="D1475">
            <v>0</v>
          </cell>
          <cell r="E1475">
            <v>2082.02</v>
          </cell>
          <cell r="F1475">
            <v>0</v>
          </cell>
        </row>
        <row r="1476">
          <cell r="A1476" t="str">
            <v>71300000-30005000-18040000</v>
          </cell>
          <cell r="B1476" t="str">
            <v>GASTOS DE REPRESENTACION ALIME</v>
          </cell>
          <cell r="C1476">
            <v>1106.56</v>
          </cell>
          <cell r="D1476">
            <v>0</v>
          </cell>
          <cell r="E1476">
            <v>1106.56</v>
          </cell>
          <cell r="F1476">
            <v>0</v>
          </cell>
        </row>
        <row r="1477">
          <cell r="A1477" t="str">
            <v>71300000-30005000-23130000</v>
          </cell>
          <cell r="B1477" t="str">
            <v>OTROS IMPUESTOS Y DERECHOS</v>
          </cell>
          <cell r="C1477">
            <v>625.46</v>
          </cell>
          <cell r="D1477">
            <v>0</v>
          </cell>
          <cell r="E1477">
            <v>625.46</v>
          </cell>
          <cell r="F1477">
            <v>0</v>
          </cell>
        </row>
        <row r="1478">
          <cell r="A1478" t="str">
            <v>71300000-30005000-35020000</v>
          </cell>
          <cell r="B1478" t="str">
            <v>DIVERSOS NO DEDUCIBLES</v>
          </cell>
          <cell r="C1478">
            <v>350</v>
          </cell>
          <cell r="D1478">
            <v>0</v>
          </cell>
          <cell r="E1478">
            <v>350</v>
          </cell>
          <cell r="F1478">
            <v>0</v>
          </cell>
        </row>
        <row r="1479">
          <cell r="A1479" t="str">
            <v>71300000-30006000-00000000</v>
          </cell>
          <cell r="B1479" t="str">
            <v>COSTOS/GASTOS FIJOS NTE CONURB</v>
          </cell>
          <cell r="C1479">
            <v>177912</v>
          </cell>
          <cell r="D1479">
            <v>31738.17</v>
          </cell>
          <cell r="E1479">
            <v>0</v>
          </cell>
          <cell r="F1479">
            <v>209650.17</v>
          </cell>
        </row>
        <row r="1480">
          <cell r="A1480" t="str">
            <v>71300000-30006000-05010000</v>
          </cell>
          <cell r="B1480" t="str">
            <v>SERV. PROFESIONALES EXTERNOS</v>
          </cell>
          <cell r="C1480">
            <v>46708.95</v>
          </cell>
          <cell r="D1480">
            <v>7157.32</v>
          </cell>
          <cell r="E1480">
            <v>0</v>
          </cell>
          <cell r="F1480">
            <v>53866.27</v>
          </cell>
        </row>
        <row r="1481">
          <cell r="A1481" t="str">
            <v>71300000-30006000-12010000</v>
          </cell>
          <cell r="B1481" t="str">
            <v>ARREND. AUTOMOVILES</v>
          </cell>
          <cell r="C1481">
            <v>6615.4</v>
          </cell>
          <cell r="D1481">
            <v>3007</v>
          </cell>
          <cell r="E1481">
            <v>0</v>
          </cell>
          <cell r="F1481">
            <v>9622.4</v>
          </cell>
        </row>
        <row r="1482">
          <cell r="A1482" t="str">
            <v>71300000-30006000-15010000</v>
          </cell>
          <cell r="B1482" t="str">
            <v>MANT. AUTOMOVILES</v>
          </cell>
          <cell r="C1482">
            <v>6021.08</v>
          </cell>
          <cell r="D1482">
            <v>0</v>
          </cell>
          <cell r="E1482">
            <v>0</v>
          </cell>
          <cell r="F1482">
            <v>6021.08</v>
          </cell>
        </row>
        <row r="1483">
          <cell r="A1483" t="str">
            <v>71300000-30006000-16010000</v>
          </cell>
          <cell r="B1483" t="str">
            <v>PAPELERIA</v>
          </cell>
          <cell r="C1483">
            <v>210</v>
          </cell>
          <cell r="D1483">
            <v>0</v>
          </cell>
          <cell r="E1483">
            <v>0</v>
          </cell>
          <cell r="F1483">
            <v>210</v>
          </cell>
        </row>
        <row r="1484">
          <cell r="A1484" t="str">
            <v>71300000-30006000-18020000</v>
          </cell>
          <cell r="B1484" t="str">
            <v>PASAJES Y TRANSPORTES LOCALES</v>
          </cell>
          <cell r="C1484">
            <v>5412</v>
          </cell>
          <cell r="D1484">
            <v>1340</v>
          </cell>
          <cell r="E1484">
            <v>0</v>
          </cell>
          <cell r="F1484">
            <v>6752</v>
          </cell>
        </row>
        <row r="1485">
          <cell r="A1485" t="str">
            <v>71300000-30006000-18030000</v>
          </cell>
          <cell r="B1485" t="str">
            <v>GASTOS DE REPRESENTACION TRANS</v>
          </cell>
          <cell r="C1485">
            <v>4847.5</v>
          </cell>
          <cell r="D1485">
            <v>170</v>
          </cell>
          <cell r="E1485">
            <v>0</v>
          </cell>
          <cell r="F1485">
            <v>5017.5</v>
          </cell>
        </row>
        <row r="1486">
          <cell r="A1486" t="str">
            <v>71300000-30006000-18040000</v>
          </cell>
          <cell r="B1486" t="str">
            <v>GASTOS DE REPRESENTACION ALIME</v>
          </cell>
          <cell r="C1486">
            <v>42832.87</v>
          </cell>
          <cell r="D1486">
            <v>8046.42</v>
          </cell>
          <cell r="E1486">
            <v>0</v>
          </cell>
          <cell r="F1486">
            <v>50879.29</v>
          </cell>
        </row>
        <row r="1487">
          <cell r="A1487" t="str">
            <v>71300000-30006000-19030000</v>
          </cell>
          <cell r="B1487" t="str">
            <v>TELEFONOS CELULARES</v>
          </cell>
          <cell r="C1487">
            <v>4350.79</v>
          </cell>
          <cell r="D1487">
            <v>0</v>
          </cell>
          <cell r="E1487">
            <v>0</v>
          </cell>
          <cell r="F1487">
            <v>4350.79</v>
          </cell>
        </row>
        <row r="1488">
          <cell r="A1488" t="str">
            <v>71300000-30006000-19050000</v>
          </cell>
          <cell r="B1488" t="str">
            <v>INTERNET</v>
          </cell>
          <cell r="C1488">
            <v>2103.84</v>
          </cell>
          <cell r="D1488">
            <v>390.43</v>
          </cell>
          <cell r="E1488">
            <v>0</v>
          </cell>
          <cell r="F1488">
            <v>2494.27</v>
          </cell>
        </row>
        <row r="1489">
          <cell r="A1489" t="str">
            <v>71300000-30006000-19070000</v>
          </cell>
          <cell r="B1489" t="str">
            <v>MENSAJERIA ESPECIALIZADA</v>
          </cell>
          <cell r="C1489">
            <v>3125.21</v>
          </cell>
          <cell r="D1489">
            <v>435.97</v>
          </cell>
          <cell r="E1489">
            <v>0</v>
          </cell>
          <cell r="F1489">
            <v>3561.18</v>
          </cell>
        </row>
        <row r="1490">
          <cell r="A1490" t="str">
            <v>71300000-30006000-20010000</v>
          </cell>
          <cell r="B1490" t="str">
            <v>COMBUSTIBLE AUTOMOVILES</v>
          </cell>
          <cell r="C1490">
            <v>28120.85</v>
          </cell>
          <cell r="D1490">
            <v>6089.89</v>
          </cell>
          <cell r="E1490">
            <v>0</v>
          </cell>
          <cell r="F1490">
            <v>34210.74</v>
          </cell>
        </row>
        <row r="1491">
          <cell r="A1491" t="str">
            <v>71300000-30006000-23120000</v>
          </cell>
          <cell r="B1491" t="str">
            <v>DIVERSOS</v>
          </cell>
          <cell r="C1491">
            <v>360</v>
          </cell>
          <cell r="D1491">
            <v>950</v>
          </cell>
          <cell r="E1491">
            <v>0</v>
          </cell>
          <cell r="F1491">
            <v>1310</v>
          </cell>
        </row>
        <row r="1492">
          <cell r="A1492" t="str">
            <v>71300000-30006000-23130000</v>
          </cell>
          <cell r="B1492" t="str">
            <v>OTROS IMPUESTOS Y DERECHOS</v>
          </cell>
          <cell r="C1492">
            <v>21191.05</v>
          </cell>
          <cell r="D1492">
            <v>2005.14</v>
          </cell>
          <cell r="E1492">
            <v>0</v>
          </cell>
          <cell r="F1492">
            <v>23196.19</v>
          </cell>
        </row>
        <row r="1493">
          <cell r="A1493" t="str">
            <v>71300000-30006000-35020000</v>
          </cell>
          <cell r="B1493" t="str">
            <v>DIVERSOS NO DEDUCIBLES</v>
          </cell>
          <cell r="C1493">
            <v>6012.46</v>
          </cell>
          <cell r="D1493">
            <v>2146</v>
          </cell>
          <cell r="E1493">
            <v>0</v>
          </cell>
          <cell r="F1493">
            <v>8158.46</v>
          </cell>
        </row>
        <row r="1494">
          <cell r="A1494" t="str">
            <v>71300000-30007000-00000000</v>
          </cell>
          <cell r="B1494" t="str">
            <v>COSTOS/GASTOS FIJOS PAC NTE</v>
          </cell>
          <cell r="C1494">
            <v>145304.85999999999</v>
          </cell>
          <cell r="D1494">
            <v>31516.59</v>
          </cell>
          <cell r="E1494">
            <v>146.25</v>
          </cell>
          <cell r="F1494">
            <v>176675.20000000001</v>
          </cell>
        </row>
        <row r="1495">
          <cell r="A1495" t="str">
            <v>71300000-30007000-01010000</v>
          </cell>
          <cell r="B1495" t="str">
            <v>SUELDOS Y SALARIOS</v>
          </cell>
          <cell r="C1495">
            <v>31850.49</v>
          </cell>
          <cell r="D1495">
            <v>6500.1</v>
          </cell>
          <cell r="E1495">
            <v>0</v>
          </cell>
          <cell r="F1495">
            <v>38350.589999999997</v>
          </cell>
        </row>
        <row r="1496">
          <cell r="A1496" t="str">
            <v>71300000-30007000-01040000</v>
          </cell>
          <cell r="B1496" t="str">
            <v>VACACIONES</v>
          </cell>
          <cell r="C1496">
            <v>650.01</v>
          </cell>
          <cell r="D1496">
            <v>0</v>
          </cell>
          <cell r="E1496">
            <v>0</v>
          </cell>
          <cell r="F1496">
            <v>650.01</v>
          </cell>
        </row>
        <row r="1497">
          <cell r="A1497" t="str">
            <v>71300000-30007000-01050000</v>
          </cell>
          <cell r="B1497" t="str">
            <v>PRIMA VACACIONAL</v>
          </cell>
          <cell r="C1497">
            <v>422.51</v>
          </cell>
          <cell r="D1497">
            <v>0</v>
          </cell>
          <cell r="E1497">
            <v>0</v>
          </cell>
          <cell r="F1497">
            <v>422.51</v>
          </cell>
        </row>
        <row r="1498">
          <cell r="A1498" t="str">
            <v>71300000-30007000-03010000</v>
          </cell>
          <cell r="B1498" t="str">
            <v>FONDO DE AHORRO</v>
          </cell>
          <cell r="C1498">
            <v>2548</v>
          </cell>
          <cell r="D1498">
            <v>520</v>
          </cell>
          <cell r="E1498">
            <v>0</v>
          </cell>
          <cell r="F1498">
            <v>3068</v>
          </cell>
        </row>
        <row r="1499">
          <cell r="A1499" t="str">
            <v>71300000-30007000-03020000</v>
          </cell>
          <cell r="B1499" t="str">
            <v>CUOTAS AL I.M.S.S.</v>
          </cell>
          <cell r="C1499">
            <v>7037.88</v>
          </cell>
          <cell r="D1499">
            <v>1312.06</v>
          </cell>
          <cell r="E1499">
            <v>0</v>
          </cell>
          <cell r="F1499">
            <v>8349.94</v>
          </cell>
        </row>
        <row r="1500">
          <cell r="A1500" t="str">
            <v>71300000-30007000-03040000</v>
          </cell>
          <cell r="B1500" t="str">
            <v>DESPENSA EN VALES</v>
          </cell>
          <cell r="C1500">
            <v>1300</v>
          </cell>
          <cell r="D1500">
            <v>260</v>
          </cell>
          <cell r="E1500">
            <v>0</v>
          </cell>
          <cell r="F1500">
            <v>1560</v>
          </cell>
        </row>
        <row r="1501">
          <cell r="A1501" t="str">
            <v>71300000-30007000-04010000</v>
          </cell>
          <cell r="B1501" t="str">
            <v>2.5% SOBRE NOMINAS</v>
          </cell>
          <cell r="C1501">
            <v>2141</v>
          </cell>
          <cell r="D1501">
            <v>347</v>
          </cell>
          <cell r="E1501">
            <v>0</v>
          </cell>
          <cell r="F1501">
            <v>2488</v>
          </cell>
        </row>
        <row r="1502">
          <cell r="A1502" t="str">
            <v>71300000-30007000-04020000</v>
          </cell>
          <cell r="B1502" t="str">
            <v>5% INFONAVIT</v>
          </cell>
          <cell r="C1502">
            <v>4552.62</v>
          </cell>
          <cell r="D1502">
            <v>833.85</v>
          </cell>
          <cell r="E1502">
            <v>0</v>
          </cell>
          <cell r="F1502">
            <v>5386.47</v>
          </cell>
        </row>
        <row r="1503">
          <cell r="A1503" t="str">
            <v>71300000-30007000-04030000</v>
          </cell>
          <cell r="B1503" t="str">
            <v>2% S.A.R. / RETIRO</v>
          </cell>
          <cell r="C1503">
            <v>1821.05</v>
          </cell>
          <cell r="D1503">
            <v>333.54</v>
          </cell>
          <cell r="E1503">
            <v>0</v>
          </cell>
          <cell r="F1503">
            <v>2154.59</v>
          </cell>
        </row>
        <row r="1504">
          <cell r="A1504" t="str">
            <v>71300000-30007000-04040000</v>
          </cell>
          <cell r="B1504" t="str">
            <v>CESANTIA Y VEJEZ</v>
          </cell>
          <cell r="C1504">
            <v>2868.13</v>
          </cell>
          <cell r="D1504">
            <v>525.33000000000004</v>
          </cell>
          <cell r="E1504">
            <v>0</v>
          </cell>
          <cell r="F1504">
            <v>3393.46</v>
          </cell>
        </row>
        <row r="1505">
          <cell r="A1505" t="str">
            <v>71300000-30007000-12010000</v>
          </cell>
          <cell r="B1505" t="str">
            <v>ARREND. AUTOMOVILES</v>
          </cell>
          <cell r="C1505">
            <v>6615.4</v>
          </cell>
          <cell r="D1505">
            <v>3007</v>
          </cell>
          <cell r="E1505">
            <v>0</v>
          </cell>
          <cell r="F1505">
            <v>9622.4</v>
          </cell>
        </row>
        <row r="1506">
          <cell r="A1506" t="str">
            <v>71300000-30007000-15010000</v>
          </cell>
          <cell r="B1506" t="str">
            <v>MANT. AUTOMOVILES</v>
          </cell>
          <cell r="C1506">
            <v>11304.73</v>
          </cell>
          <cell r="D1506">
            <v>0</v>
          </cell>
          <cell r="E1506">
            <v>0</v>
          </cell>
          <cell r="F1506">
            <v>11304.73</v>
          </cell>
        </row>
        <row r="1507">
          <cell r="A1507" t="str">
            <v>71300000-30007000-15090000</v>
          </cell>
          <cell r="B1507" t="str">
            <v>MANTTO A TIENDAS</v>
          </cell>
          <cell r="C1507">
            <v>6000</v>
          </cell>
          <cell r="D1507">
            <v>6000</v>
          </cell>
          <cell r="E1507">
            <v>0</v>
          </cell>
          <cell r="F1507">
            <v>12000</v>
          </cell>
        </row>
        <row r="1508">
          <cell r="A1508" t="str">
            <v>71300000-30007000-16010000</v>
          </cell>
          <cell r="B1508" t="str">
            <v>PAPELERIA</v>
          </cell>
          <cell r="C1508">
            <v>229.28</v>
          </cell>
          <cell r="D1508">
            <v>378.71</v>
          </cell>
          <cell r="E1508">
            <v>0</v>
          </cell>
          <cell r="F1508">
            <v>607.99</v>
          </cell>
        </row>
        <row r="1509">
          <cell r="A1509" t="str">
            <v>71300000-30007000-18020000</v>
          </cell>
          <cell r="B1509" t="str">
            <v>PASAJES Y TRANSPORTES LOCALES</v>
          </cell>
          <cell r="C1509">
            <v>1732</v>
          </cell>
          <cell r="D1509">
            <v>200</v>
          </cell>
          <cell r="E1509">
            <v>0</v>
          </cell>
          <cell r="F1509">
            <v>1932</v>
          </cell>
        </row>
        <row r="1510">
          <cell r="A1510" t="str">
            <v>71300000-30007000-18030000</v>
          </cell>
          <cell r="B1510" t="str">
            <v>GASTOS DE REPRESENTACION TRANS</v>
          </cell>
          <cell r="C1510">
            <v>8680.5</v>
          </cell>
          <cell r="D1510">
            <v>1040</v>
          </cell>
          <cell r="E1510">
            <v>0</v>
          </cell>
          <cell r="F1510">
            <v>9720.5</v>
          </cell>
        </row>
        <row r="1511">
          <cell r="A1511" t="str">
            <v>71300000-30007000-18040000</v>
          </cell>
          <cell r="B1511" t="str">
            <v>GASTOS DE REPRESENTACION ALIME</v>
          </cell>
          <cell r="C1511">
            <v>17086.32</v>
          </cell>
          <cell r="D1511">
            <v>3762.26</v>
          </cell>
          <cell r="E1511">
            <v>0</v>
          </cell>
          <cell r="F1511">
            <v>20848.580000000002</v>
          </cell>
        </row>
        <row r="1512">
          <cell r="A1512" t="str">
            <v>71300000-30007000-19030000</v>
          </cell>
          <cell r="B1512" t="str">
            <v>TELEFONOS CELULARES</v>
          </cell>
          <cell r="C1512">
            <v>3526.5</v>
          </cell>
          <cell r="D1512">
            <v>0</v>
          </cell>
          <cell r="E1512">
            <v>0</v>
          </cell>
          <cell r="F1512">
            <v>3526.5</v>
          </cell>
        </row>
        <row r="1513">
          <cell r="A1513" t="str">
            <v>71300000-30007000-19070000</v>
          </cell>
          <cell r="B1513" t="str">
            <v>MENSAJERIA ESPECIALIZADA</v>
          </cell>
          <cell r="C1513">
            <v>1898.16</v>
          </cell>
          <cell r="D1513">
            <v>741.21</v>
          </cell>
          <cell r="E1513">
            <v>0</v>
          </cell>
          <cell r="F1513">
            <v>2639.37</v>
          </cell>
        </row>
        <row r="1514">
          <cell r="A1514" t="str">
            <v>71300000-30007000-20010000</v>
          </cell>
          <cell r="B1514" t="str">
            <v>COMBUSTIBLE AUTOMOVILES</v>
          </cell>
          <cell r="C1514">
            <v>12648.18</v>
          </cell>
          <cell r="D1514">
            <v>3215.29</v>
          </cell>
          <cell r="E1514">
            <v>0</v>
          </cell>
          <cell r="F1514">
            <v>15863.47</v>
          </cell>
        </row>
        <row r="1515">
          <cell r="A1515" t="str">
            <v>71300000-30007000-21010000</v>
          </cell>
          <cell r="B1515" t="str">
            <v>HONORARIOS PERSONAS FISICAS</v>
          </cell>
          <cell r="C1515">
            <v>996.54</v>
          </cell>
          <cell r="D1515">
            <v>0</v>
          </cell>
          <cell r="E1515">
            <v>0</v>
          </cell>
          <cell r="F1515">
            <v>996.54</v>
          </cell>
        </row>
        <row r="1516">
          <cell r="A1516" t="str">
            <v>71300000-30007000-23120000</v>
          </cell>
          <cell r="B1516" t="str">
            <v>DIVERSOS</v>
          </cell>
          <cell r="C1516">
            <v>2652.33</v>
          </cell>
          <cell r="D1516">
            <v>375.87</v>
          </cell>
          <cell r="E1516">
            <v>0</v>
          </cell>
          <cell r="F1516">
            <v>3028.2</v>
          </cell>
        </row>
        <row r="1517">
          <cell r="A1517" t="str">
            <v>71300000-30007000-23130000</v>
          </cell>
          <cell r="B1517" t="str">
            <v>OTROS IMPUESTOS Y DERECHOS</v>
          </cell>
          <cell r="C1517">
            <v>11823.2</v>
          </cell>
          <cell r="D1517">
            <v>659.91</v>
          </cell>
          <cell r="E1517">
            <v>0</v>
          </cell>
          <cell r="F1517">
            <v>12483.11</v>
          </cell>
        </row>
        <row r="1518">
          <cell r="A1518" t="str">
            <v>71300000-30007000-23140000</v>
          </cell>
          <cell r="B1518" t="str">
            <v>FLETES Y ACARREOS</v>
          </cell>
          <cell r="C1518">
            <v>0</v>
          </cell>
          <cell r="D1518">
            <v>183.34</v>
          </cell>
          <cell r="E1518">
            <v>0</v>
          </cell>
          <cell r="F1518">
            <v>183.34</v>
          </cell>
        </row>
        <row r="1519">
          <cell r="A1519" t="str">
            <v>71300000-30007000-35020000</v>
          </cell>
          <cell r="B1519" t="str">
            <v>DIVERSOS NO DEDUCIBLES</v>
          </cell>
          <cell r="C1519">
            <v>2155.6799999999998</v>
          </cell>
          <cell r="D1519">
            <v>797.5</v>
          </cell>
          <cell r="E1519">
            <v>0</v>
          </cell>
          <cell r="F1519">
            <v>2953.18</v>
          </cell>
        </row>
        <row r="1520">
          <cell r="A1520" t="str">
            <v>71300000-30007000-90030000</v>
          </cell>
          <cell r="B1520" t="str">
            <v>PROVISION AGUINALDO</v>
          </cell>
          <cell r="C1520">
            <v>2618.1</v>
          </cell>
          <cell r="D1520">
            <v>523.62</v>
          </cell>
          <cell r="E1520">
            <v>0</v>
          </cell>
          <cell r="F1520">
            <v>3141.72</v>
          </cell>
        </row>
        <row r="1521">
          <cell r="A1521" t="str">
            <v>71300000-30007000-90040000</v>
          </cell>
          <cell r="B1521" t="str">
            <v>BOLETIN D-3</v>
          </cell>
          <cell r="C1521">
            <v>146.25</v>
          </cell>
          <cell r="D1521">
            <v>0</v>
          </cell>
          <cell r="E1521">
            <v>146.25</v>
          </cell>
          <cell r="F1521">
            <v>0</v>
          </cell>
        </row>
        <row r="1522">
          <cell r="A1522" t="str">
            <v>71300000-30008000-00000000</v>
          </cell>
          <cell r="B1522" t="str">
            <v>COSTOS/GASTOS FIJOS PAC CTRO</v>
          </cell>
          <cell r="C1522">
            <v>146765.68</v>
          </cell>
          <cell r="D1522">
            <v>37851.699999999997</v>
          </cell>
          <cell r="E1522">
            <v>818.22</v>
          </cell>
          <cell r="F1522">
            <v>183799.16</v>
          </cell>
        </row>
        <row r="1523">
          <cell r="A1523" t="str">
            <v>71300000-30008000-01010000</v>
          </cell>
          <cell r="B1523" t="str">
            <v>SUELDOS Y SALARIOS</v>
          </cell>
          <cell r="C1523">
            <v>46957.86</v>
          </cell>
          <cell r="D1523">
            <v>9999.9</v>
          </cell>
          <cell r="E1523">
            <v>0</v>
          </cell>
          <cell r="F1523">
            <v>56957.760000000002</v>
          </cell>
        </row>
        <row r="1524">
          <cell r="A1524" t="str">
            <v>71300000-30008000-01030000</v>
          </cell>
          <cell r="B1524" t="str">
            <v>GRATIFICACIONES</v>
          </cell>
          <cell r="C1524">
            <v>1189.5</v>
          </cell>
          <cell r="D1524">
            <v>344.5</v>
          </cell>
          <cell r="E1524">
            <v>0</v>
          </cell>
          <cell r="F1524">
            <v>1534</v>
          </cell>
        </row>
        <row r="1525">
          <cell r="A1525" t="str">
            <v>71300000-30008000-01040000</v>
          </cell>
          <cell r="B1525" t="str">
            <v>VACACIONES</v>
          </cell>
          <cell r="C1525">
            <v>2999.97</v>
          </cell>
          <cell r="D1525">
            <v>0</v>
          </cell>
          <cell r="E1525">
            <v>0</v>
          </cell>
          <cell r="F1525">
            <v>2999.97</v>
          </cell>
        </row>
        <row r="1526">
          <cell r="A1526" t="str">
            <v>71300000-30008000-01050000</v>
          </cell>
          <cell r="B1526" t="str">
            <v>PRIMA VACACIONAL</v>
          </cell>
          <cell r="C1526">
            <v>1949.98</v>
          </cell>
          <cell r="D1526">
            <v>0</v>
          </cell>
          <cell r="E1526">
            <v>0</v>
          </cell>
          <cell r="F1526">
            <v>1949.98</v>
          </cell>
        </row>
        <row r="1527">
          <cell r="A1527" t="str">
            <v>71300000-30008000-03010000</v>
          </cell>
          <cell r="B1527" t="str">
            <v>FONDO DE AHORRO</v>
          </cell>
          <cell r="C1527">
            <v>3756.65</v>
          </cell>
          <cell r="D1527">
            <v>800</v>
          </cell>
          <cell r="E1527">
            <v>0</v>
          </cell>
          <cell r="F1527">
            <v>4556.6499999999996</v>
          </cell>
        </row>
        <row r="1528">
          <cell r="A1528" t="str">
            <v>71300000-30008000-03020000</v>
          </cell>
          <cell r="B1528" t="str">
            <v>CUOTAS AL I.M.S.S.</v>
          </cell>
          <cell r="C1528">
            <v>9229.75</v>
          </cell>
          <cell r="D1528">
            <v>2184.52</v>
          </cell>
          <cell r="E1528">
            <v>0</v>
          </cell>
          <cell r="F1528">
            <v>11414.27</v>
          </cell>
        </row>
        <row r="1529">
          <cell r="A1529" t="str">
            <v>71300000-30008000-03040000</v>
          </cell>
          <cell r="B1529" t="str">
            <v>DESPENSA EN VALES</v>
          </cell>
          <cell r="C1529">
            <v>2000</v>
          </cell>
          <cell r="D1529">
            <v>400</v>
          </cell>
          <cell r="E1529">
            <v>0</v>
          </cell>
          <cell r="F1529">
            <v>2400</v>
          </cell>
        </row>
        <row r="1530">
          <cell r="A1530" t="str">
            <v>71300000-30008000-04010000</v>
          </cell>
          <cell r="B1530" t="str">
            <v>2.5% SOBRE NOMINAS</v>
          </cell>
          <cell r="C1530">
            <v>3294</v>
          </cell>
          <cell r="D1530">
            <v>730</v>
          </cell>
          <cell r="E1530">
            <v>0</v>
          </cell>
          <cell r="F1530">
            <v>4024</v>
          </cell>
        </row>
        <row r="1531">
          <cell r="A1531" t="str">
            <v>71300000-30008000-04020000</v>
          </cell>
          <cell r="B1531" t="str">
            <v>5% INFONAVIT</v>
          </cell>
          <cell r="C1531">
            <v>6349.22</v>
          </cell>
          <cell r="D1531">
            <v>1548.98</v>
          </cell>
          <cell r="E1531">
            <v>0</v>
          </cell>
          <cell r="F1531">
            <v>7898.2</v>
          </cell>
        </row>
        <row r="1532">
          <cell r="A1532" t="str">
            <v>71300000-30008000-04030000</v>
          </cell>
          <cell r="B1532" t="str">
            <v>2% S.A.R. / RETIRO</v>
          </cell>
          <cell r="C1532">
            <v>2539.69</v>
          </cell>
          <cell r="D1532">
            <v>619.59</v>
          </cell>
          <cell r="E1532">
            <v>0</v>
          </cell>
          <cell r="F1532">
            <v>3159.28</v>
          </cell>
        </row>
        <row r="1533">
          <cell r="A1533" t="str">
            <v>71300000-30008000-04040000</v>
          </cell>
          <cell r="B1533" t="str">
            <v>CESANTIA Y VEJEZ</v>
          </cell>
          <cell r="C1533">
            <v>3999.99</v>
          </cell>
          <cell r="D1533">
            <v>975.85</v>
          </cell>
          <cell r="E1533">
            <v>0</v>
          </cell>
          <cell r="F1533">
            <v>4975.84</v>
          </cell>
        </row>
        <row r="1534">
          <cell r="A1534" t="str">
            <v>71300000-30008000-12010000</v>
          </cell>
          <cell r="B1534" t="str">
            <v>ARREND. AUTOMOVILES</v>
          </cell>
          <cell r="C1534">
            <v>5338.42</v>
          </cell>
          <cell r="D1534">
            <v>0</v>
          </cell>
          <cell r="E1534">
            <v>0</v>
          </cell>
          <cell r="F1534">
            <v>5338.42</v>
          </cell>
        </row>
        <row r="1535">
          <cell r="A1535" t="str">
            <v>71300000-30008000-15010000</v>
          </cell>
          <cell r="B1535" t="str">
            <v>MANT. AUTOMOVILES</v>
          </cell>
          <cell r="C1535">
            <v>8280.07</v>
          </cell>
          <cell r="D1535">
            <v>317.23</v>
          </cell>
          <cell r="E1535">
            <v>0</v>
          </cell>
          <cell r="F1535">
            <v>8597.2999999999993</v>
          </cell>
        </row>
        <row r="1536">
          <cell r="A1536" t="str">
            <v>71300000-30008000-15090000</v>
          </cell>
          <cell r="B1536" t="str">
            <v>MANTTO A TIENDAS</v>
          </cell>
          <cell r="C1536">
            <v>0</v>
          </cell>
          <cell r="D1536">
            <v>12600</v>
          </cell>
          <cell r="E1536">
            <v>0</v>
          </cell>
          <cell r="F1536">
            <v>12600</v>
          </cell>
        </row>
        <row r="1537">
          <cell r="A1537" t="str">
            <v>71300000-30008000-16010000</v>
          </cell>
          <cell r="B1537" t="str">
            <v>PAPELERIA</v>
          </cell>
          <cell r="C1537">
            <v>140</v>
          </cell>
          <cell r="D1537">
            <v>0</v>
          </cell>
          <cell r="E1537">
            <v>0</v>
          </cell>
          <cell r="F1537">
            <v>140</v>
          </cell>
        </row>
        <row r="1538">
          <cell r="A1538" t="str">
            <v>71300000-30008000-18030000</v>
          </cell>
          <cell r="B1538" t="str">
            <v>GASTOS DE REPRESENTACION TRANS</v>
          </cell>
          <cell r="C1538">
            <v>671.97</v>
          </cell>
          <cell r="D1538">
            <v>0</v>
          </cell>
          <cell r="E1538">
            <v>671.97</v>
          </cell>
          <cell r="F1538">
            <v>0</v>
          </cell>
        </row>
        <row r="1539">
          <cell r="A1539" t="str">
            <v>71300000-30008000-18040000</v>
          </cell>
          <cell r="B1539" t="str">
            <v>GASTOS DE REPRESENTACION ALIME</v>
          </cell>
          <cell r="C1539">
            <v>14052.74</v>
          </cell>
          <cell r="D1539">
            <v>1628.88</v>
          </cell>
          <cell r="E1539">
            <v>0</v>
          </cell>
          <cell r="F1539">
            <v>15681.62</v>
          </cell>
        </row>
        <row r="1540">
          <cell r="A1540" t="str">
            <v>71300000-30008000-19030000</v>
          </cell>
          <cell r="B1540" t="str">
            <v>TELEFONOS CELULARES</v>
          </cell>
          <cell r="C1540">
            <v>2450.4499999999998</v>
          </cell>
          <cell r="D1540">
            <v>671.97</v>
          </cell>
          <cell r="E1540">
            <v>0</v>
          </cell>
          <cell r="F1540">
            <v>3122.42</v>
          </cell>
        </row>
        <row r="1541">
          <cell r="A1541" t="str">
            <v>71300000-30008000-19070000</v>
          </cell>
          <cell r="B1541" t="str">
            <v>MENSAJERIA ESPECIALIZADA</v>
          </cell>
          <cell r="C1541">
            <v>0</v>
          </cell>
          <cell r="D1541">
            <v>215.1</v>
          </cell>
          <cell r="E1541">
            <v>0</v>
          </cell>
          <cell r="F1541">
            <v>215.1</v>
          </cell>
        </row>
        <row r="1542">
          <cell r="A1542" t="str">
            <v>71300000-30008000-20010000</v>
          </cell>
          <cell r="B1542" t="str">
            <v>COMBUSTIBLE AUTOMOVILES</v>
          </cell>
          <cell r="C1542">
            <v>12230.83</v>
          </cell>
          <cell r="D1542">
            <v>2186.2199999999998</v>
          </cell>
          <cell r="E1542">
            <v>0</v>
          </cell>
          <cell r="F1542">
            <v>14417.05</v>
          </cell>
        </row>
        <row r="1543">
          <cell r="A1543" t="str">
            <v>71300000-30008000-23130000</v>
          </cell>
          <cell r="B1543" t="str">
            <v>OTROS IMPUESTOS Y DERECHOS</v>
          </cell>
          <cell r="C1543">
            <v>10263.959999999999</v>
          </cell>
          <cell r="D1543">
            <v>864.41</v>
          </cell>
          <cell r="E1543">
            <v>0</v>
          </cell>
          <cell r="F1543">
            <v>11128.37</v>
          </cell>
        </row>
        <row r="1544">
          <cell r="A1544" t="str">
            <v>71300000-30008000-23140000</v>
          </cell>
          <cell r="B1544" t="str">
            <v>FLETES Y ACARREOS</v>
          </cell>
          <cell r="C1544">
            <v>53.7</v>
          </cell>
          <cell r="D1544">
            <v>0</v>
          </cell>
          <cell r="E1544">
            <v>0</v>
          </cell>
          <cell r="F1544">
            <v>53.7</v>
          </cell>
        </row>
        <row r="1545">
          <cell r="A1545" t="str">
            <v>71300000-30008000-35020000</v>
          </cell>
          <cell r="B1545" t="str">
            <v>DIVERSOS NO DEDUCIBLES</v>
          </cell>
          <cell r="C1545">
            <v>4842.93</v>
          </cell>
          <cell r="D1545">
            <v>959</v>
          </cell>
          <cell r="E1545">
            <v>0</v>
          </cell>
          <cell r="F1545">
            <v>5801.93</v>
          </cell>
        </row>
        <row r="1546">
          <cell r="A1546" t="str">
            <v>71300000-30008000-90030000</v>
          </cell>
          <cell r="B1546" t="str">
            <v>PROVISION AGUINALDO</v>
          </cell>
          <cell r="C1546">
            <v>4027.75</v>
          </cell>
          <cell r="D1546">
            <v>805.55</v>
          </cell>
          <cell r="E1546">
            <v>0</v>
          </cell>
          <cell r="F1546">
            <v>4833.3</v>
          </cell>
        </row>
        <row r="1547">
          <cell r="A1547" t="str">
            <v>71300000-30008000-90040000</v>
          </cell>
          <cell r="B1547" t="str">
            <v>BOLETIN D-3</v>
          </cell>
          <cell r="C1547">
            <v>146.25</v>
          </cell>
          <cell r="D1547">
            <v>0</v>
          </cell>
          <cell r="E1547">
            <v>146.25</v>
          </cell>
          <cell r="F1547">
            <v>0</v>
          </cell>
        </row>
        <row r="1548">
          <cell r="A1548" t="str">
            <v>71300000-30009000-00000000</v>
          </cell>
          <cell r="B1548" t="str">
            <v>COSTOS/GASTOS FIJOS GDL</v>
          </cell>
          <cell r="C1548">
            <v>149809.29999999999</v>
          </cell>
          <cell r="D1548">
            <v>24637.74</v>
          </cell>
          <cell r="E1548">
            <v>1924.8</v>
          </cell>
          <cell r="F1548">
            <v>172522.23999999999</v>
          </cell>
        </row>
        <row r="1549">
          <cell r="A1549" t="str">
            <v>71300000-30009000-05010000</v>
          </cell>
          <cell r="B1549" t="str">
            <v>SERV. PROFESIONALES EXTERNOS</v>
          </cell>
          <cell r="C1549">
            <v>37483.32</v>
          </cell>
          <cell r="D1549">
            <v>6987.29</v>
          </cell>
          <cell r="E1549">
            <v>0</v>
          </cell>
          <cell r="F1549">
            <v>44470.61</v>
          </cell>
        </row>
        <row r="1550">
          <cell r="A1550" t="str">
            <v>71300000-30009000-13020000</v>
          </cell>
          <cell r="B1550" t="str">
            <v>ARRENDAMIENTO DE INMUEBLES PER</v>
          </cell>
          <cell r="C1550">
            <v>52972</v>
          </cell>
          <cell r="D1550">
            <v>10500</v>
          </cell>
          <cell r="E1550">
            <v>0</v>
          </cell>
          <cell r="F1550">
            <v>63472</v>
          </cell>
        </row>
        <row r="1551">
          <cell r="A1551" t="str">
            <v>71300000-30009000-15090000</v>
          </cell>
          <cell r="B1551" t="str">
            <v>MANTTO A TIENDAS</v>
          </cell>
          <cell r="C1551">
            <v>600</v>
          </cell>
          <cell r="D1551">
            <v>0</v>
          </cell>
          <cell r="E1551">
            <v>0</v>
          </cell>
          <cell r="F1551">
            <v>600</v>
          </cell>
        </row>
        <row r="1552">
          <cell r="A1552" t="str">
            <v>71300000-30009000-16010000</v>
          </cell>
          <cell r="B1552" t="str">
            <v>PAPELERIA</v>
          </cell>
          <cell r="C1552">
            <v>189.6</v>
          </cell>
          <cell r="D1552">
            <v>0</v>
          </cell>
          <cell r="E1552">
            <v>0</v>
          </cell>
          <cell r="F1552">
            <v>189.6</v>
          </cell>
        </row>
        <row r="1553">
          <cell r="A1553" t="str">
            <v>71300000-30009000-16040000</v>
          </cell>
          <cell r="B1553" t="str">
            <v>IMPLEMENTOS DE OFICINA</v>
          </cell>
          <cell r="C1553">
            <v>650.84</v>
          </cell>
          <cell r="D1553">
            <v>0</v>
          </cell>
          <cell r="E1553">
            <v>0</v>
          </cell>
          <cell r="F1553">
            <v>650.84</v>
          </cell>
        </row>
        <row r="1554">
          <cell r="A1554" t="str">
            <v>71300000-30009000-17010000</v>
          </cell>
          <cell r="B1554" t="str">
            <v>ENERGIA ELECTRICA</v>
          </cell>
          <cell r="C1554">
            <v>1687.62</v>
          </cell>
          <cell r="D1554">
            <v>0</v>
          </cell>
          <cell r="E1554">
            <v>0</v>
          </cell>
          <cell r="F1554">
            <v>1687.62</v>
          </cell>
        </row>
        <row r="1555">
          <cell r="A1555" t="str">
            <v>71300000-30009000-18020000</v>
          </cell>
          <cell r="B1555" t="str">
            <v>PASAJES Y TRANSPORTES LOCALES</v>
          </cell>
          <cell r="C1555">
            <v>890</v>
          </cell>
          <cell r="D1555">
            <v>0</v>
          </cell>
          <cell r="E1555">
            <v>0</v>
          </cell>
          <cell r="F1555">
            <v>890</v>
          </cell>
        </row>
        <row r="1556">
          <cell r="A1556" t="str">
            <v>71300000-30009000-18030000</v>
          </cell>
          <cell r="B1556" t="str">
            <v>GASTOS DE REPRESENTACION TRANS</v>
          </cell>
          <cell r="C1556">
            <v>1471</v>
          </cell>
          <cell r="D1556">
            <v>0</v>
          </cell>
          <cell r="E1556">
            <v>0</v>
          </cell>
          <cell r="F1556">
            <v>1471</v>
          </cell>
        </row>
        <row r="1557">
          <cell r="A1557" t="str">
            <v>71300000-30009000-18040000</v>
          </cell>
          <cell r="B1557" t="str">
            <v>GASTOS DE REPRESENTACION ALIME</v>
          </cell>
          <cell r="C1557">
            <v>374.88</v>
          </cell>
          <cell r="D1557">
            <v>0</v>
          </cell>
          <cell r="E1557">
            <v>0</v>
          </cell>
          <cell r="F1557">
            <v>374.88</v>
          </cell>
        </row>
        <row r="1558">
          <cell r="A1558" t="str">
            <v>71300000-30009000-18050000</v>
          </cell>
          <cell r="B1558" t="str">
            <v>AGUA ELECTROPURA</v>
          </cell>
          <cell r="C1558">
            <v>350</v>
          </cell>
          <cell r="D1558">
            <v>0</v>
          </cell>
          <cell r="E1558">
            <v>0</v>
          </cell>
          <cell r="F1558">
            <v>350</v>
          </cell>
        </row>
        <row r="1559">
          <cell r="A1559" t="str">
            <v>71300000-30009000-19070000</v>
          </cell>
          <cell r="B1559" t="str">
            <v>MENSAJERIA ESPECIALIZADA</v>
          </cell>
          <cell r="C1559">
            <v>2523.4899999999998</v>
          </cell>
          <cell r="D1559">
            <v>131.03</v>
          </cell>
          <cell r="E1559">
            <v>0</v>
          </cell>
          <cell r="F1559">
            <v>2654.52</v>
          </cell>
        </row>
        <row r="1560">
          <cell r="A1560" t="str">
            <v>71300000-30009000-23120000</v>
          </cell>
          <cell r="B1560" t="str">
            <v>DIVERSOS</v>
          </cell>
          <cell r="C1560">
            <v>1294.8499999999999</v>
          </cell>
          <cell r="D1560">
            <v>162.44</v>
          </cell>
          <cell r="E1560">
            <v>0</v>
          </cell>
          <cell r="F1560">
            <v>1457.29</v>
          </cell>
        </row>
        <row r="1561">
          <cell r="A1561" t="str">
            <v>71300000-30009000-23130000</v>
          </cell>
          <cell r="B1561" t="str">
            <v>OTROS IMPUESTOS Y DERECHOS</v>
          </cell>
          <cell r="C1561">
            <v>328.44</v>
          </cell>
          <cell r="D1561">
            <v>0</v>
          </cell>
          <cell r="E1561">
            <v>0</v>
          </cell>
          <cell r="F1561">
            <v>328.44</v>
          </cell>
        </row>
        <row r="1562">
          <cell r="A1562" t="str">
            <v>71300000-30009000-23140000</v>
          </cell>
          <cell r="B1562" t="str">
            <v>FLETES Y ACARREOS</v>
          </cell>
          <cell r="C1562">
            <v>46733.9</v>
          </cell>
          <cell r="D1562">
            <v>6786.98</v>
          </cell>
          <cell r="E1562">
            <v>1924.8</v>
          </cell>
          <cell r="F1562">
            <v>51596.08</v>
          </cell>
        </row>
        <row r="1563">
          <cell r="A1563" t="str">
            <v>71300000-30009000-23150000</v>
          </cell>
          <cell r="B1563" t="str">
            <v>ASEO LIMPIEZA E IMPLEMENTOS</v>
          </cell>
          <cell r="C1563">
            <v>85.26</v>
          </cell>
          <cell r="D1563">
            <v>0</v>
          </cell>
          <cell r="E1563">
            <v>0</v>
          </cell>
          <cell r="F1563">
            <v>85.26</v>
          </cell>
        </row>
        <row r="1564">
          <cell r="A1564" t="str">
            <v>71300000-30009000-35020000</v>
          </cell>
          <cell r="B1564" t="str">
            <v>DIVERSOS NO DEDUCIBLES</v>
          </cell>
          <cell r="C1564">
            <v>2174.1</v>
          </cell>
          <cell r="D1564">
            <v>70</v>
          </cell>
          <cell r="E1564">
            <v>0</v>
          </cell>
          <cell r="F1564">
            <v>2244.1</v>
          </cell>
        </row>
        <row r="1565">
          <cell r="A1565" t="str">
            <v>71300000-30010000-00000000</v>
          </cell>
          <cell r="B1565" t="str">
            <v>COSTOS/GASTOS FIJOS OCCIDENTE</v>
          </cell>
          <cell r="C1565">
            <v>128331.29</v>
          </cell>
          <cell r="D1565">
            <v>18946.07</v>
          </cell>
          <cell r="E1565">
            <v>146.25</v>
          </cell>
          <cell r="F1565">
            <v>147131.10999999999</v>
          </cell>
        </row>
        <row r="1566">
          <cell r="A1566" t="str">
            <v>71300000-30010000-01010000</v>
          </cell>
          <cell r="B1566" t="str">
            <v>SUELDOS Y SALARIOS</v>
          </cell>
          <cell r="C1566">
            <v>37749.51</v>
          </cell>
          <cell r="D1566">
            <v>7749.9</v>
          </cell>
          <cell r="E1566">
            <v>0</v>
          </cell>
          <cell r="F1566">
            <v>45499.41</v>
          </cell>
        </row>
        <row r="1567">
          <cell r="A1567" t="str">
            <v>71300000-30010000-01030000</v>
          </cell>
          <cell r="B1567" t="str">
            <v>GRATIFICACIONES</v>
          </cell>
          <cell r="C1567">
            <v>225</v>
          </cell>
          <cell r="D1567">
            <v>0</v>
          </cell>
          <cell r="E1567">
            <v>0</v>
          </cell>
          <cell r="F1567">
            <v>225</v>
          </cell>
        </row>
        <row r="1568">
          <cell r="A1568" t="str">
            <v>71300000-30010000-01040000</v>
          </cell>
          <cell r="B1568" t="str">
            <v>VACACIONES</v>
          </cell>
          <cell r="C1568">
            <v>774.99</v>
          </cell>
          <cell r="D1568">
            <v>0</v>
          </cell>
          <cell r="E1568">
            <v>0</v>
          </cell>
          <cell r="F1568">
            <v>774.99</v>
          </cell>
        </row>
        <row r="1569">
          <cell r="A1569" t="str">
            <v>71300000-30010000-01050000</v>
          </cell>
          <cell r="B1569" t="str">
            <v>PRIMA VACACIONAL</v>
          </cell>
          <cell r="C1569">
            <v>503.74</v>
          </cell>
          <cell r="D1569">
            <v>0</v>
          </cell>
          <cell r="E1569">
            <v>0</v>
          </cell>
          <cell r="F1569">
            <v>503.74</v>
          </cell>
        </row>
        <row r="1570">
          <cell r="A1570" t="str">
            <v>71300000-30010000-03010000</v>
          </cell>
          <cell r="B1570" t="str">
            <v>FONDO DE AHORRO</v>
          </cell>
          <cell r="C1570">
            <v>3020</v>
          </cell>
          <cell r="D1570">
            <v>620</v>
          </cell>
          <cell r="E1570">
            <v>0</v>
          </cell>
          <cell r="F1570">
            <v>3640</v>
          </cell>
        </row>
        <row r="1571">
          <cell r="A1571" t="str">
            <v>71300000-30010000-03020000</v>
          </cell>
          <cell r="B1571" t="str">
            <v>CUOTAS AL I.M.S.S.</v>
          </cell>
          <cell r="C1571">
            <v>5739.52</v>
          </cell>
          <cell r="D1571">
            <v>1206.3599999999999</v>
          </cell>
          <cell r="E1571">
            <v>0</v>
          </cell>
          <cell r="F1571">
            <v>6945.88</v>
          </cell>
        </row>
        <row r="1572">
          <cell r="A1572" t="str">
            <v>71300000-30010000-03040000</v>
          </cell>
          <cell r="B1572" t="str">
            <v>DESPENSA EN VALES</v>
          </cell>
          <cell r="C1572">
            <v>1222</v>
          </cell>
          <cell r="D1572">
            <v>310</v>
          </cell>
          <cell r="E1572">
            <v>0</v>
          </cell>
          <cell r="F1572">
            <v>1532</v>
          </cell>
        </row>
        <row r="1573">
          <cell r="A1573" t="str">
            <v>71300000-30010000-04010000</v>
          </cell>
          <cell r="B1573" t="str">
            <v>2.5% SOBRE NOMINAS</v>
          </cell>
          <cell r="C1573">
            <v>1861</v>
          </cell>
          <cell r="D1573">
            <v>362</v>
          </cell>
          <cell r="E1573">
            <v>0</v>
          </cell>
          <cell r="F1573">
            <v>2223</v>
          </cell>
        </row>
        <row r="1574">
          <cell r="A1574" t="str">
            <v>71300000-30010000-04020000</v>
          </cell>
          <cell r="B1574" t="str">
            <v>5% INFONAVIT</v>
          </cell>
          <cell r="C1574">
            <v>3488.39</v>
          </cell>
          <cell r="D1574">
            <v>747.21</v>
          </cell>
          <cell r="E1574">
            <v>0</v>
          </cell>
          <cell r="F1574">
            <v>4235.6000000000004</v>
          </cell>
        </row>
        <row r="1575">
          <cell r="A1575" t="str">
            <v>71300000-30010000-04030000</v>
          </cell>
          <cell r="B1575" t="str">
            <v>2% S.A.R. / RETIRO</v>
          </cell>
          <cell r="C1575">
            <v>1395.36</v>
          </cell>
          <cell r="D1575">
            <v>298.88</v>
          </cell>
          <cell r="E1575">
            <v>0</v>
          </cell>
          <cell r="F1575">
            <v>1694.24</v>
          </cell>
        </row>
        <row r="1576">
          <cell r="A1576" t="str">
            <v>71300000-30010000-04040000</v>
          </cell>
          <cell r="B1576" t="str">
            <v>CESANTIA Y VEJEZ</v>
          </cell>
          <cell r="C1576">
            <v>2197.75</v>
          </cell>
          <cell r="D1576">
            <v>470.75</v>
          </cell>
          <cell r="E1576">
            <v>0</v>
          </cell>
          <cell r="F1576">
            <v>2668.5</v>
          </cell>
        </row>
        <row r="1577">
          <cell r="A1577" t="str">
            <v>71300000-30010000-12010000</v>
          </cell>
          <cell r="B1577" t="str">
            <v>ARREND. AUTOMOVILES</v>
          </cell>
          <cell r="C1577">
            <v>11410.15</v>
          </cell>
          <cell r="D1577">
            <v>2282.0300000000002</v>
          </cell>
          <cell r="E1577">
            <v>0</v>
          </cell>
          <cell r="F1577">
            <v>13692.18</v>
          </cell>
        </row>
        <row r="1578">
          <cell r="A1578" t="str">
            <v>71300000-30010000-15010000</v>
          </cell>
          <cell r="B1578" t="str">
            <v>MANT. AUTOMOVILES</v>
          </cell>
          <cell r="C1578">
            <v>7065.18</v>
          </cell>
          <cell r="D1578">
            <v>0</v>
          </cell>
          <cell r="E1578">
            <v>0</v>
          </cell>
          <cell r="F1578">
            <v>7065.18</v>
          </cell>
        </row>
        <row r="1579">
          <cell r="A1579" t="str">
            <v>71300000-30010000-15090000</v>
          </cell>
          <cell r="B1579" t="str">
            <v>MANTTO A TIENDAS</v>
          </cell>
          <cell r="C1579">
            <v>15000</v>
          </cell>
          <cell r="D1579">
            <v>2520</v>
          </cell>
          <cell r="E1579">
            <v>0</v>
          </cell>
          <cell r="F1579">
            <v>17520</v>
          </cell>
        </row>
        <row r="1580">
          <cell r="A1580" t="str">
            <v>71300000-30010000-16010000</v>
          </cell>
          <cell r="B1580" t="str">
            <v>PAPELERIA</v>
          </cell>
          <cell r="C1580">
            <v>140</v>
          </cell>
          <cell r="D1580">
            <v>0</v>
          </cell>
          <cell r="E1580">
            <v>0</v>
          </cell>
          <cell r="F1580">
            <v>140</v>
          </cell>
        </row>
        <row r="1581">
          <cell r="A1581" t="str">
            <v>71300000-30010000-18020000</v>
          </cell>
          <cell r="B1581" t="str">
            <v>PASAJES Y TRANSPORTES LOCALES</v>
          </cell>
          <cell r="C1581">
            <v>1150</v>
          </cell>
          <cell r="D1581">
            <v>0</v>
          </cell>
          <cell r="E1581">
            <v>0</v>
          </cell>
          <cell r="F1581">
            <v>1150</v>
          </cell>
        </row>
        <row r="1582">
          <cell r="A1582" t="str">
            <v>71300000-30010000-18030000</v>
          </cell>
          <cell r="B1582" t="str">
            <v>GASTOS DE REPRESENTACION TRANS</v>
          </cell>
          <cell r="C1582">
            <v>3220</v>
          </cell>
          <cell r="D1582">
            <v>0</v>
          </cell>
          <cell r="E1582">
            <v>0</v>
          </cell>
          <cell r="F1582">
            <v>3220</v>
          </cell>
        </row>
        <row r="1583">
          <cell r="A1583" t="str">
            <v>71300000-30010000-18040000</v>
          </cell>
          <cell r="B1583" t="str">
            <v>GASTOS DE REPRESENTACION ALIME</v>
          </cell>
          <cell r="C1583">
            <v>7745.45</v>
          </cell>
          <cell r="D1583">
            <v>420.69</v>
          </cell>
          <cell r="E1583">
            <v>0</v>
          </cell>
          <cell r="F1583">
            <v>8166.14</v>
          </cell>
        </row>
        <row r="1584">
          <cell r="A1584" t="str">
            <v>71300000-30010000-19030000</v>
          </cell>
          <cell r="B1584" t="str">
            <v>TELEFONOS CELULARES</v>
          </cell>
          <cell r="C1584">
            <v>3448.82</v>
          </cell>
          <cell r="D1584">
            <v>0</v>
          </cell>
          <cell r="E1584">
            <v>0</v>
          </cell>
          <cell r="F1584">
            <v>3448.82</v>
          </cell>
        </row>
        <row r="1585">
          <cell r="A1585" t="str">
            <v>71300000-30010000-19070000</v>
          </cell>
          <cell r="B1585" t="str">
            <v>MENSAJERIA ESPECIALIZADA</v>
          </cell>
          <cell r="C1585">
            <v>133.72</v>
          </cell>
          <cell r="D1585">
            <v>0</v>
          </cell>
          <cell r="E1585">
            <v>0</v>
          </cell>
          <cell r="F1585">
            <v>133.72</v>
          </cell>
        </row>
        <row r="1586">
          <cell r="A1586" t="str">
            <v>71300000-30010000-20010000</v>
          </cell>
          <cell r="B1586" t="str">
            <v>COMBUSTIBLE AUTOMOVILES</v>
          </cell>
          <cell r="C1586">
            <v>5814.39</v>
          </cell>
          <cell r="D1586">
            <v>1271.95</v>
          </cell>
          <cell r="E1586">
            <v>0</v>
          </cell>
          <cell r="F1586">
            <v>7086.34</v>
          </cell>
        </row>
        <row r="1587">
          <cell r="A1587" t="str">
            <v>71300000-30010000-23130000</v>
          </cell>
          <cell r="B1587" t="str">
            <v>OTROS IMPUESTOS Y DERECHOS</v>
          </cell>
          <cell r="C1587">
            <v>6467.57</v>
          </cell>
          <cell r="D1587">
            <v>0</v>
          </cell>
          <cell r="E1587">
            <v>0</v>
          </cell>
          <cell r="F1587">
            <v>6467.57</v>
          </cell>
        </row>
        <row r="1588">
          <cell r="A1588" t="str">
            <v>71300000-30010000-35020000</v>
          </cell>
          <cell r="B1588" t="str">
            <v>DIVERSOS NO DEDUCIBLES</v>
          </cell>
          <cell r="C1588">
            <v>5291</v>
          </cell>
          <cell r="D1588">
            <v>62</v>
          </cell>
          <cell r="E1588">
            <v>0</v>
          </cell>
          <cell r="F1588">
            <v>5353</v>
          </cell>
        </row>
        <row r="1589">
          <cell r="A1589" t="str">
            <v>71300000-30010000-90030000</v>
          </cell>
          <cell r="B1589" t="str">
            <v>PROVISION AGUINALDO</v>
          </cell>
          <cell r="C1589">
            <v>3121.5</v>
          </cell>
          <cell r="D1589">
            <v>624.29999999999995</v>
          </cell>
          <cell r="E1589">
            <v>0</v>
          </cell>
          <cell r="F1589">
            <v>3745.8</v>
          </cell>
        </row>
        <row r="1590">
          <cell r="A1590" t="str">
            <v>71300000-30010000-90040000</v>
          </cell>
          <cell r="B1590" t="str">
            <v>BOLETIN D-3</v>
          </cell>
          <cell r="C1590">
            <v>146.25</v>
          </cell>
          <cell r="D1590">
            <v>0</v>
          </cell>
          <cell r="E1590">
            <v>146.25</v>
          </cell>
          <cell r="F1590">
            <v>0</v>
          </cell>
        </row>
        <row r="1591">
          <cell r="A1591" t="str">
            <v>71300000-30011000-00000000</v>
          </cell>
          <cell r="B1591" t="str">
            <v>COSTOS/GASTOS FIJOS CONURBADA</v>
          </cell>
          <cell r="C1591">
            <v>180356.32</v>
          </cell>
          <cell r="D1591">
            <v>24454.87</v>
          </cell>
          <cell r="E1591">
            <v>146.25</v>
          </cell>
          <cell r="F1591">
            <v>204664.94</v>
          </cell>
        </row>
        <row r="1592">
          <cell r="A1592" t="str">
            <v>71300000-30011000-01010000</v>
          </cell>
          <cell r="B1592" t="str">
            <v>SUELDOS Y SALARIOS</v>
          </cell>
          <cell r="C1592">
            <v>40000.5</v>
          </cell>
          <cell r="D1592">
            <v>7733.43</v>
          </cell>
          <cell r="E1592">
            <v>0</v>
          </cell>
          <cell r="F1592">
            <v>47733.93</v>
          </cell>
        </row>
        <row r="1593">
          <cell r="A1593" t="str">
            <v>71300000-30011000-01030000</v>
          </cell>
          <cell r="B1593" t="str">
            <v>GRATIFICACIONES</v>
          </cell>
          <cell r="C1593">
            <v>1067</v>
          </cell>
          <cell r="D1593">
            <v>238.5</v>
          </cell>
          <cell r="E1593">
            <v>0</v>
          </cell>
          <cell r="F1593">
            <v>1305.5</v>
          </cell>
        </row>
        <row r="1594">
          <cell r="A1594" t="str">
            <v>71300000-30011000-01040000</v>
          </cell>
          <cell r="B1594" t="str">
            <v>VACACIONES</v>
          </cell>
          <cell r="C1594">
            <v>0</v>
          </cell>
          <cell r="D1594">
            <v>266.67</v>
          </cell>
          <cell r="E1594">
            <v>0</v>
          </cell>
          <cell r="F1594">
            <v>266.67</v>
          </cell>
        </row>
        <row r="1595">
          <cell r="A1595" t="str">
            <v>71300000-30011000-01050000</v>
          </cell>
          <cell r="B1595" t="str">
            <v>PRIMA VACACIONAL</v>
          </cell>
          <cell r="C1595">
            <v>0</v>
          </cell>
          <cell r="D1595">
            <v>173.34</v>
          </cell>
          <cell r="E1595">
            <v>0</v>
          </cell>
          <cell r="F1595">
            <v>173.34</v>
          </cell>
        </row>
        <row r="1596">
          <cell r="A1596" t="str">
            <v>71300000-30011000-03010000</v>
          </cell>
          <cell r="B1596" t="str">
            <v>FONDO DE AHORRO</v>
          </cell>
          <cell r="C1596">
            <v>3200</v>
          </cell>
          <cell r="D1596">
            <v>618.66999999999996</v>
          </cell>
          <cell r="E1596">
            <v>0</v>
          </cell>
          <cell r="F1596">
            <v>3818.67</v>
          </cell>
        </row>
        <row r="1597">
          <cell r="A1597" t="str">
            <v>71300000-30011000-03020000</v>
          </cell>
          <cell r="B1597" t="str">
            <v>CUOTAS AL I.M.S.S.</v>
          </cell>
          <cell r="C1597">
            <v>12417.31</v>
          </cell>
          <cell r="D1597">
            <v>2499.59</v>
          </cell>
          <cell r="E1597">
            <v>0</v>
          </cell>
          <cell r="F1597">
            <v>14916.9</v>
          </cell>
        </row>
        <row r="1598">
          <cell r="A1598" t="str">
            <v>71300000-30011000-03040000</v>
          </cell>
          <cell r="B1598" t="str">
            <v>DESPENSA EN VALES</v>
          </cell>
          <cell r="C1598">
            <v>1280</v>
          </cell>
          <cell r="D1598">
            <v>320</v>
          </cell>
          <cell r="E1598">
            <v>0</v>
          </cell>
          <cell r="F1598">
            <v>1600</v>
          </cell>
        </row>
        <row r="1599">
          <cell r="A1599" t="str">
            <v>71300000-30011000-04010000</v>
          </cell>
          <cell r="B1599" t="str">
            <v>2.5% SOBRE NOMINAS</v>
          </cell>
          <cell r="C1599">
            <v>4676</v>
          </cell>
          <cell r="D1599">
            <v>1240</v>
          </cell>
          <cell r="E1599">
            <v>0</v>
          </cell>
          <cell r="F1599">
            <v>5916</v>
          </cell>
        </row>
        <row r="1600">
          <cell r="A1600" t="str">
            <v>71300000-30011000-04020000</v>
          </cell>
          <cell r="B1600" t="str">
            <v>5% INFONAVIT</v>
          </cell>
          <cell r="C1600">
            <v>8961.98</v>
          </cell>
          <cell r="D1600">
            <v>1807.23</v>
          </cell>
          <cell r="E1600">
            <v>0</v>
          </cell>
          <cell r="F1600">
            <v>10769.21</v>
          </cell>
        </row>
        <row r="1601">
          <cell r="A1601" t="str">
            <v>71300000-30011000-04030000</v>
          </cell>
          <cell r="B1601" t="str">
            <v>2% S.A.R. / RETIRO</v>
          </cell>
          <cell r="C1601">
            <v>3584.79</v>
          </cell>
          <cell r="D1601">
            <v>722.89</v>
          </cell>
          <cell r="E1601">
            <v>0</v>
          </cell>
          <cell r="F1601">
            <v>4307.68</v>
          </cell>
        </row>
        <row r="1602">
          <cell r="A1602" t="str">
            <v>71300000-30011000-04040000</v>
          </cell>
          <cell r="B1602" t="str">
            <v>CESANTIA Y VEJEZ</v>
          </cell>
          <cell r="C1602">
            <v>5646.04</v>
          </cell>
          <cell r="D1602">
            <v>1138.56</v>
          </cell>
          <cell r="E1602">
            <v>0</v>
          </cell>
          <cell r="F1602">
            <v>6784.6</v>
          </cell>
        </row>
        <row r="1603">
          <cell r="A1603" t="str">
            <v>71300000-30011000-15010000</v>
          </cell>
          <cell r="B1603" t="str">
            <v>MANT. AUTOMOVILES</v>
          </cell>
          <cell r="C1603">
            <v>6908.11</v>
          </cell>
          <cell r="D1603">
            <v>0</v>
          </cell>
          <cell r="E1603">
            <v>0</v>
          </cell>
          <cell r="F1603">
            <v>6908.11</v>
          </cell>
        </row>
        <row r="1604">
          <cell r="A1604" t="str">
            <v>71300000-30011000-15090000</v>
          </cell>
          <cell r="B1604" t="str">
            <v>MANTTO A TIENDAS</v>
          </cell>
          <cell r="C1604">
            <v>35060</v>
          </cell>
          <cell r="D1604">
            <v>0</v>
          </cell>
          <cell r="E1604">
            <v>0</v>
          </cell>
          <cell r="F1604">
            <v>35060</v>
          </cell>
        </row>
        <row r="1605">
          <cell r="A1605" t="str">
            <v>71300000-30011000-16010000</v>
          </cell>
          <cell r="B1605" t="str">
            <v>PAPELERIA</v>
          </cell>
          <cell r="C1605">
            <v>140</v>
          </cell>
          <cell r="D1605">
            <v>0</v>
          </cell>
          <cell r="E1605">
            <v>0</v>
          </cell>
          <cell r="F1605">
            <v>140</v>
          </cell>
        </row>
        <row r="1606">
          <cell r="A1606" t="str">
            <v>71300000-30011000-18040000</v>
          </cell>
          <cell r="B1606" t="str">
            <v>GASTOS DE REPRESENTACION ALIME</v>
          </cell>
          <cell r="C1606">
            <v>12609.68</v>
          </cell>
          <cell r="D1606">
            <v>1967.02</v>
          </cell>
          <cell r="E1606">
            <v>0</v>
          </cell>
          <cell r="F1606">
            <v>14576.7</v>
          </cell>
        </row>
        <row r="1607">
          <cell r="A1607" t="str">
            <v>71300000-30011000-19030000</v>
          </cell>
          <cell r="B1607" t="str">
            <v>TELEFONOS CELULARES</v>
          </cell>
          <cell r="C1607">
            <v>2456.5500000000002</v>
          </cell>
          <cell r="D1607">
            <v>0</v>
          </cell>
          <cell r="E1607">
            <v>0</v>
          </cell>
          <cell r="F1607">
            <v>2456.5500000000002</v>
          </cell>
        </row>
        <row r="1608">
          <cell r="A1608" t="str">
            <v>71300000-30011000-20010000</v>
          </cell>
          <cell r="B1608" t="str">
            <v>COMBUSTIBLE AUTOMOVILES</v>
          </cell>
          <cell r="C1608">
            <v>27277.439999999999</v>
          </cell>
          <cell r="D1608">
            <v>3042.47</v>
          </cell>
          <cell r="E1608">
            <v>0</v>
          </cell>
          <cell r="F1608">
            <v>30319.91</v>
          </cell>
        </row>
        <row r="1609">
          <cell r="A1609" t="str">
            <v>71300000-30011000-23130000</v>
          </cell>
          <cell r="B1609" t="str">
            <v>OTROS IMPUESTOS Y DERECHOS</v>
          </cell>
          <cell r="C1609">
            <v>8185.9</v>
          </cell>
          <cell r="D1609">
            <v>1326.05</v>
          </cell>
          <cell r="E1609">
            <v>0</v>
          </cell>
          <cell r="F1609">
            <v>9511.9500000000007</v>
          </cell>
        </row>
        <row r="1610">
          <cell r="A1610" t="str">
            <v>71300000-30011000-35020000</v>
          </cell>
          <cell r="B1610" t="str">
            <v>DIVERSOS NO DEDUCIBLES</v>
          </cell>
          <cell r="C1610">
            <v>3516.52</v>
          </cell>
          <cell r="D1610">
            <v>716</v>
          </cell>
          <cell r="E1610">
            <v>0</v>
          </cell>
          <cell r="F1610">
            <v>4232.5200000000004</v>
          </cell>
        </row>
        <row r="1611">
          <cell r="A1611" t="str">
            <v>71300000-30011000-90030000</v>
          </cell>
          <cell r="B1611" t="str">
            <v>PROVISION AGUINALDO</v>
          </cell>
          <cell r="C1611">
            <v>3222.25</v>
          </cell>
          <cell r="D1611">
            <v>644.45000000000005</v>
          </cell>
          <cell r="E1611">
            <v>0</v>
          </cell>
          <cell r="F1611">
            <v>3866.7</v>
          </cell>
        </row>
        <row r="1612">
          <cell r="A1612" t="str">
            <v>71300000-30011000-90040000</v>
          </cell>
          <cell r="B1612" t="str">
            <v>BOLETIN D-3</v>
          </cell>
          <cell r="C1612">
            <v>146.25</v>
          </cell>
          <cell r="D1612">
            <v>0</v>
          </cell>
          <cell r="E1612">
            <v>146.25</v>
          </cell>
          <cell r="F1612">
            <v>0</v>
          </cell>
        </row>
        <row r="1613">
          <cell r="A1613" t="str">
            <v>71300000-30012000-00000000</v>
          </cell>
          <cell r="B1613" t="str">
            <v>COSTOS/GTOS LAB FIJOS PRECOR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</row>
        <row r="1614">
          <cell r="A1614" t="str">
            <v>71300000-30013000-00000000</v>
          </cell>
          <cell r="B1614" t="str">
            <v>COSTOS/GASTOS FIJOS CANCUN</v>
          </cell>
          <cell r="C1614">
            <v>355700.52</v>
          </cell>
          <cell r="D1614">
            <v>62663.66</v>
          </cell>
          <cell r="E1614">
            <v>0</v>
          </cell>
          <cell r="F1614">
            <v>418364.18</v>
          </cell>
        </row>
        <row r="1615">
          <cell r="A1615" t="str">
            <v>71300000-30013000-03040000</v>
          </cell>
          <cell r="B1615" t="str">
            <v>DESPENSAS EN VALES</v>
          </cell>
          <cell r="C1615">
            <v>360</v>
          </cell>
          <cell r="D1615">
            <v>0</v>
          </cell>
          <cell r="E1615">
            <v>0</v>
          </cell>
          <cell r="F1615">
            <v>360</v>
          </cell>
        </row>
        <row r="1616">
          <cell r="A1616" t="str">
            <v>71300000-30013000-05010000</v>
          </cell>
          <cell r="B1616" t="str">
            <v>SERV. PROFESIONALES EXTERNOS</v>
          </cell>
          <cell r="C1616">
            <v>52264.37</v>
          </cell>
          <cell r="D1616">
            <v>14175.97</v>
          </cell>
          <cell r="E1616">
            <v>0</v>
          </cell>
          <cell r="F1616">
            <v>66440.34</v>
          </cell>
        </row>
        <row r="1617">
          <cell r="A1617" t="str">
            <v>71300000-30013000-13030000</v>
          </cell>
          <cell r="B1617" t="str">
            <v>ARRENDAMIENTO INMUEBLES SOCIED</v>
          </cell>
          <cell r="C1617">
            <v>129048.65</v>
          </cell>
          <cell r="D1617">
            <v>17200</v>
          </cell>
          <cell r="E1617">
            <v>0</v>
          </cell>
          <cell r="F1617">
            <v>146248.65</v>
          </cell>
        </row>
        <row r="1618">
          <cell r="A1618" t="str">
            <v>71300000-30013000-15010000</v>
          </cell>
          <cell r="B1618" t="str">
            <v>MANT. AUTOMOVILES</v>
          </cell>
          <cell r="C1618">
            <v>2932.12</v>
          </cell>
          <cell r="D1618">
            <v>0</v>
          </cell>
          <cell r="E1618">
            <v>0</v>
          </cell>
          <cell r="F1618">
            <v>2932.12</v>
          </cell>
        </row>
        <row r="1619">
          <cell r="A1619" t="str">
            <v>71300000-30013000-15080000</v>
          </cell>
          <cell r="B1619" t="str">
            <v>MANTTO VARIOS</v>
          </cell>
          <cell r="C1619">
            <v>0</v>
          </cell>
          <cell r="D1619">
            <v>601.07000000000005</v>
          </cell>
          <cell r="E1619">
            <v>0</v>
          </cell>
          <cell r="F1619">
            <v>601.07000000000005</v>
          </cell>
        </row>
        <row r="1620">
          <cell r="A1620" t="str">
            <v>71300000-30013000-15090000</v>
          </cell>
          <cell r="B1620" t="str">
            <v>MANTTO A TIENDAS</v>
          </cell>
          <cell r="C1620">
            <v>36969</v>
          </cell>
          <cell r="D1620">
            <v>14174.41</v>
          </cell>
          <cell r="E1620">
            <v>0</v>
          </cell>
          <cell r="F1620">
            <v>51143.41</v>
          </cell>
        </row>
        <row r="1621">
          <cell r="A1621" t="str">
            <v>71300000-30013000-16010000</v>
          </cell>
          <cell r="B1621" t="str">
            <v>PAPELERIA</v>
          </cell>
          <cell r="C1621">
            <v>2524.71</v>
          </cell>
          <cell r="D1621">
            <v>392.34</v>
          </cell>
          <cell r="E1621">
            <v>0</v>
          </cell>
          <cell r="F1621">
            <v>2917.05</v>
          </cell>
        </row>
        <row r="1622">
          <cell r="A1622" t="str">
            <v>71300000-30013000-17010000</v>
          </cell>
          <cell r="B1622" t="str">
            <v>ENERGIA ELECTRICA</v>
          </cell>
          <cell r="C1622">
            <v>388.29</v>
          </cell>
          <cell r="D1622">
            <v>446.22</v>
          </cell>
          <cell r="E1622">
            <v>0</v>
          </cell>
          <cell r="F1622">
            <v>834.51</v>
          </cell>
        </row>
        <row r="1623">
          <cell r="A1623" t="str">
            <v>71300000-30013000-18020000</v>
          </cell>
          <cell r="B1623" t="str">
            <v>PASAJES Y TRANSPORTES LOCALES</v>
          </cell>
          <cell r="C1623">
            <v>368</v>
          </cell>
          <cell r="D1623">
            <v>1000</v>
          </cell>
          <cell r="E1623">
            <v>0</v>
          </cell>
          <cell r="F1623">
            <v>1368</v>
          </cell>
        </row>
        <row r="1624">
          <cell r="A1624" t="str">
            <v>71300000-30013000-18030000</v>
          </cell>
          <cell r="B1624" t="str">
            <v>GASTOS DE REPRESENTACION TRANS</v>
          </cell>
          <cell r="C1624">
            <v>9335.65</v>
          </cell>
          <cell r="D1624">
            <v>0</v>
          </cell>
          <cell r="E1624">
            <v>0</v>
          </cell>
          <cell r="F1624">
            <v>9335.65</v>
          </cell>
        </row>
        <row r="1625">
          <cell r="A1625" t="str">
            <v>71300000-30013000-18040000</v>
          </cell>
          <cell r="B1625" t="str">
            <v>GASTOS DE REPRESENTACION ALIME</v>
          </cell>
          <cell r="C1625">
            <v>6180.47</v>
          </cell>
          <cell r="D1625">
            <v>2956.35</v>
          </cell>
          <cell r="E1625">
            <v>0</v>
          </cell>
          <cell r="F1625">
            <v>9136.82</v>
          </cell>
        </row>
        <row r="1626">
          <cell r="A1626" t="str">
            <v>71300000-30013000-19030000</v>
          </cell>
          <cell r="B1626" t="str">
            <v>TELEFONOS CELULARES</v>
          </cell>
          <cell r="C1626">
            <v>4839.6000000000004</v>
          </cell>
          <cell r="D1626">
            <v>0</v>
          </cell>
          <cell r="E1626">
            <v>0</v>
          </cell>
          <cell r="F1626">
            <v>4839.6000000000004</v>
          </cell>
        </row>
        <row r="1627">
          <cell r="A1627" t="str">
            <v>71300000-30013000-19070000</v>
          </cell>
          <cell r="B1627" t="str">
            <v>MENSAJERIA ESPECIALIZADA</v>
          </cell>
          <cell r="C1627">
            <v>1171.26</v>
          </cell>
          <cell r="D1627">
            <v>287.3</v>
          </cell>
          <cell r="E1627">
            <v>0</v>
          </cell>
          <cell r="F1627">
            <v>1458.56</v>
          </cell>
        </row>
        <row r="1628">
          <cell r="A1628" t="str">
            <v>71300000-30013000-20010000</v>
          </cell>
          <cell r="B1628" t="str">
            <v>COMBUSTIBLE AUTOMOVILES</v>
          </cell>
          <cell r="C1628">
            <v>5953.45</v>
          </cell>
          <cell r="D1628">
            <v>1095.3699999999999</v>
          </cell>
          <cell r="E1628">
            <v>0</v>
          </cell>
          <cell r="F1628">
            <v>7048.82</v>
          </cell>
        </row>
        <row r="1629">
          <cell r="A1629" t="str">
            <v>71300000-30013000-23010000</v>
          </cell>
          <cell r="B1629" t="str">
            <v>RECOLECCION DE BASURA</v>
          </cell>
          <cell r="C1629">
            <v>6040</v>
          </cell>
          <cell r="D1629">
            <v>0</v>
          </cell>
          <cell r="E1629">
            <v>0</v>
          </cell>
          <cell r="F1629">
            <v>6040</v>
          </cell>
        </row>
        <row r="1630">
          <cell r="A1630" t="str">
            <v>71300000-30013000-23120000</v>
          </cell>
          <cell r="B1630" t="str">
            <v>DIVERSOS</v>
          </cell>
          <cell r="C1630">
            <v>11907.28</v>
          </cell>
          <cell r="D1630">
            <v>10100</v>
          </cell>
          <cell r="E1630">
            <v>0</v>
          </cell>
          <cell r="F1630">
            <v>22007.279999999999</v>
          </cell>
        </row>
        <row r="1631">
          <cell r="A1631" t="str">
            <v>71300000-30013000-23130000</v>
          </cell>
          <cell r="B1631" t="str">
            <v>OTROS IMPUESTOS Y DERECHOS</v>
          </cell>
          <cell r="C1631">
            <v>3858.51</v>
          </cell>
          <cell r="D1631">
            <v>234.63</v>
          </cell>
          <cell r="E1631">
            <v>0</v>
          </cell>
          <cell r="F1631">
            <v>4093.14</v>
          </cell>
        </row>
        <row r="1632">
          <cell r="A1632" t="str">
            <v>71300000-30013000-23140000</v>
          </cell>
          <cell r="B1632" t="str">
            <v>FLETES Y ACARREOS</v>
          </cell>
          <cell r="C1632">
            <v>77437.399999999994</v>
          </cell>
          <cell r="D1632">
            <v>0</v>
          </cell>
          <cell r="E1632">
            <v>0</v>
          </cell>
          <cell r="F1632">
            <v>77437.399999999994</v>
          </cell>
        </row>
        <row r="1633">
          <cell r="A1633" t="str">
            <v>71300000-30013000-23150000</v>
          </cell>
          <cell r="B1633" t="str">
            <v>ASEO LIMPIEZA E IMPLEMENTOS</v>
          </cell>
          <cell r="C1633">
            <v>260.76</v>
          </cell>
          <cell r="D1633">
            <v>0</v>
          </cell>
          <cell r="E1633">
            <v>0</v>
          </cell>
          <cell r="F1633">
            <v>260.76</v>
          </cell>
        </row>
        <row r="1634">
          <cell r="A1634" t="str">
            <v>71300000-30013000-35020000</v>
          </cell>
          <cell r="B1634" t="str">
            <v>DIVERSOS NO DEDUCIBLES</v>
          </cell>
          <cell r="C1634">
            <v>3861</v>
          </cell>
          <cell r="D1634">
            <v>0</v>
          </cell>
          <cell r="E1634">
            <v>0</v>
          </cell>
          <cell r="F1634">
            <v>3861</v>
          </cell>
        </row>
        <row r="1635">
          <cell r="A1635" t="str">
            <v>71300000-30014000-00000000</v>
          </cell>
          <cell r="B1635" t="str">
            <v>COSTOS/GASTOS FIJOS G. FORANEA</v>
          </cell>
          <cell r="C1635">
            <v>814.8</v>
          </cell>
          <cell r="D1635">
            <v>0</v>
          </cell>
          <cell r="E1635">
            <v>0</v>
          </cell>
          <cell r="F1635">
            <v>814.8</v>
          </cell>
        </row>
        <row r="1636">
          <cell r="A1636" t="str">
            <v>71300000-30014000-05010000</v>
          </cell>
          <cell r="B1636" t="str">
            <v>SERV. PROFESIONALES EXTERNOS</v>
          </cell>
          <cell r="C1636">
            <v>814.8</v>
          </cell>
          <cell r="D1636">
            <v>0</v>
          </cell>
          <cell r="E1636">
            <v>0</v>
          </cell>
          <cell r="F1636">
            <v>814.8</v>
          </cell>
        </row>
        <row r="1637">
          <cell r="A1637" t="str">
            <v>71300000-30015000-00000000</v>
          </cell>
          <cell r="B1637" t="str">
            <v>COSTOS/GASTOS FIJOS T AGRICULT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</row>
        <row r="1638">
          <cell r="A1638" t="str">
            <v>71300000-30016000-00000000</v>
          </cell>
          <cell r="B1638" t="str">
            <v>COSTOS/GASTOS FIJOS T IZTAPALA</v>
          </cell>
          <cell r="C1638">
            <v>0</v>
          </cell>
          <cell r="D1638">
            <v>2800</v>
          </cell>
          <cell r="E1638">
            <v>0</v>
          </cell>
          <cell r="F1638">
            <v>2800</v>
          </cell>
        </row>
        <row r="1639">
          <cell r="A1639" t="str">
            <v>71300000-30016000-23020000</v>
          </cell>
          <cell r="B1639" t="str">
            <v>ROTULOS TIENDA EXHIBICION</v>
          </cell>
          <cell r="C1639">
            <v>0</v>
          </cell>
          <cell r="D1639">
            <v>2800</v>
          </cell>
          <cell r="E1639">
            <v>0</v>
          </cell>
          <cell r="F1639">
            <v>2800</v>
          </cell>
        </row>
        <row r="1640">
          <cell r="A1640" t="str">
            <v>71300000-30017000-00000000</v>
          </cell>
          <cell r="B1640" t="str">
            <v>COSTOS/GASTOS FIJOS T JALISCO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</row>
        <row r="1641">
          <cell r="A1641" t="str">
            <v>71300000-30018000-00000000</v>
          </cell>
          <cell r="B1641" t="str">
            <v>COSTOS/GASTOS FIJOS T ACOXPA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</row>
        <row r="1642">
          <cell r="A1642" t="str">
            <v>71300000-30019000-00000000</v>
          </cell>
          <cell r="B1642" t="str">
            <v>COSTOS/GASTOS FIJOS T DIV NTE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</row>
        <row r="1643">
          <cell r="A1643" t="str">
            <v>71300000-30020000-00000000</v>
          </cell>
          <cell r="B1643" t="str">
            <v>COSTOS/GASTOS FIJOS T PORTALES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</row>
        <row r="1644">
          <cell r="A1644" t="str">
            <v>71300000-30021000-00000000</v>
          </cell>
          <cell r="B1644" t="str">
            <v>COSTOS/GASTOS FIJOS T CUAJIMAL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</row>
        <row r="1645">
          <cell r="A1645" t="str">
            <v>71300000-30022000-00000000</v>
          </cell>
          <cell r="B1645" t="str">
            <v>COSTOS/GASTOS FIJOS T ECATEPEC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</row>
        <row r="1646">
          <cell r="A1646" t="str">
            <v>71300000-30023000-00000000</v>
          </cell>
          <cell r="B1646" t="str">
            <v>COSTOS/GASTOS FIJOS COACALCO 1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</row>
        <row r="1647">
          <cell r="A1647" t="str">
            <v>71300000-30024000-00000000</v>
          </cell>
          <cell r="B1647" t="str">
            <v>COSTOS/GASTOS FIJOS COACALCO 2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</row>
        <row r="1648">
          <cell r="A1648" t="str">
            <v>71300000-30025000-00000000</v>
          </cell>
          <cell r="B1648" t="str">
            <v>COSTOS/GASTOS FIJOS OCCIDENT 2</v>
          </cell>
          <cell r="C1648">
            <v>96316.65</v>
          </cell>
          <cell r="D1648">
            <v>21325.98</v>
          </cell>
          <cell r="E1648">
            <v>0</v>
          </cell>
          <cell r="F1648">
            <v>117642.63</v>
          </cell>
        </row>
        <row r="1649">
          <cell r="A1649" t="str">
            <v>71300000-30025000-05010000</v>
          </cell>
          <cell r="B1649" t="str">
            <v>SERV. PROFESIONALES EXTERNOS</v>
          </cell>
          <cell r="C1649">
            <v>37842.78</v>
          </cell>
          <cell r="D1649">
            <v>9871.02</v>
          </cell>
          <cell r="E1649">
            <v>0</v>
          </cell>
          <cell r="F1649">
            <v>47713.8</v>
          </cell>
        </row>
        <row r="1650">
          <cell r="A1650" t="str">
            <v>71300000-30025000-12010000</v>
          </cell>
          <cell r="B1650" t="str">
            <v>ARREND. AUTOMOVILES</v>
          </cell>
          <cell r="C1650">
            <v>10268.450000000001</v>
          </cell>
          <cell r="D1650">
            <v>2053.69</v>
          </cell>
          <cell r="E1650">
            <v>0</v>
          </cell>
          <cell r="F1650">
            <v>12322.14</v>
          </cell>
        </row>
        <row r="1651">
          <cell r="A1651" t="str">
            <v>71300000-30025000-15010000</v>
          </cell>
          <cell r="B1651" t="str">
            <v>MANT. AUTOMOVILES</v>
          </cell>
          <cell r="C1651">
            <v>7257.88</v>
          </cell>
          <cell r="D1651">
            <v>0</v>
          </cell>
          <cell r="E1651">
            <v>0</v>
          </cell>
          <cell r="F1651">
            <v>7257.88</v>
          </cell>
        </row>
        <row r="1652">
          <cell r="A1652" t="str">
            <v>71300000-30025000-16010000</v>
          </cell>
          <cell r="B1652" t="str">
            <v>PAPELERIA</v>
          </cell>
          <cell r="C1652">
            <v>140</v>
          </cell>
          <cell r="D1652">
            <v>0</v>
          </cell>
          <cell r="E1652">
            <v>0</v>
          </cell>
          <cell r="F1652">
            <v>140</v>
          </cell>
        </row>
        <row r="1653">
          <cell r="A1653" t="str">
            <v>71300000-30025000-18020000</v>
          </cell>
          <cell r="B1653" t="str">
            <v>PASAJES Y TRANSPORTES LOCALES</v>
          </cell>
          <cell r="C1653">
            <v>627</v>
          </cell>
          <cell r="D1653">
            <v>0</v>
          </cell>
          <cell r="E1653">
            <v>0</v>
          </cell>
          <cell r="F1653">
            <v>627</v>
          </cell>
        </row>
        <row r="1654">
          <cell r="A1654" t="str">
            <v>71300000-30025000-18030000</v>
          </cell>
          <cell r="B1654" t="str">
            <v>GASTOS DE REPRESENTACION TRANS</v>
          </cell>
          <cell r="C1654">
            <v>2292</v>
          </cell>
          <cell r="D1654">
            <v>2271</v>
          </cell>
          <cell r="E1654">
            <v>0</v>
          </cell>
          <cell r="F1654">
            <v>4563</v>
          </cell>
        </row>
        <row r="1655">
          <cell r="A1655" t="str">
            <v>71300000-30025000-18040000</v>
          </cell>
          <cell r="B1655" t="str">
            <v>GASTOS DE REPRESENTACION ALIME</v>
          </cell>
          <cell r="C1655">
            <v>8591.17</v>
          </cell>
          <cell r="D1655">
            <v>2490.02</v>
          </cell>
          <cell r="E1655">
            <v>0</v>
          </cell>
          <cell r="F1655">
            <v>11081.19</v>
          </cell>
        </row>
        <row r="1656">
          <cell r="A1656" t="str">
            <v>71300000-30025000-19030000</v>
          </cell>
          <cell r="B1656" t="str">
            <v>TELEFONOS CELULARES</v>
          </cell>
          <cell r="C1656">
            <v>3338.76</v>
          </cell>
          <cell r="D1656">
            <v>0</v>
          </cell>
          <cell r="E1656">
            <v>0</v>
          </cell>
          <cell r="F1656">
            <v>3338.76</v>
          </cell>
        </row>
        <row r="1657">
          <cell r="A1657" t="str">
            <v>71300000-30025000-19070000</v>
          </cell>
          <cell r="B1657" t="str">
            <v>MENSAJERIA ESPECIALIZADA</v>
          </cell>
          <cell r="C1657">
            <v>1178.8800000000001</v>
          </cell>
          <cell r="D1657">
            <v>134.12</v>
          </cell>
          <cell r="E1657">
            <v>0</v>
          </cell>
          <cell r="F1657">
            <v>1313</v>
          </cell>
        </row>
        <row r="1658">
          <cell r="A1658" t="str">
            <v>71300000-30025000-20010000</v>
          </cell>
          <cell r="B1658" t="str">
            <v>COMBUSTIBLE AUTOMOVILES</v>
          </cell>
          <cell r="C1658">
            <v>13011.04</v>
          </cell>
          <cell r="D1658">
            <v>1004.47</v>
          </cell>
          <cell r="E1658">
            <v>0</v>
          </cell>
          <cell r="F1658">
            <v>14015.51</v>
          </cell>
        </row>
        <row r="1659">
          <cell r="A1659" t="str">
            <v>71300000-30025000-23120000</v>
          </cell>
          <cell r="B1659" t="str">
            <v>DIVERSOS</v>
          </cell>
          <cell r="C1659">
            <v>48.15</v>
          </cell>
          <cell r="D1659">
            <v>0</v>
          </cell>
          <cell r="E1659">
            <v>0</v>
          </cell>
          <cell r="F1659">
            <v>48.15</v>
          </cell>
        </row>
        <row r="1660">
          <cell r="A1660" t="str">
            <v>71300000-30025000-23130000</v>
          </cell>
          <cell r="B1660" t="str">
            <v>OTROS IMPUESTOS Y DERECHOS</v>
          </cell>
          <cell r="C1660">
            <v>6270.04</v>
          </cell>
          <cell r="D1660">
            <v>2150.66</v>
          </cell>
          <cell r="E1660">
            <v>0</v>
          </cell>
          <cell r="F1660">
            <v>8420.7000000000007</v>
          </cell>
        </row>
        <row r="1661">
          <cell r="A1661" t="str">
            <v>71300000-30025000-35020000</v>
          </cell>
          <cell r="B1661" t="str">
            <v>DIVERSOS NO DEDUCIBLES</v>
          </cell>
          <cell r="C1661">
            <v>5450.5</v>
          </cell>
          <cell r="D1661">
            <v>1351</v>
          </cell>
          <cell r="E1661">
            <v>0</v>
          </cell>
          <cell r="F1661">
            <v>6801.5</v>
          </cell>
        </row>
        <row r="1662">
          <cell r="A1662" t="str">
            <v>71300000-30026000-00000000</v>
          </cell>
          <cell r="B1662" t="str">
            <v>COSTOS/GASTOS FIJOS DF 2</v>
          </cell>
          <cell r="C1662">
            <v>86732.91</v>
          </cell>
          <cell r="D1662">
            <v>11034.05</v>
          </cell>
          <cell r="E1662">
            <v>0</v>
          </cell>
          <cell r="F1662">
            <v>97766.96</v>
          </cell>
        </row>
        <row r="1663">
          <cell r="A1663" t="str">
            <v>71300000-30026000-05010000</v>
          </cell>
          <cell r="B1663" t="str">
            <v>SERV. PROFESIONALES EXTERNOS</v>
          </cell>
          <cell r="C1663">
            <v>58843.199999999997</v>
          </cell>
          <cell r="D1663">
            <v>7765.48</v>
          </cell>
          <cell r="E1663">
            <v>0</v>
          </cell>
          <cell r="F1663">
            <v>66608.679999999993</v>
          </cell>
        </row>
        <row r="1664">
          <cell r="A1664" t="str">
            <v>71300000-30026000-12010000</v>
          </cell>
          <cell r="B1664" t="str">
            <v>ARREND. AUTOMOVILES</v>
          </cell>
          <cell r="C1664">
            <v>10268.6</v>
          </cell>
          <cell r="D1664">
            <v>2053.7199999999998</v>
          </cell>
          <cell r="E1664">
            <v>0</v>
          </cell>
          <cell r="F1664">
            <v>12322.32</v>
          </cell>
        </row>
        <row r="1665">
          <cell r="A1665" t="str">
            <v>71300000-30026000-15010000</v>
          </cell>
          <cell r="B1665" t="str">
            <v>MANT. AUTOMOVILES</v>
          </cell>
          <cell r="C1665">
            <v>8224.34</v>
          </cell>
          <cell r="D1665">
            <v>0</v>
          </cell>
          <cell r="E1665">
            <v>0</v>
          </cell>
          <cell r="F1665">
            <v>8224.34</v>
          </cell>
        </row>
        <row r="1666">
          <cell r="A1666" t="str">
            <v>71300000-30026000-19030000</v>
          </cell>
          <cell r="B1666" t="str">
            <v>TELEFONOS CELULARES</v>
          </cell>
          <cell r="C1666">
            <v>1452.34</v>
          </cell>
          <cell r="D1666">
            <v>0</v>
          </cell>
          <cell r="E1666">
            <v>0</v>
          </cell>
          <cell r="F1666">
            <v>1452.34</v>
          </cell>
        </row>
        <row r="1667">
          <cell r="A1667" t="str">
            <v>71300000-30026000-20010000</v>
          </cell>
          <cell r="B1667" t="str">
            <v>COMBUSTIBLE AUTOMOVILES</v>
          </cell>
          <cell r="C1667">
            <v>5727.43</v>
          </cell>
          <cell r="D1667">
            <v>1214.8499999999999</v>
          </cell>
          <cell r="E1667">
            <v>0</v>
          </cell>
          <cell r="F1667">
            <v>6942.28</v>
          </cell>
        </row>
        <row r="1668">
          <cell r="A1668" t="str">
            <v>71300000-30026000-23130000</v>
          </cell>
          <cell r="B1668" t="str">
            <v>OTROS IMPUESTOS Y DERECHOS</v>
          </cell>
          <cell r="C1668">
            <v>2217</v>
          </cell>
          <cell r="D1668">
            <v>0</v>
          </cell>
          <cell r="E1668">
            <v>0</v>
          </cell>
          <cell r="F1668">
            <v>2217</v>
          </cell>
        </row>
        <row r="1669">
          <cell r="A1669" t="str">
            <v>71300000-30027000-00000000</v>
          </cell>
          <cell r="B1669" t="str">
            <v>COSTOS/GASTOS FIJOS DF 3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</row>
        <row r="1670">
          <cell r="A1670" t="str">
            <v>71300000-30028000-00000000</v>
          </cell>
          <cell r="B1670" t="str">
            <v>COSTOS/GASTOS FIJOS DF 4</v>
          </cell>
          <cell r="C1670">
            <v>87225.11</v>
          </cell>
          <cell r="D1670">
            <v>11855.16</v>
          </cell>
          <cell r="E1670">
            <v>292.5</v>
          </cell>
          <cell r="F1670">
            <v>98787.77</v>
          </cell>
        </row>
        <row r="1671">
          <cell r="A1671" t="str">
            <v>71300000-30028000-01010000</v>
          </cell>
          <cell r="B1671" t="str">
            <v>SUELDO Y SALARIOS</v>
          </cell>
          <cell r="C1671">
            <v>31381.05</v>
          </cell>
          <cell r="D1671">
            <v>6600</v>
          </cell>
          <cell r="E1671">
            <v>0</v>
          </cell>
          <cell r="F1671">
            <v>37981.050000000003</v>
          </cell>
        </row>
        <row r="1672">
          <cell r="A1672" t="str">
            <v>71300000-30028000-01030000</v>
          </cell>
          <cell r="B1672" t="str">
            <v>GRATIFICACIONES</v>
          </cell>
          <cell r="C1672">
            <v>2088.5</v>
          </cell>
          <cell r="D1672">
            <v>530</v>
          </cell>
          <cell r="E1672">
            <v>0</v>
          </cell>
          <cell r="F1672">
            <v>2618.5</v>
          </cell>
        </row>
        <row r="1673">
          <cell r="A1673" t="str">
            <v>71300000-30028000-01040000</v>
          </cell>
          <cell r="B1673" t="str">
            <v>VACACIONES</v>
          </cell>
          <cell r="C1673">
            <v>440</v>
          </cell>
          <cell r="D1673">
            <v>0</v>
          </cell>
          <cell r="E1673">
            <v>0</v>
          </cell>
          <cell r="F1673">
            <v>440</v>
          </cell>
        </row>
        <row r="1674">
          <cell r="A1674" t="str">
            <v>71300000-30028000-01050000</v>
          </cell>
          <cell r="B1674" t="str">
            <v>PRIMA VACACIONAL</v>
          </cell>
          <cell r="C1674">
            <v>286</v>
          </cell>
          <cell r="D1674">
            <v>0</v>
          </cell>
          <cell r="E1674">
            <v>0</v>
          </cell>
          <cell r="F1674">
            <v>286</v>
          </cell>
        </row>
        <row r="1675">
          <cell r="A1675" t="str">
            <v>71300000-30028000-03010000</v>
          </cell>
          <cell r="B1675" t="str">
            <v>FONDO DE AHORRO</v>
          </cell>
          <cell r="C1675">
            <v>2510.48</v>
          </cell>
          <cell r="D1675">
            <v>528</v>
          </cell>
          <cell r="E1675">
            <v>0</v>
          </cell>
          <cell r="F1675">
            <v>3038.48</v>
          </cell>
        </row>
        <row r="1676">
          <cell r="A1676" t="str">
            <v>71300000-30028000-03020000</v>
          </cell>
          <cell r="B1676" t="str">
            <v>CUOTAS AL I.M.S.S.</v>
          </cell>
          <cell r="C1676">
            <v>7398.42</v>
          </cell>
          <cell r="D1676">
            <v>910.61</v>
          </cell>
          <cell r="E1676">
            <v>0</v>
          </cell>
          <cell r="F1676">
            <v>8309.0300000000007</v>
          </cell>
        </row>
        <row r="1677">
          <cell r="A1677" t="str">
            <v>71300000-30028000-03040000</v>
          </cell>
          <cell r="B1677" t="str">
            <v>DESPENSA EN VALES</v>
          </cell>
          <cell r="C1677">
            <v>1304</v>
          </cell>
          <cell r="D1677">
            <v>264</v>
          </cell>
          <cell r="E1677">
            <v>0</v>
          </cell>
          <cell r="F1677">
            <v>1568</v>
          </cell>
        </row>
        <row r="1678">
          <cell r="A1678" t="str">
            <v>71300000-30028000-04010000</v>
          </cell>
          <cell r="B1678" t="str">
            <v>2.5% SOBRE NOMINAS</v>
          </cell>
          <cell r="C1678">
            <v>2172</v>
          </cell>
          <cell r="D1678">
            <v>359</v>
          </cell>
          <cell r="E1678">
            <v>0</v>
          </cell>
          <cell r="F1678">
            <v>2531</v>
          </cell>
        </row>
        <row r="1679">
          <cell r="A1679" t="str">
            <v>71300000-30028000-04020000</v>
          </cell>
          <cell r="B1679" t="str">
            <v>5% INFONAVIT</v>
          </cell>
          <cell r="C1679">
            <v>4848.1499999999996</v>
          </cell>
          <cell r="D1679">
            <v>504.78</v>
          </cell>
          <cell r="E1679">
            <v>0</v>
          </cell>
          <cell r="F1679">
            <v>5352.93</v>
          </cell>
        </row>
        <row r="1680">
          <cell r="A1680" t="str">
            <v>71300000-30028000-04030000</v>
          </cell>
          <cell r="B1680" t="str">
            <v>2% S.A.R. / RETIRO</v>
          </cell>
          <cell r="C1680">
            <v>1939.25</v>
          </cell>
          <cell r="D1680">
            <v>201.91</v>
          </cell>
          <cell r="E1680">
            <v>0</v>
          </cell>
          <cell r="F1680">
            <v>2141.16</v>
          </cell>
        </row>
        <row r="1681">
          <cell r="A1681" t="str">
            <v>71300000-30028000-04040000</v>
          </cell>
          <cell r="B1681" t="str">
            <v>CESANTIA Y VEJEZ</v>
          </cell>
          <cell r="C1681">
            <v>3054.32</v>
          </cell>
          <cell r="D1681">
            <v>318.01</v>
          </cell>
          <cell r="E1681">
            <v>0</v>
          </cell>
          <cell r="F1681">
            <v>3372.33</v>
          </cell>
        </row>
        <row r="1682">
          <cell r="A1682" t="str">
            <v>71300000-30028000-15010000</v>
          </cell>
          <cell r="B1682" t="str">
            <v>MANT. AUTOMOVILES</v>
          </cell>
          <cell r="C1682">
            <v>5661.04</v>
          </cell>
          <cell r="D1682">
            <v>0</v>
          </cell>
          <cell r="E1682">
            <v>0</v>
          </cell>
          <cell r="F1682">
            <v>5661.04</v>
          </cell>
        </row>
        <row r="1683">
          <cell r="A1683" t="str">
            <v>71300000-30028000-15090000</v>
          </cell>
          <cell r="B1683" t="str">
            <v>MANTTO A TIENDAS</v>
          </cell>
          <cell r="C1683">
            <v>12265.51</v>
          </cell>
          <cell r="D1683">
            <v>0</v>
          </cell>
          <cell r="E1683">
            <v>0</v>
          </cell>
          <cell r="F1683">
            <v>12265.51</v>
          </cell>
        </row>
        <row r="1684">
          <cell r="A1684" t="str">
            <v>71300000-30028000-19030000</v>
          </cell>
          <cell r="B1684" t="str">
            <v>TELEFONOS CELULARES</v>
          </cell>
          <cell r="C1684">
            <v>1821.04</v>
          </cell>
          <cell r="D1684">
            <v>0</v>
          </cell>
          <cell r="E1684">
            <v>0</v>
          </cell>
          <cell r="F1684">
            <v>1821.04</v>
          </cell>
        </row>
        <row r="1685">
          <cell r="A1685" t="str">
            <v>71300000-30028000-20010000</v>
          </cell>
          <cell r="B1685" t="str">
            <v>COMBUSTIBLE AUTOMOVILES</v>
          </cell>
          <cell r="C1685">
            <v>6790.5</v>
          </cell>
          <cell r="D1685">
            <v>1107.18</v>
          </cell>
          <cell r="E1685">
            <v>0</v>
          </cell>
          <cell r="F1685">
            <v>7897.68</v>
          </cell>
        </row>
        <row r="1686">
          <cell r="A1686" t="str">
            <v>71300000-30028000-35020000</v>
          </cell>
          <cell r="B1686" t="str">
            <v>DIVERSOS NO DEDUCIBLES</v>
          </cell>
          <cell r="C1686">
            <v>314</v>
          </cell>
          <cell r="D1686">
            <v>0</v>
          </cell>
          <cell r="E1686">
            <v>0</v>
          </cell>
          <cell r="F1686">
            <v>314</v>
          </cell>
        </row>
        <row r="1687">
          <cell r="A1687" t="str">
            <v>71300000-30028000-90030000</v>
          </cell>
          <cell r="B1687" t="str">
            <v>PROVISION AGUINALDO</v>
          </cell>
          <cell r="C1687">
            <v>2658.35</v>
          </cell>
          <cell r="D1687">
            <v>531.66999999999996</v>
          </cell>
          <cell r="E1687">
            <v>0</v>
          </cell>
          <cell r="F1687">
            <v>3190.02</v>
          </cell>
        </row>
        <row r="1688">
          <cell r="A1688" t="str">
            <v>71300000-30028000-90040000</v>
          </cell>
          <cell r="B1688" t="str">
            <v>BOLETIN D-3</v>
          </cell>
          <cell r="C1688">
            <v>292.5</v>
          </cell>
          <cell r="D1688">
            <v>0</v>
          </cell>
          <cell r="E1688">
            <v>292.5</v>
          </cell>
          <cell r="F1688">
            <v>0</v>
          </cell>
        </row>
        <row r="1689">
          <cell r="A1689" t="str">
            <v>71300000-30029000-00000000</v>
          </cell>
          <cell r="B1689" t="str">
            <v>COSTOS/GASTOS FIJOS DF 5</v>
          </cell>
          <cell r="C1689">
            <v>50304.37</v>
          </cell>
          <cell r="D1689">
            <v>9267.16</v>
          </cell>
          <cell r="E1689">
            <v>0</v>
          </cell>
          <cell r="F1689">
            <v>59571.53</v>
          </cell>
        </row>
        <row r="1690">
          <cell r="A1690" t="str">
            <v>71300000-30029000-05010000</v>
          </cell>
          <cell r="B1690" t="str">
            <v>SERV. PROFESIONALES EXTERNOS</v>
          </cell>
          <cell r="C1690">
            <v>39698.03</v>
          </cell>
          <cell r="D1690">
            <v>7917.81</v>
          </cell>
          <cell r="E1690">
            <v>0</v>
          </cell>
          <cell r="F1690">
            <v>47615.839999999997</v>
          </cell>
        </row>
        <row r="1691">
          <cell r="A1691" t="str">
            <v>71300000-30029000-15010000</v>
          </cell>
          <cell r="B1691" t="str">
            <v>MANT. AUTOMOVILES</v>
          </cell>
          <cell r="C1691">
            <v>1637.93</v>
          </cell>
          <cell r="D1691">
            <v>247.41</v>
          </cell>
          <cell r="E1691">
            <v>0</v>
          </cell>
          <cell r="F1691">
            <v>1885.34</v>
          </cell>
        </row>
        <row r="1692">
          <cell r="A1692" t="str">
            <v>71300000-30029000-16010000</v>
          </cell>
          <cell r="B1692" t="str">
            <v>PAPELERIA</v>
          </cell>
          <cell r="C1692">
            <v>70</v>
          </cell>
          <cell r="D1692">
            <v>0</v>
          </cell>
          <cell r="E1692">
            <v>0</v>
          </cell>
          <cell r="F1692">
            <v>70</v>
          </cell>
        </row>
        <row r="1693">
          <cell r="A1693" t="str">
            <v>71300000-30029000-19030000</v>
          </cell>
          <cell r="B1693" t="str">
            <v>TELEFONOS CELULARES</v>
          </cell>
          <cell r="C1693">
            <v>1135.97</v>
          </cell>
          <cell r="D1693">
            <v>0</v>
          </cell>
          <cell r="E1693">
            <v>0</v>
          </cell>
          <cell r="F1693">
            <v>1135.97</v>
          </cell>
        </row>
        <row r="1694">
          <cell r="A1694" t="str">
            <v>71300000-30029000-20010000</v>
          </cell>
          <cell r="B1694" t="str">
            <v>COMBUSTIBLE AUTOMOVILES</v>
          </cell>
          <cell r="C1694">
            <v>5545.44</v>
          </cell>
          <cell r="D1694">
            <v>1101.94</v>
          </cell>
          <cell r="E1694">
            <v>0</v>
          </cell>
          <cell r="F1694">
            <v>6647.38</v>
          </cell>
        </row>
        <row r="1695">
          <cell r="A1695" t="str">
            <v>71300000-30029000-23130000</v>
          </cell>
          <cell r="B1695" t="str">
            <v>OTROS IMPUESTOS Y DERECHOS</v>
          </cell>
          <cell r="C1695">
            <v>2217</v>
          </cell>
          <cell r="D1695">
            <v>0</v>
          </cell>
          <cell r="E1695">
            <v>0</v>
          </cell>
          <cell r="F1695">
            <v>2217</v>
          </cell>
        </row>
        <row r="1696">
          <cell r="A1696" t="str">
            <v>71300000-30030000-00000000</v>
          </cell>
          <cell r="B1696" t="str">
            <v>COSTOS/GASTOS FIJOS NTE</v>
          </cell>
          <cell r="C1696">
            <v>81946.460000000006</v>
          </cell>
          <cell r="D1696">
            <v>14499.95</v>
          </cell>
          <cell r="E1696">
            <v>0</v>
          </cell>
          <cell r="F1696">
            <v>96446.41</v>
          </cell>
        </row>
        <row r="1697">
          <cell r="A1697" t="str">
            <v>71300000-30030000-05010000</v>
          </cell>
          <cell r="B1697" t="str">
            <v>SERV. PROFESIONALES EXTERNOS</v>
          </cell>
          <cell r="C1697">
            <v>45795.72</v>
          </cell>
          <cell r="D1697">
            <v>8967.68</v>
          </cell>
          <cell r="E1697">
            <v>0</v>
          </cell>
          <cell r="F1697">
            <v>54763.4</v>
          </cell>
        </row>
        <row r="1698">
          <cell r="A1698" t="str">
            <v>71300000-30030000-12010000</v>
          </cell>
          <cell r="B1698" t="str">
            <v>ARREND. AUTOMOVILES</v>
          </cell>
          <cell r="C1698">
            <v>6615.4</v>
          </cell>
          <cell r="D1698">
            <v>3007</v>
          </cell>
          <cell r="E1698">
            <v>0</v>
          </cell>
          <cell r="F1698">
            <v>9622.4</v>
          </cell>
        </row>
        <row r="1699">
          <cell r="A1699" t="str">
            <v>71300000-30030000-15010000</v>
          </cell>
          <cell r="B1699" t="str">
            <v>MANT. AUTOMOVILES</v>
          </cell>
          <cell r="C1699">
            <v>3073.08</v>
          </cell>
          <cell r="D1699">
            <v>0</v>
          </cell>
          <cell r="E1699">
            <v>0</v>
          </cell>
          <cell r="F1699">
            <v>3073.08</v>
          </cell>
        </row>
        <row r="1700">
          <cell r="A1700" t="str">
            <v>71300000-30030000-18020000</v>
          </cell>
          <cell r="B1700" t="str">
            <v>PASAJES Y TRANSPORTES LOCALES</v>
          </cell>
          <cell r="C1700">
            <v>250</v>
          </cell>
          <cell r="D1700">
            <v>0</v>
          </cell>
          <cell r="E1700">
            <v>0</v>
          </cell>
          <cell r="F1700">
            <v>250</v>
          </cell>
        </row>
        <row r="1701">
          <cell r="A1701" t="str">
            <v>71300000-30030000-18030000</v>
          </cell>
          <cell r="B1701" t="str">
            <v>GASTOS DE REPRESENTACION TRANS</v>
          </cell>
          <cell r="C1701">
            <v>2844.5</v>
          </cell>
          <cell r="D1701">
            <v>0</v>
          </cell>
          <cell r="E1701">
            <v>0</v>
          </cell>
          <cell r="F1701">
            <v>2844.5</v>
          </cell>
        </row>
        <row r="1702">
          <cell r="A1702" t="str">
            <v>71300000-30030000-18040000</v>
          </cell>
          <cell r="B1702" t="str">
            <v>GASTOS DE REPRESENTACION ALIME</v>
          </cell>
          <cell r="C1702">
            <v>1396.9</v>
          </cell>
          <cell r="D1702">
            <v>0</v>
          </cell>
          <cell r="E1702">
            <v>0</v>
          </cell>
          <cell r="F1702">
            <v>1396.9</v>
          </cell>
        </row>
        <row r="1703">
          <cell r="A1703" t="str">
            <v>71300000-30030000-19030000</v>
          </cell>
          <cell r="B1703" t="str">
            <v>TELEFONOS CELULARES</v>
          </cell>
          <cell r="C1703">
            <v>4022.11</v>
          </cell>
          <cell r="D1703">
            <v>0</v>
          </cell>
          <cell r="E1703">
            <v>0</v>
          </cell>
          <cell r="F1703">
            <v>4022.11</v>
          </cell>
        </row>
        <row r="1704">
          <cell r="A1704" t="str">
            <v>71300000-30030000-19050000</v>
          </cell>
          <cell r="B1704" t="str">
            <v>INTERNET</v>
          </cell>
          <cell r="C1704">
            <v>2103.84</v>
          </cell>
          <cell r="D1704">
            <v>390.43</v>
          </cell>
          <cell r="E1704">
            <v>0</v>
          </cell>
          <cell r="F1704">
            <v>2494.27</v>
          </cell>
        </row>
        <row r="1705">
          <cell r="A1705" t="str">
            <v>71300000-30030000-19070000</v>
          </cell>
          <cell r="B1705" t="str">
            <v>MENSAJERIA ESPECIALIZADA</v>
          </cell>
          <cell r="C1705">
            <v>964.09</v>
          </cell>
          <cell r="D1705">
            <v>0</v>
          </cell>
          <cell r="E1705">
            <v>0</v>
          </cell>
          <cell r="F1705">
            <v>964.09</v>
          </cell>
        </row>
        <row r="1706">
          <cell r="A1706" t="str">
            <v>71300000-30030000-20010000</v>
          </cell>
          <cell r="B1706" t="str">
            <v>COMBUSTIBLE AUTOMOVILES</v>
          </cell>
          <cell r="C1706">
            <v>8249.2999999999993</v>
          </cell>
          <cell r="D1706">
            <v>2134.84</v>
          </cell>
          <cell r="E1706">
            <v>0</v>
          </cell>
          <cell r="F1706">
            <v>10384.14</v>
          </cell>
        </row>
        <row r="1707">
          <cell r="A1707" t="str">
            <v>71300000-30030000-21010000</v>
          </cell>
          <cell r="B1707" t="str">
            <v>HONORARIOS PERSONAS FISICAS</v>
          </cell>
          <cell r="C1707">
            <v>996.54</v>
          </cell>
          <cell r="D1707">
            <v>0</v>
          </cell>
          <cell r="E1707">
            <v>0</v>
          </cell>
          <cell r="F1707">
            <v>996.54</v>
          </cell>
        </row>
        <row r="1708">
          <cell r="A1708" t="str">
            <v>71300000-30030000-23120000</v>
          </cell>
          <cell r="B1708" t="str">
            <v>DIVERSOS</v>
          </cell>
          <cell r="C1708">
            <v>43.1</v>
          </cell>
          <cell r="D1708">
            <v>0</v>
          </cell>
          <cell r="E1708">
            <v>0</v>
          </cell>
          <cell r="F1708">
            <v>43.1</v>
          </cell>
        </row>
        <row r="1709">
          <cell r="A1709" t="str">
            <v>71300000-30030000-23130000</v>
          </cell>
          <cell r="B1709" t="str">
            <v>OTROS IMPUESTOS Y DERECHOS</v>
          </cell>
          <cell r="C1709">
            <v>5165.0600000000004</v>
          </cell>
          <cell r="D1709">
            <v>0</v>
          </cell>
          <cell r="E1709">
            <v>0</v>
          </cell>
          <cell r="F1709">
            <v>5165.0600000000004</v>
          </cell>
        </row>
        <row r="1710">
          <cell r="A1710" t="str">
            <v>71300000-30030000-35020000</v>
          </cell>
          <cell r="B1710" t="str">
            <v>DIVERSOS NO DEDUCIBLES</v>
          </cell>
          <cell r="C1710">
            <v>426.82</v>
          </cell>
          <cell r="D1710">
            <v>0</v>
          </cell>
          <cell r="E1710">
            <v>0</v>
          </cell>
          <cell r="F1710">
            <v>426.82</v>
          </cell>
        </row>
        <row r="1711">
          <cell r="A1711" t="str">
            <v>71300000-30031000-00000000</v>
          </cell>
          <cell r="B1711" t="str">
            <v>COSTOS/GASTOS FIJOS PROYEC ESP</v>
          </cell>
          <cell r="C1711">
            <v>27153.08</v>
          </cell>
          <cell r="D1711">
            <v>31072.21</v>
          </cell>
          <cell r="E1711">
            <v>0</v>
          </cell>
          <cell r="F1711">
            <v>58225.29</v>
          </cell>
        </row>
        <row r="1712">
          <cell r="A1712" t="str">
            <v>71300000-30031000-05010000</v>
          </cell>
          <cell r="B1712" t="str">
            <v>SERV. PROFESIONALES EXTERNOS</v>
          </cell>
          <cell r="C1712">
            <v>25405.59</v>
          </cell>
          <cell r="D1712">
            <v>30160.6</v>
          </cell>
          <cell r="E1712">
            <v>0</v>
          </cell>
          <cell r="F1712">
            <v>55566.19</v>
          </cell>
        </row>
        <row r="1713">
          <cell r="A1713" t="str">
            <v>71300000-30031000-15010000</v>
          </cell>
          <cell r="B1713" t="str">
            <v>MANT. AUTOMOVILES</v>
          </cell>
          <cell r="C1713">
            <v>495.69</v>
          </cell>
          <cell r="D1713">
            <v>0</v>
          </cell>
          <cell r="E1713">
            <v>0</v>
          </cell>
          <cell r="F1713">
            <v>495.69</v>
          </cell>
        </row>
        <row r="1714">
          <cell r="A1714" t="str">
            <v>71300000-30031000-16010000</v>
          </cell>
          <cell r="B1714" t="str">
            <v>PAPELERIA</v>
          </cell>
          <cell r="C1714">
            <v>140</v>
          </cell>
          <cell r="D1714">
            <v>0</v>
          </cell>
          <cell r="E1714">
            <v>0</v>
          </cell>
          <cell r="F1714">
            <v>140</v>
          </cell>
        </row>
        <row r="1715">
          <cell r="A1715" t="str">
            <v>71300000-30031000-20010000</v>
          </cell>
          <cell r="B1715" t="str">
            <v>COMBUSTIBLE AUTOMOVILES</v>
          </cell>
          <cell r="C1715">
            <v>1026.8</v>
          </cell>
          <cell r="D1715">
            <v>911.61</v>
          </cell>
          <cell r="E1715">
            <v>0</v>
          </cell>
          <cell r="F1715">
            <v>1938.41</v>
          </cell>
        </row>
        <row r="1716">
          <cell r="A1716" t="str">
            <v>71300000-30031000-23120000</v>
          </cell>
          <cell r="B1716" t="str">
            <v>DIVERSOS</v>
          </cell>
          <cell r="C1716">
            <v>85</v>
          </cell>
          <cell r="D1716">
            <v>0</v>
          </cell>
          <cell r="E1716">
            <v>0</v>
          </cell>
          <cell r="F1716">
            <v>85</v>
          </cell>
        </row>
        <row r="1717">
          <cell r="A1717" t="str">
            <v>71400000-00000000-00000000</v>
          </cell>
          <cell r="B1717" t="str">
            <v>COSTOS/GASTOS FIJOS MKT</v>
          </cell>
          <cell r="C1717">
            <v>1415122.87</v>
          </cell>
          <cell r="D1717">
            <v>234608.84</v>
          </cell>
          <cell r="E1717">
            <v>438.75</v>
          </cell>
          <cell r="F1717">
            <v>1649292.96</v>
          </cell>
        </row>
        <row r="1718">
          <cell r="F1718">
            <v>1649292.96</v>
          </cell>
        </row>
        <row r="1719">
          <cell r="A1719" t="str">
            <v>71400000-40000000-00000000</v>
          </cell>
          <cell r="B1719" t="str">
            <v>COSTOS/GASTOS FIJOS MKT GRAL.</v>
          </cell>
          <cell r="C1719">
            <v>1415122.87</v>
          </cell>
          <cell r="D1719">
            <v>234608.84</v>
          </cell>
          <cell r="E1719">
            <v>438.75</v>
          </cell>
        </row>
        <row r="1720">
          <cell r="A1720" t="str">
            <v>71400000-40001000-00000000</v>
          </cell>
          <cell r="B1720" t="str">
            <v>COSTOS/GASTOS FIJOS MKT GRAL</v>
          </cell>
          <cell r="C1720">
            <v>454146.32</v>
          </cell>
          <cell r="D1720">
            <v>76318.759999999995</v>
          </cell>
          <cell r="E1720">
            <v>146.25</v>
          </cell>
          <cell r="F1720">
            <v>530318.82999999996</v>
          </cell>
        </row>
        <row r="1721">
          <cell r="A1721" t="str">
            <v>71400000-40001000-01010000</v>
          </cell>
          <cell r="B1721" t="str">
            <v>SUELDOS Y SALARIOS</v>
          </cell>
          <cell r="C1721">
            <v>168880</v>
          </cell>
          <cell r="D1721">
            <v>34800</v>
          </cell>
          <cell r="E1721">
            <v>0</v>
          </cell>
          <cell r="F1721">
            <v>203680</v>
          </cell>
        </row>
        <row r="1722">
          <cell r="A1722" t="str">
            <v>71400000-40001000-01030000</v>
          </cell>
          <cell r="B1722" t="str">
            <v>GRATIFICACIONES</v>
          </cell>
          <cell r="C1722">
            <v>3480</v>
          </cell>
          <cell r="D1722">
            <v>0</v>
          </cell>
          <cell r="E1722">
            <v>0</v>
          </cell>
          <cell r="F1722">
            <v>3480</v>
          </cell>
        </row>
        <row r="1723">
          <cell r="A1723" t="str">
            <v>71400000-40001000-01040000</v>
          </cell>
          <cell r="B1723" t="str">
            <v>VACACIONES</v>
          </cell>
          <cell r="C1723">
            <v>2232</v>
          </cell>
          <cell r="D1723">
            <v>0</v>
          </cell>
          <cell r="E1723">
            <v>0</v>
          </cell>
          <cell r="F1723">
            <v>2232</v>
          </cell>
        </row>
        <row r="1724">
          <cell r="A1724" t="str">
            <v>71400000-40001000-01050000</v>
          </cell>
          <cell r="B1724" t="str">
            <v>PRIMA VACACIONAL</v>
          </cell>
          <cell r="C1724">
            <v>1450.8</v>
          </cell>
          <cell r="D1724">
            <v>0</v>
          </cell>
          <cell r="E1724">
            <v>0</v>
          </cell>
          <cell r="F1724">
            <v>1450.8</v>
          </cell>
        </row>
        <row r="1725">
          <cell r="A1725" t="str">
            <v>71400000-40001000-01080000</v>
          </cell>
          <cell r="B1725" t="str">
            <v>COMISIONES</v>
          </cell>
          <cell r="C1725">
            <v>9750.4</v>
          </cell>
          <cell r="D1725">
            <v>0</v>
          </cell>
          <cell r="E1725">
            <v>0</v>
          </cell>
          <cell r="F1725">
            <v>9750.4</v>
          </cell>
        </row>
        <row r="1726">
          <cell r="A1726" t="str">
            <v>71400000-40001000-03010000</v>
          </cell>
          <cell r="B1726" t="str">
            <v>FONDO DE AHORRO</v>
          </cell>
          <cell r="C1726">
            <v>11130.06</v>
          </cell>
          <cell r="D1726">
            <v>2240.94</v>
          </cell>
          <cell r="E1726">
            <v>0</v>
          </cell>
          <cell r="F1726">
            <v>13371</v>
          </cell>
        </row>
        <row r="1727">
          <cell r="A1727" t="str">
            <v>71400000-40001000-03020000</v>
          </cell>
          <cell r="B1727" t="str">
            <v>CUOTAS AL I.M.S.S.</v>
          </cell>
          <cell r="C1727">
            <v>14715.3</v>
          </cell>
          <cell r="D1727">
            <v>2923.58</v>
          </cell>
          <cell r="E1727">
            <v>0</v>
          </cell>
          <cell r="F1727">
            <v>17638.88</v>
          </cell>
        </row>
        <row r="1728">
          <cell r="A1728" t="str">
            <v>71400000-40001000-03040000</v>
          </cell>
          <cell r="B1728" t="str">
            <v>DESPENSA EN VALES</v>
          </cell>
          <cell r="C1728">
            <v>8446</v>
          </cell>
          <cell r="D1728">
            <v>1724</v>
          </cell>
          <cell r="E1728">
            <v>0</v>
          </cell>
          <cell r="F1728">
            <v>10170</v>
          </cell>
        </row>
        <row r="1729">
          <cell r="A1729" t="str">
            <v>71400000-40001000-04010000</v>
          </cell>
          <cell r="B1729" t="str">
            <v>2.5% SOBRE NOMINAS</v>
          </cell>
          <cell r="C1729">
            <v>6124</v>
          </cell>
          <cell r="D1729">
            <v>1148</v>
          </cell>
          <cell r="E1729">
            <v>0</v>
          </cell>
          <cell r="F1729">
            <v>7272</v>
          </cell>
        </row>
        <row r="1730">
          <cell r="A1730" t="str">
            <v>71400000-40001000-04020000</v>
          </cell>
          <cell r="B1730" t="str">
            <v>5% INFONAVIT</v>
          </cell>
          <cell r="C1730">
            <v>10845.6</v>
          </cell>
          <cell r="D1730">
            <v>2154.75</v>
          </cell>
          <cell r="E1730">
            <v>0</v>
          </cell>
          <cell r="F1730">
            <v>13000.35</v>
          </cell>
        </row>
        <row r="1731">
          <cell r="A1731" t="str">
            <v>71400000-40001000-04030000</v>
          </cell>
          <cell r="B1731" t="str">
            <v>2% S.A.R. / RETIRO</v>
          </cell>
          <cell r="C1731">
            <v>4338.2299999999996</v>
          </cell>
          <cell r="D1731">
            <v>861.9</v>
          </cell>
          <cell r="E1731">
            <v>0</v>
          </cell>
          <cell r="F1731">
            <v>5200.13</v>
          </cell>
        </row>
        <row r="1732">
          <cell r="A1732" t="str">
            <v>71400000-40001000-04040000</v>
          </cell>
          <cell r="B1732" t="str">
            <v>CESANTIA Y VEJEZ</v>
          </cell>
          <cell r="C1732">
            <v>6832.71</v>
          </cell>
          <cell r="D1732">
            <v>1357.49</v>
          </cell>
          <cell r="E1732">
            <v>0</v>
          </cell>
          <cell r="F1732">
            <v>8190.2</v>
          </cell>
        </row>
        <row r="1733">
          <cell r="A1733" t="str">
            <v>71400000-40001000-14010000</v>
          </cell>
          <cell r="B1733" t="str">
            <v>SEG. AUTOMOVILES</v>
          </cell>
          <cell r="C1733">
            <v>6982.94</v>
          </cell>
          <cell r="D1733">
            <v>1548.08</v>
          </cell>
          <cell r="E1733">
            <v>0</v>
          </cell>
          <cell r="F1733">
            <v>8531.02</v>
          </cell>
        </row>
        <row r="1734">
          <cell r="A1734" t="str">
            <v>71400000-40001000-14040000</v>
          </cell>
          <cell r="B1734" t="str">
            <v>VIDA</v>
          </cell>
          <cell r="C1734">
            <v>1549.65</v>
          </cell>
          <cell r="D1734">
            <v>185.28</v>
          </cell>
          <cell r="E1734">
            <v>0</v>
          </cell>
          <cell r="F1734">
            <v>1734.93</v>
          </cell>
        </row>
        <row r="1735">
          <cell r="A1735" t="str">
            <v>71400000-40001000-15060000</v>
          </cell>
          <cell r="B1735" t="str">
            <v>MANTTO A EQUIPOS DE COMPUTO</v>
          </cell>
          <cell r="C1735">
            <v>282.5</v>
          </cell>
          <cell r="D1735">
            <v>365</v>
          </cell>
          <cell r="E1735">
            <v>0</v>
          </cell>
          <cell r="F1735">
            <v>647.5</v>
          </cell>
        </row>
        <row r="1736">
          <cell r="A1736" t="str">
            <v>71400000-40001000-15080000</v>
          </cell>
          <cell r="B1736" t="str">
            <v>MANTTO A VARIOS</v>
          </cell>
          <cell r="C1736">
            <v>0</v>
          </cell>
          <cell r="D1736">
            <v>73.27</v>
          </cell>
          <cell r="E1736">
            <v>0</v>
          </cell>
          <cell r="F1736">
            <v>73.27</v>
          </cell>
        </row>
        <row r="1737">
          <cell r="A1737" t="str">
            <v>71400000-40001000-16010000</v>
          </cell>
          <cell r="B1737" t="str">
            <v>PAPELERIA</v>
          </cell>
          <cell r="C1737">
            <v>2371.27</v>
          </cell>
          <cell r="D1737">
            <v>361.6</v>
          </cell>
          <cell r="E1737">
            <v>0</v>
          </cell>
          <cell r="F1737">
            <v>2732.87</v>
          </cell>
        </row>
        <row r="1738">
          <cell r="A1738" t="str">
            <v>71400000-40001000-17010000</v>
          </cell>
          <cell r="B1738" t="str">
            <v>ENERGIA ELECTRICA</v>
          </cell>
          <cell r="C1738">
            <v>5051.08</v>
          </cell>
          <cell r="D1738">
            <v>2176.29</v>
          </cell>
          <cell r="E1738">
            <v>0</v>
          </cell>
          <cell r="F1738">
            <v>7227.37</v>
          </cell>
        </row>
        <row r="1739">
          <cell r="A1739" t="str">
            <v>71400000-40001000-18010000</v>
          </cell>
          <cell r="B1739" t="str">
            <v>CAPACITACION Y ADIESTRAMIENTO</v>
          </cell>
          <cell r="C1739">
            <v>5344.59</v>
          </cell>
          <cell r="D1739">
            <v>1300</v>
          </cell>
          <cell r="E1739">
            <v>0</v>
          </cell>
          <cell r="F1739">
            <v>6644.59</v>
          </cell>
        </row>
        <row r="1740">
          <cell r="A1740" t="str">
            <v>71400000-40001000-18020000</v>
          </cell>
          <cell r="B1740" t="str">
            <v>PASAJES Y TRANSPORTES LOCALES</v>
          </cell>
          <cell r="C1740">
            <v>6489</v>
          </cell>
          <cell r="D1740">
            <v>1455</v>
          </cell>
          <cell r="E1740">
            <v>0</v>
          </cell>
          <cell r="F1740">
            <v>7944</v>
          </cell>
        </row>
        <row r="1741">
          <cell r="A1741" t="str">
            <v>71400000-40001000-18030000</v>
          </cell>
          <cell r="B1741" t="str">
            <v>GASTOS DE REPRESENTACION TRANS</v>
          </cell>
          <cell r="C1741">
            <v>7966</v>
          </cell>
          <cell r="D1741">
            <v>0</v>
          </cell>
          <cell r="E1741">
            <v>0</v>
          </cell>
          <cell r="F1741">
            <v>7966</v>
          </cell>
        </row>
        <row r="1742">
          <cell r="A1742" t="str">
            <v>71400000-40001000-18040000</v>
          </cell>
          <cell r="B1742" t="str">
            <v>GASTOS DE REPRESENTACION ALIME</v>
          </cell>
          <cell r="C1742">
            <v>7678.53</v>
          </cell>
          <cell r="D1742">
            <v>0</v>
          </cell>
          <cell r="E1742">
            <v>0</v>
          </cell>
          <cell r="F1742">
            <v>7678.53</v>
          </cell>
        </row>
        <row r="1743">
          <cell r="A1743" t="str">
            <v>71400000-40001000-18080000</v>
          </cell>
          <cell r="B1743" t="str">
            <v>COMEDOR</v>
          </cell>
          <cell r="C1743">
            <v>3055.52</v>
          </cell>
          <cell r="D1743">
            <v>0</v>
          </cell>
          <cell r="E1743">
            <v>0</v>
          </cell>
          <cell r="F1743">
            <v>3055.52</v>
          </cell>
        </row>
        <row r="1744">
          <cell r="A1744" t="str">
            <v>71400000-40001000-18110000</v>
          </cell>
          <cell r="B1744" t="str">
            <v>CONSUMOS RESTAURANT</v>
          </cell>
          <cell r="C1744">
            <v>911.37</v>
          </cell>
          <cell r="D1744">
            <v>304.04000000000002</v>
          </cell>
          <cell r="E1744">
            <v>0</v>
          </cell>
          <cell r="F1744">
            <v>1215.4100000000001</v>
          </cell>
        </row>
        <row r="1745">
          <cell r="A1745" t="str">
            <v>71400000-40001000-19010000</v>
          </cell>
          <cell r="B1745" t="str">
            <v>TELEFONOS</v>
          </cell>
          <cell r="C1745">
            <v>30758.01</v>
          </cell>
          <cell r="D1745">
            <v>3393.25</v>
          </cell>
          <cell r="E1745">
            <v>0</v>
          </cell>
          <cell r="F1745">
            <v>34151.26</v>
          </cell>
        </row>
        <row r="1746">
          <cell r="A1746" t="str">
            <v>71400000-40001000-19030000</v>
          </cell>
          <cell r="B1746" t="str">
            <v>TELEFONOS CELULARES</v>
          </cell>
          <cell r="C1746">
            <v>6970.21</v>
          </cell>
          <cell r="D1746">
            <v>0</v>
          </cell>
          <cell r="E1746">
            <v>0</v>
          </cell>
          <cell r="F1746">
            <v>6970.21</v>
          </cell>
        </row>
        <row r="1747">
          <cell r="A1747" t="str">
            <v>71400000-40001000-19050000</v>
          </cell>
          <cell r="B1747" t="str">
            <v>INTERNET</v>
          </cell>
          <cell r="C1747">
            <v>7788.79</v>
          </cell>
          <cell r="D1747">
            <v>1564.03</v>
          </cell>
          <cell r="E1747">
            <v>0</v>
          </cell>
          <cell r="F1747">
            <v>9352.82</v>
          </cell>
        </row>
        <row r="1748">
          <cell r="A1748" t="str">
            <v>71400000-40001000-20010000</v>
          </cell>
          <cell r="B1748" t="str">
            <v>COMBUSTIBLE AUTOMOVILES</v>
          </cell>
          <cell r="C1748">
            <v>7098.09</v>
          </cell>
          <cell r="D1748">
            <v>1474.81</v>
          </cell>
          <cell r="E1748">
            <v>0</v>
          </cell>
          <cell r="F1748">
            <v>8572.9</v>
          </cell>
        </row>
        <row r="1749">
          <cell r="A1749" t="str">
            <v>71400000-40001000-22050000</v>
          </cell>
          <cell r="B1749" t="str">
            <v>COMISIONES Y ASESORIAS EXTERNA</v>
          </cell>
          <cell r="C1749">
            <v>1091.97</v>
          </cell>
          <cell r="D1749">
            <v>266.04000000000002</v>
          </cell>
          <cell r="E1749">
            <v>0</v>
          </cell>
          <cell r="F1749">
            <v>1358.01</v>
          </cell>
        </row>
        <row r="1750">
          <cell r="A1750" t="str">
            <v>71400000-40001000-23120000</v>
          </cell>
          <cell r="B1750" t="str">
            <v>DIVERSOS</v>
          </cell>
          <cell r="C1750">
            <v>2521.3000000000002</v>
          </cell>
          <cell r="D1750">
            <v>500</v>
          </cell>
          <cell r="E1750">
            <v>0</v>
          </cell>
          <cell r="F1750">
            <v>3021.3</v>
          </cell>
        </row>
        <row r="1751">
          <cell r="A1751" t="str">
            <v>71400000-40001000-23130000</v>
          </cell>
          <cell r="B1751" t="str">
            <v>OTROS IMPUESTOS Y DERECHOS</v>
          </cell>
          <cell r="C1751">
            <v>15170.93</v>
          </cell>
          <cell r="D1751">
            <v>2290.14</v>
          </cell>
          <cell r="E1751">
            <v>0</v>
          </cell>
          <cell r="F1751">
            <v>17461.07</v>
          </cell>
        </row>
        <row r="1752">
          <cell r="A1752" t="str">
            <v>71400000-40001000-23200000</v>
          </cell>
          <cell r="B1752" t="str">
            <v>EVENTOS INTERNOS COREV</v>
          </cell>
          <cell r="C1752">
            <v>1668.89</v>
          </cell>
          <cell r="D1752">
            <v>0</v>
          </cell>
          <cell r="E1752">
            <v>0</v>
          </cell>
          <cell r="F1752">
            <v>1668.89</v>
          </cell>
        </row>
        <row r="1753">
          <cell r="A1753" t="str">
            <v>71400000-40001000-27140000</v>
          </cell>
          <cell r="B1753" t="str">
            <v>INVESTIGACION DE MERCADOS</v>
          </cell>
          <cell r="C1753">
            <v>33424.58</v>
          </cell>
          <cell r="D1753">
            <v>3996</v>
          </cell>
          <cell r="E1753">
            <v>0</v>
          </cell>
          <cell r="F1753">
            <v>37420.58</v>
          </cell>
        </row>
        <row r="1754">
          <cell r="A1754" t="str">
            <v>71400000-40001000-35020000</v>
          </cell>
          <cell r="B1754" t="str">
            <v>DIVERSOS NO DEDUCIBLES</v>
          </cell>
          <cell r="C1754">
            <v>26151.1</v>
          </cell>
          <cell r="D1754">
            <v>3409.91</v>
          </cell>
          <cell r="E1754">
            <v>0</v>
          </cell>
          <cell r="F1754">
            <v>29561.01</v>
          </cell>
        </row>
        <row r="1755">
          <cell r="A1755" t="str">
            <v>71400000-40001000-90010000</v>
          </cell>
          <cell r="B1755" t="str">
            <v>PRIMA DE ANTIGUEDAD</v>
          </cell>
          <cell r="C1755">
            <v>1976</v>
          </cell>
          <cell r="D1755">
            <v>165.49</v>
          </cell>
          <cell r="E1755">
            <v>0</v>
          </cell>
          <cell r="F1755">
            <v>2141.4899999999998</v>
          </cell>
        </row>
        <row r="1756">
          <cell r="A1756" t="str">
            <v>71400000-40001000-90020000</v>
          </cell>
          <cell r="B1756" t="str">
            <v>PLAN DE PENSIONES</v>
          </cell>
          <cell r="C1756">
            <v>7281</v>
          </cell>
          <cell r="D1756">
            <v>1041.54</v>
          </cell>
          <cell r="E1756">
            <v>0</v>
          </cell>
          <cell r="F1756">
            <v>8322.5400000000009</v>
          </cell>
        </row>
        <row r="1757">
          <cell r="A1757" t="str">
            <v>71400000-40001000-90030000</v>
          </cell>
          <cell r="B1757" t="str">
            <v>PROVISION AGUINALDO</v>
          </cell>
          <cell r="C1757">
            <v>16191.65</v>
          </cell>
          <cell r="D1757">
            <v>3238.33</v>
          </cell>
          <cell r="E1757">
            <v>0</v>
          </cell>
          <cell r="F1757">
            <v>19429.98</v>
          </cell>
        </row>
        <row r="1758">
          <cell r="A1758" t="str">
            <v>71400000-40001000-90040000</v>
          </cell>
          <cell r="B1758" t="str">
            <v>BOLETIN D-3</v>
          </cell>
          <cell r="C1758">
            <v>146.25</v>
          </cell>
          <cell r="D1758">
            <v>0</v>
          </cell>
          <cell r="E1758">
            <v>146.25</v>
          </cell>
          <cell r="F1758">
            <v>0</v>
          </cell>
        </row>
        <row r="1759">
          <cell r="A1759" t="str">
            <v>71400000-40002000-00000000</v>
          </cell>
          <cell r="B1759" t="str">
            <v>COSTOS/GASTOS FIJOS CAPACITACI</v>
          </cell>
          <cell r="C1759">
            <v>632284.46</v>
          </cell>
          <cell r="D1759">
            <v>118836.49</v>
          </cell>
          <cell r="E1759">
            <v>292.5</v>
          </cell>
          <cell r="F1759">
            <v>750828.45</v>
          </cell>
        </row>
        <row r="1760">
          <cell r="A1760" t="str">
            <v>71400000-40002000-01010000</v>
          </cell>
          <cell r="B1760" t="str">
            <v>SUELDOS Y SALARIOS</v>
          </cell>
          <cell r="C1760">
            <v>97758.399999999994</v>
          </cell>
          <cell r="D1760">
            <v>19502.91</v>
          </cell>
          <cell r="E1760">
            <v>0</v>
          </cell>
          <cell r="F1760">
            <v>117261.31</v>
          </cell>
        </row>
        <row r="1761">
          <cell r="A1761" t="str">
            <v>71400000-40002000-01030000</v>
          </cell>
          <cell r="B1761" t="str">
            <v>GRATIFICACIONES</v>
          </cell>
          <cell r="C1761">
            <v>1815.05</v>
          </cell>
          <cell r="D1761">
            <v>0</v>
          </cell>
          <cell r="E1761">
            <v>0</v>
          </cell>
          <cell r="F1761">
            <v>1815.05</v>
          </cell>
        </row>
        <row r="1762">
          <cell r="A1762" t="str">
            <v>71400000-40002000-01040000</v>
          </cell>
          <cell r="B1762" t="str">
            <v>VACACIONES</v>
          </cell>
          <cell r="C1762">
            <v>5473.64</v>
          </cell>
          <cell r="D1762">
            <v>2166.9899999999998</v>
          </cell>
          <cell r="E1762">
            <v>0</v>
          </cell>
          <cell r="F1762">
            <v>7640.63</v>
          </cell>
        </row>
        <row r="1763">
          <cell r="A1763" t="str">
            <v>71400000-40002000-01050000</v>
          </cell>
          <cell r="B1763" t="str">
            <v>PRIMA VACACIONAL</v>
          </cell>
          <cell r="C1763">
            <v>3557.86</v>
          </cell>
          <cell r="D1763">
            <v>1408.54</v>
          </cell>
          <cell r="E1763">
            <v>0</v>
          </cell>
          <cell r="F1763">
            <v>4966.3999999999996</v>
          </cell>
        </row>
        <row r="1764">
          <cell r="A1764" t="str">
            <v>71400000-40002000-01080000</v>
          </cell>
          <cell r="B1764" t="str">
            <v>COMISIONES</v>
          </cell>
          <cell r="C1764">
            <v>31400</v>
          </cell>
          <cell r="D1764">
            <v>4000</v>
          </cell>
          <cell r="E1764">
            <v>0</v>
          </cell>
          <cell r="F1764">
            <v>35400</v>
          </cell>
        </row>
        <row r="1765">
          <cell r="A1765" t="str">
            <v>71400000-40002000-03010000</v>
          </cell>
          <cell r="B1765" t="str">
            <v>FONDO DE AHORRO</v>
          </cell>
          <cell r="C1765">
            <v>7820.67</v>
          </cell>
          <cell r="D1765">
            <v>1560.24</v>
          </cell>
          <cell r="E1765">
            <v>0</v>
          </cell>
          <cell r="F1765">
            <v>9380.91</v>
          </cell>
        </row>
        <row r="1766">
          <cell r="A1766" t="str">
            <v>71400000-40002000-03020000</v>
          </cell>
          <cell r="B1766" t="str">
            <v>CUOTAS AL I.M.S.S.</v>
          </cell>
          <cell r="C1766">
            <v>11540.93</v>
          </cell>
          <cell r="D1766">
            <v>2165.36</v>
          </cell>
          <cell r="E1766">
            <v>0</v>
          </cell>
          <cell r="F1766">
            <v>13706.29</v>
          </cell>
        </row>
        <row r="1767">
          <cell r="A1767" t="str">
            <v>71400000-40002000-03030000</v>
          </cell>
          <cell r="B1767" t="str">
            <v>UNIFORMES Y EQUIPO</v>
          </cell>
          <cell r="C1767">
            <v>4200</v>
          </cell>
          <cell r="D1767">
            <v>0</v>
          </cell>
          <cell r="E1767">
            <v>0</v>
          </cell>
          <cell r="F1767">
            <v>4200</v>
          </cell>
        </row>
        <row r="1768">
          <cell r="A1768" t="str">
            <v>71400000-40002000-03040000</v>
          </cell>
          <cell r="B1768" t="str">
            <v>DESPENSA EN VALES</v>
          </cell>
          <cell r="C1768">
            <v>4226</v>
          </cell>
          <cell r="D1768">
            <v>867</v>
          </cell>
          <cell r="E1768">
            <v>0</v>
          </cell>
          <cell r="F1768">
            <v>5093</v>
          </cell>
        </row>
        <row r="1769">
          <cell r="A1769" t="str">
            <v>71400000-40002000-04010000</v>
          </cell>
          <cell r="B1769" t="str">
            <v>2.5% SOBRE NOMINAS</v>
          </cell>
          <cell r="C1769">
            <v>3697</v>
          </cell>
          <cell r="D1769">
            <v>716</v>
          </cell>
          <cell r="E1769">
            <v>0</v>
          </cell>
          <cell r="F1769">
            <v>4413</v>
          </cell>
        </row>
        <row r="1770">
          <cell r="A1770" t="str">
            <v>71400000-40002000-04020000</v>
          </cell>
          <cell r="B1770" t="str">
            <v>5% INFONAVIT</v>
          </cell>
          <cell r="C1770">
            <v>8243.65</v>
          </cell>
          <cell r="D1770">
            <v>1533.27</v>
          </cell>
          <cell r="E1770">
            <v>0</v>
          </cell>
          <cell r="F1770">
            <v>9776.92</v>
          </cell>
        </row>
        <row r="1771">
          <cell r="A1771" t="str">
            <v>71400000-40002000-04030000</v>
          </cell>
          <cell r="B1771" t="str">
            <v>2% S.A.R. / RETIRO</v>
          </cell>
          <cell r="C1771">
            <v>3297.44</v>
          </cell>
          <cell r="D1771">
            <v>613.30999999999995</v>
          </cell>
          <cell r="E1771">
            <v>0</v>
          </cell>
          <cell r="F1771">
            <v>3910.75</v>
          </cell>
        </row>
        <row r="1772">
          <cell r="A1772" t="str">
            <v>71400000-40002000-04040000</v>
          </cell>
          <cell r="B1772" t="str">
            <v>CESANTIA Y VEJEZ</v>
          </cell>
          <cell r="C1772">
            <v>5193.51</v>
          </cell>
          <cell r="D1772">
            <v>965.97</v>
          </cell>
          <cell r="E1772">
            <v>0</v>
          </cell>
          <cell r="F1772">
            <v>6159.48</v>
          </cell>
        </row>
        <row r="1773">
          <cell r="A1773" t="str">
            <v>71400000-40002000-05010000</v>
          </cell>
          <cell r="B1773" t="str">
            <v>SERV. PROFESIONALES EXTERNOS</v>
          </cell>
          <cell r="C1773">
            <v>80629.429999999993</v>
          </cell>
          <cell r="D1773">
            <v>12928.77</v>
          </cell>
          <cell r="E1773">
            <v>0</v>
          </cell>
          <cell r="F1773">
            <v>93558.2</v>
          </cell>
        </row>
        <row r="1774">
          <cell r="A1774" t="str">
            <v>71400000-40002000-12010000</v>
          </cell>
          <cell r="B1774" t="str">
            <v>ARREND. AUTOMOVILES</v>
          </cell>
          <cell r="C1774">
            <v>10268.6</v>
          </cell>
          <cell r="D1774">
            <v>11653.72</v>
          </cell>
          <cell r="E1774">
            <v>0</v>
          </cell>
          <cell r="F1774">
            <v>21922.32</v>
          </cell>
        </row>
        <row r="1775">
          <cell r="A1775" t="str">
            <v>71400000-40002000-12020000</v>
          </cell>
          <cell r="B1775" t="str">
            <v>CAMIONES Y CAMIONETAS</v>
          </cell>
          <cell r="C1775">
            <v>28800</v>
          </cell>
          <cell r="D1775">
            <v>0</v>
          </cell>
          <cell r="E1775">
            <v>0</v>
          </cell>
          <cell r="F1775">
            <v>28800</v>
          </cell>
        </row>
        <row r="1776">
          <cell r="A1776" t="str">
            <v>71400000-40002000-13020000</v>
          </cell>
          <cell r="B1776" t="str">
            <v>ARRENDAMIENTO DE INMUEBLES PER</v>
          </cell>
          <cell r="C1776">
            <v>71220</v>
          </cell>
          <cell r="D1776">
            <v>17805</v>
          </cell>
          <cell r="E1776">
            <v>0</v>
          </cell>
          <cell r="F1776">
            <v>89025</v>
          </cell>
        </row>
        <row r="1777">
          <cell r="A1777" t="str">
            <v>71400000-40002000-15010000</v>
          </cell>
          <cell r="B1777" t="str">
            <v>MANT. AUTOMOVILES</v>
          </cell>
          <cell r="C1777">
            <v>0</v>
          </cell>
          <cell r="D1777">
            <v>9487.93</v>
          </cell>
          <cell r="E1777">
            <v>0</v>
          </cell>
          <cell r="F1777">
            <v>9487.93</v>
          </cell>
        </row>
        <row r="1778">
          <cell r="A1778" t="str">
            <v>71400000-40002000-15020000</v>
          </cell>
          <cell r="B1778" t="str">
            <v>CAMIONES Y CAMIONETAS</v>
          </cell>
          <cell r="C1778">
            <v>24301.34</v>
          </cell>
          <cell r="D1778">
            <v>0</v>
          </cell>
          <cell r="E1778">
            <v>0</v>
          </cell>
          <cell r="F1778">
            <v>24301.34</v>
          </cell>
        </row>
        <row r="1779">
          <cell r="A1779" t="str">
            <v>71400000-40002000-15070000</v>
          </cell>
          <cell r="B1779" t="str">
            <v>MANTTO A INMUEBLES ARRENDADOS</v>
          </cell>
          <cell r="C1779">
            <v>7750</v>
          </cell>
          <cell r="D1779">
            <v>0</v>
          </cell>
          <cell r="E1779">
            <v>0</v>
          </cell>
          <cell r="F1779">
            <v>7750</v>
          </cell>
        </row>
        <row r="1780">
          <cell r="A1780" t="str">
            <v>71400000-40002000-16010000</v>
          </cell>
          <cell r="B1780" t="str">
            <v>PAPELERIA</v>
          </cell>
          <cell r="C1780">
            <v>2005.66</v>
          </cell>
          <cell r="D1780">
            <v>0</v>
          </cell>
          <cell r="E1780">
            <v>0</v>
          </cell>
          <cell r="F1780">
            <v>2005.66</v>
          </cell>
        </row>
        <row r="1781">
          <cell r="A1781" t="str">
            <v>71400000-40002000-16040000</v>
          </cell>
          <cell r="B1781" t="str">
            <v>IMPLEMENTOS DE OFICINA</v>
          </cell>
          <cell r="C1781">
            <v>2000</v>
          </cell>
          <cell r="D1781">
            <v>0</v>
          </cell>
          <cell r="E1781">
            <v>0</v>
          </cell>
          <cell r="F1781">
            <v>2000</v>
          </cell>
        </row>
        <row r="1782">
          <cell r="A1782" t="str">
            <v>71400000-40002000-17010000</v>
          </cell>
          <cell r="B1782" t="str">
            <v>ENERGIA ELECTRICA</v>
          </cell>
          <cell r="C1782">
            <v>2279.31</v>
          </cell>
          <cell r="D1782">
            <v>1233.6199999999999</v>
          </cell>
          <cell r="E1782">
            <v>0</v>
          </cell>
          <cell r="F1782">
            <v>3512.93</v>
          </cell>
        </row>
        <row r="1783">
          <cell r="A1783" t="str">
            <v>71400000-40002000-18020000</v>
          </cell>
          <cell r="B1783" t="str">
            <v>PASAJES Y TRANSPORTES LOCALES</v>
          </cell>
          <cell r="C1783">
            <v>5800</v>
          </cell>
          <cell r="D1783">
            <v>952</v>
          </cell>
          <cell r="E1783">
            <v>0</v>
          </cell>
          <cell r="F1783">
            <v>6752</v>
          </cell>
        </row>
        <row r="1784">
          <cell r="A1784" t="str">
            <v>71400000-40002000-19030000</v>
          </cell>
          <cell r="B1784" t="str">
            <v>TELEFONOS CELULARES</v>
          </cell>
          <cell r="C1784">
            <v>3301.28</v>
          </cell>
          <cell r="D1784">
            <v>94.83</v>
          </cell>
          <cell r="E1784">
            <v>0</v>
          </cell>
          <cell r="F1784">
            <v>3396.11</v>
          </cell>
        </row>
        <row r="1785">
          <cell r="A1785" t="str">
            <v>71400000-40002000-20010000</v>
          </cell>
          <cell r="B1785" t="str">
            <v>COMBUSTIBLE AUTOMOVILES</v>
          </cell>
          <cell r="C1785">
            <v>17356.8</v>
          </cell>
          <cell r="D1785">
            <v>5946.45</v>
          </cell>
          <cell r="E1785">
            <v>0</v>
          </cell>
          <cell r="F1785">
            <v>23303.25</v>
          </cell>
        </row>
        <row r="1786">
          <cell r="A1786" t="str">
            <v>71400000-40002000-20020000</v>
          </cell>
          <cell r="B1786" t="str">
            <v>CAMIONES Y CAMIONETAS</v>
          </cell>
          <cell r="C1786">
            <v>36145.699999999997</v>
          </cell>
          <cell r="D1786">
            <v>4123.46</v>
          </cell>
          <cell r="E1786">
            <v>0</v>
          </cell>
          <cell r="F1786">
            <v>40269.160000000003</v>
          </cell>
        </row>
        <row r="1787">
          <cell r="A1787" t="str">
            <v>71400000-40002000-21010000</v>
          </cell>
          <cell r="B1787" t="str">
            <v>HONORARIOS PERSONAS FISICAS</v>
          </cell>
          <cell r="C1787">
            <v>17805</v>
          </cell>
          <cell r="D1787">
            <v>0</v>
          </cell>
          <cell r="E1787">
            <v>0</v>
          </cell>
          <cell r="F1787">
            <v>17805</v>
          </cell>
        </row>
        <row r="1788">
          <cell r="A1788" t="str">
            <v>71400000-40002000-23120000</v>
          </cell>
          <cell r="B1788" t="str">
            <v>DIVERSOS</v>
          </cell>
          <cell r="C1788">
            <v>1823</v>
          </cell>
          <cell r="D1788">
            <v>166.33</v>
          </cell>
          <cell r="E1788">
            <v>0</v>
          </cell>
          <cell r="F1788">
            <v>1989.33</v>
          </cell>
        </row>
        <row r="1789">
          <cell r="A1789" t="str">
            <v>71400000-40002000-23130000</v>
          </cell>
          <cell r="B1789" t="str">
            <v>OTROS IMPUESTOS Y DERECHOS</v>
          </cell>
          <cell r="C1789">
            <v>8097.15</v>
          </cell>
          <cell r="D1789">
            <v>2128.4299999999998</v>
          </cell>
          <cell r="E1789">
            <v>0</v>
          </cell>
          <cell r="F1789">
            <v>10225.58</v>
          </cell>
        </row>
        <row r="1790">
          <cell r="A1790" t="str">
            <v>71400000-40002000-24010000</v>
          </cell>
          <cell r="B1790" t="str">
            <v>MATERIAL DE APOYO</v>
          </cell>
          <cell r="C1790">
            <v>6075.75</v>
          </cell>
          <cell r="D1790">
            <v>0</v>
          </cell>
          <cell r="E1790">
            <v>0</v>
          </cell>
          <cell r="F1790">
            <v>6075.75</v>
          </cell>
        </row>
        <row r="1791">
          <cell r="A1791" t="str">
            <v>71400000-40002000-24020000</v>
          </cell>
          <cell r="B1791" t="str">
            <v>CAFETERIA</v>
          </cell>
          <cell r="C1791">
            <v>15255.42</v>
          </cell>
          <cell r="D1791">
            <v>0</v>
          </cell>
          <cell r="E1791">
            <v>0</v>
          </cell>
          <cell r="F1791">
            <v>15255.42</v>
          </cell>
        </row>
        <row r="1792">
          <cell r="A1792" t="str">
            <v>71400000-40002000-24070000</v>
          </cell>
          <cell r="B1792" t="str">
            <v>GTS DE REPRESENTACION TRANSPOR</v>
          </cell>
          <cell r="C1792">
            <v>13190.22</v>
          </cell>
          <cell r="D1792">
            <v>2655</v>
          </cell>
          <cell r="E1792">
            <v>0</v>
          </cell>
          <cell r="F1792">
            <v>15845.22</v>
          </cell>
        </row>
        <row r="1793">
          <cell r="A1793" t="str">
            <v>71400000-40002000-24080000</v>
          </cell>
          <cell r="B1793" t="str">
            <v>GTS DE REPRESENTACION ALIMENTO</v>
          </cell>
          <cell r="C1793">
            <v>59010.1</v>
          </cell>
          <cell r="D1793">
            <v>8140.59</v>
          </cell>
          <cell r="E1793">
            <v>0</v>
          </cell>
          <cell r="F1793">
            <v>67150.69</v>
          </cell>
        </row>
        <row r="1794">
          <cell r="A1794" t="str">
            <v>71400000-40002000-35020000</v>
          </cell>
          <cell r="B1794" t="str">
            <v>DIVERSOS NO DEDUCIBLES</v>
          </cell>
          <cell r="C1794">
            <v>22662</v>
          </cell>
          <cell r="D1794">
            <v>4422.5600000000004</v>
          </cell>
          <cell r="E1794">
            <v>0</v>
          </cell>
          <cell r="F1794">
            <v>27084.560000000001</v>
          </cell>
        </row>
        <row r="1795">
          <cell r="A1795" t="str">
            <v>71400000-40002000-90030000</v>
          </cell>
          <cell r="B1795" t="str">
            <v>PROVISION AGUINALDO</v>
          </cell>
          <cell r="C1795">
            <v>7991.05</v>
          </cell>
          <cell r="D1795">
            <v>1598.21</v>
          </cell>
          <cell r="E1795">
            <v>0</v>
          </cell>
          <cell r="F1795">
            <v>9589.26</v>
          </cell>
        </row>
        <row r="1796">
          <cell r="A1796" t="str">
            <v>71400000-40002000-90040000</v>
          </cell>
          <cell r="B1796" t="str">
            <v>BOLETIN D-3</v>
          </cell>
          <cell r="C1796">
            <v>292.5</v>
          </cell>
          <cell r="D1796">
            <v>0</v>
          </cell>
          <cell r="E1796">
            <v>292.5</v>
          </cell>
          <cell r="F1796">
            <v>0</v>
          </cell>
        </row>
        <row r="1797">
          <cell r="A1797" t="str">
            <v>71400000-40003000-00000000</v>
          </cell>
          <cell r="B1797" t="str">
            <v>COSTOS/GASTOS FIJOS PUB Y MKT</v>
          </cell>
          <cell r="C1797">
            <v>248748.23</v>
          </cell>
          <cell r="D1797">
            <v>35529.919999999998</v>
          </cell>
          <cell r="E1797">
            <v>0</v>
          </cell>
          <cell r="F1797">
            <v>284278.15000000002</v>
          </cell>
        </row>
        <row r="1798">
          <cell r="A1798" t="str">
            <v>71400000-40003000-03040000</v>
          </cell>
          <cell r="B1798" t="str">
            <v>DESPENSA EN VALES</v>
          </cell>
          <cell r="C1798">
            <v>713</v>
          </cell>
          <cell r="D1798">
            <v>235</v>
          </cell>
          <cell r="E1798">
            <v>0</v>
          </cell>
          <cell r="F1798">
            <v>948</v>
          </cell>
        </row>
        <row r="1799">
          <cell r="A1799" t="str">
            <v>71400000-40003000-05010000</v>
          </cell>
          <cell r="B1799" t="str">
            <v>SERV. PROFESIONALES EXTERNOS</v>
          </cell>
          <cell r="C1799">
            <v>184992.42</v>
          </cell>
          <cell r="D1799">
            <v>28450.5</v>
          </cell>
          <cell r="E1799">
            <v>0</v>
          </cell>
          <cell r="F1799">
            <v>213442.92</v>
          </cell>
        </row>
        <row r="1800">
          <cell r="A1800" t="str">
            <v>71400000-40003000-13010000</v>
          </cell>
          <cell r="B1800" t="str">
            <v>ARRENDAMIENTO DE EQUIPO DE OFI</v>
          </cell>
          <cell r="C1800">
            <v>5700</v>
          </cell>
          <cell r="D1800">
            <v>2500</v>
          </cell>
          <cell r="E1800">
            <v>0</v>
          </cell>
          <cell r="F1800">
            <v>8200</v>
          </cell>
        </row>
        <row r="1801">
          <cell r="A1801" t="str">
            <v>71400000-40003000-16010000</v>
          </cell>
          <cell r="B1801" t="str">
            <v>PAPELERIA</v>
          </cell>
          <cell r="C1801">
            <v>14451.75</v>
          </cell>
          <cell r="D1801">
            <v>108.02</v>
          </cell>
          <cell r="E1801">
            <v>0</v>
          </cell>
          <cell r="F1801">
            <v>14559.77</v>
          </cell>
        </row>
        <row r="1802">
          <cell r="A1802" t="str">
            <v>71400000-40003000-16040000</v>
          </cell>
          <cell r="B1802" t="str">
            <v>IMPLEMENTOS DE OFICINA</v>
          </cell>
          <cell r="C1802">
            <v>2000</v>
          </cell>
          <cell r="D1802">
            <v>0</v>
          </cell>
          <cell r="E1802">
            <v>0</v>
          </cell>
          <cell r="F1802">
            <v>2000</v>
          </cell>
        </row>
        <row r="1803">
          <cell r="A1803" t="str">
            <v>71400000-40003000-18020000</v>
          </cell>
          <cell r="B1803" t="str">
            <v>PASAJES Y TRANSPORTES LOCALES</v>
          </cell>
          <cell r="C1803">
            <v>2172</v>
          </cell>
          <cell r="D1803">
            <v>1220</v>
          </cell>
          <cell r="E1803">
            <v>0</v>
          </cell>
          <cell r="F1803">
            <v>3392</v>
          </cell>
        </row>
        <row r="1804">
          <cell r="A1804" t="str">
            <v>71400000-40003000-19010000</v>
          </cell>
          <cell r="B1804" t="str">
            <v>TELEFONOS</v>
          </cell>
          <cell r="C1804">
            <v>1321.72</v>
          </cell>
          <cell r="D1804">
            <v>330.43</v>
          </cell>
          <cell r="E1804">
            <v>0</v>
          </cell>
          <cell r="F1804">
            <v>1652.15</v>
          </cell>
        </row>
        <row r="1805">
          <cell r="A1805" t="str">
            <v>71400000-40003000-19030000</v>
          </cell>
          <cell r="B1805" t="str">
            <v>TELEFONOS CELULARES</v>
          </cell>
          <cell r="C1805">
            <v>6911.08</v>
          </cell>
          <cell r="D1805">
            <v>0</v>
          </cell>
          <cell r="E1805">
            <v>0</v>
          </cell>
          <cell r="F1805">
            <v>6911.08</v>
          </cell>
        </row>
        <row r="1806">
          <cell r="A1806" t="str">
            <v>71400000-40003000-20010000</v>
          </cell>
          <cell r="B1806" t="str">
            <v>COMBUSTIBLE AUTOMOVILES</v>
          </cell>
          <cell r="C1806">
            <v>3349.24</v>
          </cell>
          <cell r="D1806">
            <v>1016.24</v>
          </cell>
          <cell r="E1806">
            <v>0</v>
          </cell>
          <cell r="F1806">
            <v>4365.4799999999996</v>
          </cell>
        </row>
        <row r="1807">
          <cell r="A1807" t="str">
            <v>71400000-40003000-21010000</v>
          </cell>
          <cell r="B1807" t="str">
            <v>HONORARIOS PERSONAS FISICAS</v>
          </cell>
          <cell r="C1807">
            <v>21300</v>
          </cell>
          <cell r="D1807">
            <v>0</v>
          </cell>
          <cell r="E1807">
            <v>0</v>
          </cell>
          <cell r="F1807">
            <v>21300</v>
          </cell>
        </row>
        <row r="1808">
          <cell r="A1808" t="str">
            <v>71400000-40003000-23120000</v>
          </cell>
          <cell r="B1808" t="str">
            <v>DIVERSOS</v>
          </cell>
          <cell r="C1808">
            <v>784.22</v>
          </cell>
          <cell r="D1808">
            <v>1362.23</v>
          </cell>
          <cell r="E1808">
            <v>0</v>
          </cell>
          <cell r="F1808">
            <v>2146.4499999999998</v>
          </cell>
        </row>
        <row r="1809">
          <cell r="A1809" t="str">
            <v>71400000-40003000-35020000</v>
          </cell>
          <cell r="B1809" t="str">
            <v>DIVERSOS NO DEDUCIBLES</v>
          </cell>
          <cell r="C1809">
            <v>5052.8</v>
          </cell>
          <cell r="D1809">
            <v>307.5</v>
          </cell>
          <cell r="E1809">
            <v>0</v>
          </cell>
          <cell r="F1809">
            <v>5360.3</v>
          </cell>
        </row>
        <row r="1810">
          <cell r="A1810" t="str">
            <v>71400000-40004000-00000000</v>
          </cell>
          <cell r="B1810" t="str">
            <v>COSTOS/GASTOS FIJOS EXPORT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</row>
        <row r="1811">
          <cell r="A1811" t="str">
            <v>71400000-40005000-00000000</v>
          </cell>
          <cell r="B1811" t="str">
            <v>COSTOS/GASTOS FIJOS ESPECIFIC.</v>
          </cell>
          <cell r="C1811">
            <v>79943.86</v>
          </cell>
          <cell r="D1811">
            <v>3923.67</v>
          </cell>
          <cell r="E1811">
            <v>0</v>
          </cell>
          <cell r="F1811">
            <v>83867.53</v>
          </cell>
        </row>
        <row r="1812">
          <cell r="A1812" t="str">
            <v>71400000-40005000-05010000</v>
          </cell>
          <cell r="B1812" t="str">
            <v>SERV. PROFESIONALES EXTERNOS</v>
          </cell>
          <cell r="C1812">
            <v>52154.559999999998</v>
          </cell>
          <cell r="D1812">
            <v>2389.09</v>
          </cell>
          <cell r="E1812">
            <v>0</v>
          </cell>
          <cell r="F1812">
            <v>54543.65</v>
          </cell>
        </row>
        <row r="1813">
          <cell r="A1813" t="str">
            <v>71400000-40005000-15010000</v>
          </cell>
          <cell r="B1813" t="str">
            <v>MANT. AUTOMOVILES</v>
          </cell>
          <cell r="C1813">
            <v>8570.68</v>
          </cell>
          <cell r="D1813">
            <v>0</v>
          </cell>
          <cell r="E1813">
            <v>0</v>
          </cell>
          <cell r="F1813">
            <v>8570.68</v>
          </cell>
        </row>
        <row r="1814">
          <cell r="A1814" t="str">
            <v>71400000-40005000-16010000</v>
          </cell>
          <cell r="B1814" t="str">
            <v>PAPELERIA</v>
          </cell>
          <cell r="C1814">
            <v>597.66999999999996</v>
          </cell>
          <cell r="D1814">
            <v>0</v>
          </cell>
          <cell r="E1814">
            <v>0</v>
          </cell>
          <cell r="F1814">
            <v>597.66999999999996</v>
          </cell>
        </row>
        <row r="1815">
          <cell r="A1815" t="str">
            <v>71400000-40005000-18020000</v>
          </cell>
          <cell r="B1815" t="str">
            <v>PASAJES Y TRANSPORTES LOCALES</v>
          </cell>
          <cell r="C1815">
            <v>3820</v>
          </cell>
          <cell r="D1815">
            <v>0</v>
          </cell>
          <cell r="E1815">
            <v>0</v>
          </cell>
          <cell r="F1815">
            <v>3820</v>
          </cell>
        </row>
        <row r="1816">
          <cell r="A1816" t="str">
            <v>71400000-40005000-19030000</v>
          </cell>
          <cell r="B1816" t="str">
            <v>TELEFONOS CELULARES</v>
          </cell>
          <cell r="C1816">
            <v>1728.11</v>
          </cell>
          <cell r="D1816">
            <v>0</v>
          </cell>
          <cell r="E1816">
            <v>0</v>
          </cell>
          <cell r="F1816">
            <v>1728.11</v>
          </cell>
        </row>
        <row r="1817">
          <cell r="A1817" t="str">
            <v>71400000-40005000-20010000</v>
          </cell>
          <cell r="B1817" t="str">
            <v>COMBUSTIBLE AUTOMOVILES</v>
          </cell>
          <cell r="C1817">
            <v>5302.35</v>
          </cell>
          <cell r="D1817">
            <v>1316.58</v>
          </cell>
          <cell r="E1817">
            <v>0</v>
          </cell>
          <cell r="F1817">
            <v>6618.93</v>
          </cell>
        </row>
        <row r="1818">
          <cell r="A1818" t="str">
            <v>71400000-40005000-23120000</v>
          </cell>
          <cell r="B1818" t="str">
            <v>DIVERSOS</v>
          </cell>
          <cell r="C1818">
            <v>1476.38</v>
          </cell>
          <cell r="D1818">
            <v>0</v>
          </cell>
          <cell r="E1818">
            <v>0</v>
          </cell>
          <cell r="F1818">
            <v>1476.38</v>
          </cell>
        </row>
        <row r="1819">
          <cell r="A1819" t="str">
            <v>71400000-40005000-23130000</v>
          </cell>
          <cell r="B1819" t="str">
            <v>OTROS IMPUESTOS Y DERECHOS</v>
          </cell>
          <cell r="C1819">
            <v>2559.19</v>
          </cell>
          <cell r="D1819">
            <v>0</v>
          </cell>
          <cell r="E1819">
            <v>0</v>
          </cell>
          <cell r="F1819">
            <v>2559.19</v>
          </cell>
        </row>
        <row r="1820">
          <cell r="A1820" t="str">
            <v>71400000-40005000-35020000</v>
          </cell>
          <cell r="B1820" t="str">
            <v>DIVERSOS NO DEDUCIBLES</v>
          </cell>
          <cell r="C1820">
            <v>3734.92</v>
          </cell>
          <cell r="D1820">
            <v>218</v>
          </cell>
          <cell r="E1820">
            <v>0</v>
          </cell>
          <cell r="F1820">
            <v>3952.92</v>
          </cell>
        </row>
        <row r="1821">
          <cell r="A1821" t="str">
            <v>71500000-00000000-00000000</v>
          </cell>
          <cell r="B1821" t="str">
            <v>COSTOS/GASTOS FIJOS EXPORTACIO</v>
          </cell>
          <cell r="C1821">
            <v>391100.82</v>
          </cell>
          <cell r="D1821">
            <v>92546.18</v>
          </cell>
          <cell r="E1821">
            <v>0</v>
          </cell>
          <cell r="F1821">
            <v>483647</v>
          </cell>
        </row>
        <row r="1822">
          <cell r="F1822">
            <v>483647</v>
          </cell>
        </row>
        <row r="1823">
          <cell r="A1823" t="str">
            <v>71500000-50000000-00000000</v>
          </cell>
          <cell r="B1823" t="str">
            <v>COSTOS/GASTOS FIJOS EXPORTACIO</v>
          </cell>
          <cell r="C1823">
            <v>391100.82</v>
          </cell>
          <cell r="D1823">
            <v>92546.18</v>
          </cell>
          <cell r="E1823">
            <v>0</v>
          </cell>
        </row>
        <row r="1824">
          <cell r="A1824" t="str">
            <v>71500000-50001000-00000000</v>
          </cell>
          <cell r="B1824" t="str">
            <v>COSTOS/GASTOS FIJOS EXPORTACIO</v>
          </cell>
          <cell r="C1824">
            <v>391100.82</v>
          </cell>
          <cell r="D1824">
            <v>92546.18</v>
          </cell>
          <cell r="E1824">
            <v>0</v>
          </cell>
          <cell r="F1824">
            <v>483647</v>
          </cell>
        </row>
        <row r="1825">
          <cell r="A1825" t="str">
            <v>71500000-50001000-01010000</v>
          </cell>
          <cell r="B1825" t="str">
            <v>SUELDOS Y SALARIOS</v>
          </cell>
          <cell r="C1825">
            <v>70253.179999999993</v>
          </cell>
          <cell r="D1825">
            <v>15441.83</v>
          </cell>
          <cell r="E1825">
            <v>0</v>
          </cell>
          <cell r="F1825">
            <v>85695.01</v>
          </cell>
        </row>
        <row r="1826">
          <cell r="A1826" t="str">
            <v>71500000-50001000-01030000</v>
          </cell>
          <cell r="B1826" t="str">
            <v>GRATIFICACIONES</v>
          </cell>
          <cell r="C1826">
            <v>3118.05</v>
          </cell>
          <cell r="D1826">
            <v>397.5</v>
          </cell>
          <cell r="E1826">
            <v>0</v>
          </cell>
          <cell r="F1826">
            <v>3515.55</v>
          </cell>
        </row>
        <row r="1827">
          <cell r="A1827" t="str">
            <v>71500000-50001000-01040000</v>
          </cell>
          <cell r="B1827" t="str">
            <v>VACACIONES</v>
          </cell>
          <cell r="C1827">
            <v>1538</v>
          </cell>
          <cell r="D1827">
            <v>0</v>
          </cell>
          <cell r="E1827">
            <v>0</v>
          </cell>
          <cell r="F1827">
            <v>1538</v>
          </cell>
        </row>
        <row r="1828">
          <cell r="A1828" t="str">
            <v>71500000-50001000-01050000</v>
          </cell>
          <cell r="B1828" t="str">
            <v>PRIMA VACACIONAL</v>
          </cell>
          <cell r="C1828">
            <v>999.7</v>
          </cell>
          <cell r="D1828">
            <v>0</v>
          </cell>
          <cell r="E1828">
            <v>0</v>
          </cell>
          <cell r="F1828">
            <v>999.7</v>
          </cell>
        </row>
        <row r="1829">
          <cell r="A1829" t="str">
            <v>71500000-50001000-01080000</v>
          </cell>
          <cell r="B1829" t="str">
            <v>COMISIONES</v>
          </cell>
          <cell r="C1829">
            <v>2437.6</v>
          </cell>
          <cell r="D1829">
            <v>0</v>
          </cell>
          <cell r="E1829">
            <v>0</v>
          </cell>
          <cell r="F1829">
            <v>2437.6</v>
          </cell>
        </row>
        <row r="1830">
          <cell r="A1830" t="str">
            <v>71500000-50001000-03010000</v>
          </cell>
          <cell r="B1830" t="str">
            <v>FONDO DE AHORRO</v>
          </cell>
          <cell r="C1830">
            <v>2242.66</v>
          </cell>
          <cell r="D1830">
            <v>609.6</v>
          </cell>
          <cell r="E1830">
            <v>0</v>
          </cell>
          <cell r="F1830">
            <v>2852.26</v>
          </cell>
        </row>
        <row r="1831">
          <cell r="A1831" t="str">
            <v>71500000-50001000-03020000</v>
          </cell>
          <cell r="B1831" t="str">
            <v>CUOTAS AL I.M.S.S.</v>
          </cell>
          <cell r="C1831">
            <v>3881.29</v>
          </cell>
          <cell r="D1831">
            <v>809.8</v>
          </cell>
          <cell r="E1831">
            <v>0</v>
          </cell>
          <cell r="F1831">
            <v>4691.09</v>
          </cell>
        </row>
        <row r="1832">
          <cell r="A1832" t="str">
            <v>71500000-50001000-03040000</v>
          </cell>
          <cell r="B1832" t="str">
            <v>DESPENSA EN VALES</v>
          </cell>
          <cell r="C1832">
            <v>440</v>
          </cell>
          <cell r="D1832">
            <v>0</v>
          </cell>
          <cell r="E1832">
            <v>0</v>
          </cell>
          <cell r="F1832">
            <v>440</v>
          </cell>
        </row>
        <row r="1833">
          <cell r="A1833" t="str">
            <v>71500000-50001000-04010000</v>
          </cell>
          <cell r="B1833" t="str">
            <v>2% SOBRE NOMINAS</v>
          </cell>
          <cell r="C1833">
            <v>854</v>
          </cell>
          <cell r="D1833">
            <v>219</v>
          </cell>
          <cell r="E1833">
            <v>0</v>
          </cell>
          <cell r="F1833">
            <v>1073</v>
          </cell>
        </row>
        <row r="1834">
          <cell r="A1834" t="str">
            <v>71500000-50001000-04020000</v>
          </cell>
          <cell r="B1834" t="str">
            <v>5% INFONAVIT</v>
          </cell>
          <cell r="C1834">
            <v>1965.27</v>
          </cell>
          <cell r="D1834">
            <v>422.16</v>
          </cell>
          <cell r="E1834">
            <v>0</v>
          </cell>
          <cell r="F1834">
            <v>2387.4299999999998</v>
          </cell>
        </row>
        <row r="1835">
          <cell r="A1835" t="str">
            <v>71500000-50001000-04030000</v>
          </cell>
          <cell r="B1835" t="str">
            <v>2% SAR / RETIRO</v>
          </cell>
          <cell r="C1835">
            <v>786.1</v>
          </cell>
          <cell r="D1835">
            <v>168.86</v>
          </cell>
          <cell r="E1835">
            <v>0</v>
          </cell>
          <cell r="F1835">
            <v>954.96</v>
          </cell>
        </row>
        <row r="1836">
          <cell r="A1836" t="str">
            <v>71500000-50001000-04040000</v>
          </cell>
          <cell r="B1836" t="str">
            <v>CESANTIA Y VEJEZ</v>
          </cell>
          <cell r="C1836">
            <v>1238.1400000000001</v>
          </cell>
          <cell r="D1836">
            <v>265.97000000000003</v>
          </cell>
          <cell r="E1836">
            <v>0</v>
          </cell>
          <cell r="F1836">
            <v>1504.11</v>
          </cell>
        </row>
        <row r="1837">
          <cell r="A1837" t="str">
            <v>71500000-50001000-14080000</v>
          </cell>
          <cell r="B1837" t="str">
            <v>CARGA</v>
          </cell>
          <cell r="C1837">
            <v>19434.099999999999</v>
          </cell>
          <cell r="D1837">
            <v>3819.11</v>
          </cell>
          <cell r="E1837">
            <v>0</v>
          </cell>
          <cell r="F1837">
            <v>23253.21</v>
          </cell>
        </row>
        <row r="1838">
          <cell r="A1838" t="str">
            <v>71500000-50001000-16010000</v>
          </cell>
          <cell r="B1838" t="str">
            <v>PAPELERIA</v>
          </cell>
          <cell r="C1838">
            <v>0</v>
          </cell>
          <cell r="D1838">
            <v>495</v>
          </cell>
          <cell r="E1838">
            <v>0</v>
          </cell>
          <cell r="F1838">
            <v>495</v>
          </cell>
        </row>
        <row r="1839">
          <cell r="A1839" t="str">
            <v>71500000-50001000-18010000</v>
          </cell>
          <cell r="B1839" t="str">
            <v>CAPACITACION Y ADIESTRAMIENTO</v>
          </cell>
          <cell r="C1839">
            <v>1200</v>
          </cell>
          <cell r="D1839">
            <v>0</v>
          </cell>
          <cell r="E1839">
            <v>0</v>
          </cell>
          <cell r="F1839">
            <v>1200</v>
          </cell>
        </row>
        <row r="1840">
          <cell r="A1840" t="str">
            <v>71500000-50001000-18020000</v>
          </cell>
          <cell r="B1840" t="str">
            <v>PASAJES Y TRANSPORTES LOCALES</v>
          </cell>
          <cell r="C1840">
            <v>1555.69</v>
          </cell>
          <cell r="D1840">
            <v>620.20000000000005</v>
          </cell>
          <cell r="E1840">
            <v>0</v>
          </cell>
          <cell r="F1840">
            <v>2175.89</v>
          </cell>
        </row>
        <row r="1841">
          <cell r="A1841" t="str">
            <v>71500000-50001000-18090000</v>
          </cell>
          <cell r="B1841" t="str">
            <v>GASTOS DE REPRESENTACION AGENT</v>
          </cell>
          <cell r="C1841">
            <v>13184.03</v>
          </cell>
          <cell r="D1841">
            <v>0</v>
          </cell>
          <cell r="E1841">
            <v>0</v>
          </cell>
          <cell r="F1841">
            <v>13184.03</v>
          </cell>
        </row>
        <row r="1842">
          <cell r="A1842" t="str">
            <v>71500000-50001000-18100000</v>
          </cell>
          <cell r="B1842" t="str">
            <v>GASTOS DE REPRESENTACION DIREC</v>
          </cell>
          <cell r="C1842">
            <v>18818.78</v>
          </cell>
          <cell r="D1842">
            <v>13101.5</v>
          </cell>
          <cell r="E1842">
            <v>0</v>
          </cell>
          <cell r="F1842">
            <v>31920.28</v>
          </cell>
        </row>
        <row r="1843">
          <cell r="A1843" t="str">
            <v>71500000-50001000-18110000</v>
          </cell>
          <cell r="B1843" t="str">
            <v>CONSUMOS RESTAURANT</v>
          </cell>
          <cell r="C1843">
            <v>22.79</v>
          </cell>
          <cell r="D1843">
            <v>0</v>
          </cell>
          <cell r="E1843">
            <v>0</v>
          </cell>
          <cell r="F1843">
            <v>22.79</v>
          </cell>
        </row>
        <row r="1844">
          <cell r="A1844" t="str">
            <v>71500000-50001000-19030000</v>
          </cell>
          <cell r="B1844" t="str">
            <v>TELEFONOS CELULARES</v>
          </cell>
          <cell r="C1844">
            <v>11290.23</v>
          </cell>
          <cell r="D1844">
            <v>699.85</v>
          </cell>
          <cell r="E1844">
            <v>0</v>
          </cell>
          <cell r="F1844">
            <v>11990.08</v>
          </cell>
        </row>
        <row r="1845">
          <cell r="A1845" t="str">
            <v>71500000-50001000-19070000</v>
          </cell>
          <cell r="B1845" t="str">
            <v>MENSAJERIA ESPECIALIZADA</v>
          </cell>
          <cell r="C1845">
            <v>7922</v>
          </cell>
          <cell r="D1845">
            <v>2817</v>
          </cell>
          <cell r="E1845">
            <v>0</v>
          </cell>
          <cell r="F1845">
            <v>10739</v>
          </cell>
        </row>
        <row r="1846">
          <cell r="A1846" t="str">
            <v>71500000-50001000-20010000</v>
          </cell>
          <cell r="B1846" t="str">
            <v>COMBUSTIBLE AUTOMOVILES</v>
          </cell>
          <cell r="C1846">
            <v>0</v>
          </cell>
          <cell r="D1846">
            <v>433.26</v>
          </cell>
          <cell r="E1846">
            <v>0</v>
          </cell>
          <cell r="F1846">
            <v>433.26</v>
          </cell>
        </row>
        <row r="1847">
          <cell r="A1847" t="str">
            <v>71500000-50001000-22050000</v>
          </cell>
          <cell r="B1847" t="str">
            <v>COMISIONES Y ASESORIAS EXTERNA</v>
          </cell>
          <cell r="C1847">
            <v>91304.320000000007</v>
          </cell>
          <cell r="D1847">
            <v>0</v>
          </cell>
          <cell r="E1847">
            <v>0</v>
          </cell>
          <cell r="F1847">
            <v>91304.320000000007</v>
          </cell>
        </row>
        <row r="1848">
          <cell r="A1848" t="str">
            <v>71500000-50001000-23070000</v>
          </cell>
          <cell r="B1848" t="str">
            <v>TARIMAS</v>
          </cell>
          <cell r="C1848">
            <v>123954.18</v>
          </cell>
          <cell r="D1848">
            <v>48102.3</v>
          </cell>
          <cell r="E1848">
            <v>0</v>
          </cell>
          <cell r="F1848">
            <v>172056.48</v>
          </cell>
        </row>
        <row r="1849">
          <cell r="A1849" t="str">
            <v>71500000-50001000-23120000</v>
          </cell>
          <cell r="B1849" t="str">
            <v>DIVERSOS</v>
          </cell>
          <cell r="C1849">
            <v>5636.67</v>
          </cell>
          <cell r="D1849">
            <v>0</v>
          </cell>
          <cell r="E1849">
            <v>0</v>
          </cell>
          <cell r="F1849">
            <v>5636.67</v>
          </cell>
        </row>
        <row r="1850">
          <cell r="A1850" t="str">
            <v>71500000-50001000-23130000</v>
          </cell>
          <cell r="B1850" t="str">
            <v>OTROS IMPUESTOS Y DERECHOS</v>
          </cell>
          <cell r="C1850">
            <v>1226.5</v>
          </cell>
          <cell r="D1850">
            <v>2863.79</v>
          </cell>
          <cell r="E1850">
            <v>0</v>
          </cell>
          <cell r="F1850">
            <v>4090.29</v>
          </cell>
        </row>
        <row r="1851">
          <cell r="A1851" t="str">
            <v>71500000-50001000-35020000</v>
          </cell>
          <cell r="B1851" t="str">
            <v>DIVERSOS NO DEDUCIBLES</v>
          </cell>
          <cell r="C1851">
            <v>3582.29</v>
          </cell>
          <cell r="D1851">
            <v>816.4</v>
          </cell>
          <cell r="E1851">
            <v>0</v>
          </cell>
          <cell r="F1851">
            <v>4398.6899999999996</v>
          </cell>
        </row>
        <row r="1852">
          <cell r="A1852" t="str">
            <v>71500000-50001000-90030000</v>
          </cell>
          <cell r="B1852" t="str">
            <v>PROVISION AGUINALDO</v>
          </cell>
          <cell r="C1852">
            <v>2215.25</v>
          </cell>
          <cell r="D1852">
            <v>443.05</v>
          </cell>
          <cell r="E1852">
            <v>0</v>
          </cell>
          <cell r="F1852">
            <v>2658.3</v>
          </cell>
        </row>
        <row r="1853">
          <cell r="A1853" t="str">
            <v>72000000-00000000-00000000</v>
          </cell>
          <cell r="B1853" t="str">
            <v>COSTOS/GASTOS VARIABLES</v>
          </cell>
          <cell r="C1853">
            <v>2739335.73</v>
          </cell>
          <cell r="D1853">
            <v>591242.4</v>
          </cell>
          <cell r="E1853">
            <v>0</v>
          </cell>
          <cell r="F1853">
            <v>3330578.13</v>
          </cell>
        </row>
        <row r="1856">
          <cell r="A1856" t="str">
            <v>72100000-00000000-00000000</v>
          </cell>
          <cell r="B1856" t="str">
            <v>COSTOS/GASTOS VAR OPERACIONES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</row>
        <row r="1857">
          <cell r="F1857">
            <v>0</v>
          </cell>
        </row>
        <row r="1858">
          <cell r="A1858" t="str">
            <v>72100000-10000000-00000000</v>
          </cell>
          <cell r="C1858">
            <v>0</v>
          </cell>
          <cell r="D1858">
            <v>0</v>
          </cell>
          <cell r="E1858">
            <v>0</v>
          </cell>
        </row>
        <row r="1859">
          <cell r="A1859" t="str">
            <v>72100000-10001000-00000000</v>
          </cell>
          <cell r="B1859" t="str">
            <v>COSTOS/GASTOS VAR OPERACIONES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</row>
        <row r="1860">
          <cell r="A1860" t="str">
            <v>72100000-10002000-00000000</v>
          </cell>
          <cell r="B1860" t="str">
            <v>COSTOS/GASTOS VAR EMBARQUES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</row>
        <row r="1861">
          <cell r="A1861" t="str">
            <v>72100000-10003000-00000000</v>
          </cell>
          <cell r="B1861" t="str">
            <v>COSTOS/GASTOS VAR MAT PRIMAS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</row>
        <row r="1862">
          <cell r="A1862" t="str">
            <v>72100000-10004000-00000000</v>
          </cell>
          <cell r="B1862" t="str">
            <v>COSTOS/GASTOS VAR PRODUCCION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</row>
        <row r="1863">
          <cell r="A1863" t="str">
            <v>72100000-10005000-00000000</v>
          </cell>
          <cell r="B1863" t="str">
            <v>COSTOS/GASTOS VAR LABORATORIO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</row>
        <row r="1864">
          <cell r="A1864" t="str">
            <v>72200000-00000000-00000000</v>
          </cell>
          <cell r="B1864" t="str">
            <v>COSTOS/GASTOS VAR ADMON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</row>
        <row r="1865">
          <cell r="F1865">
            <v>0</v>
          </cell>
        </row>
        <row r="1866">
          <cell r="A1866" t="str">
            <v>72200000-20000000-00000000</v>
          </cell>
          <cell r="C1866">
            <v>0</v>
          </cell>
          <cell r="D1866">
            <v>0</v>
          </cell>
          <cell r="E1866">
            <v>0</v>
          </cell>
        </row>
        <row r="1867">
          <cell r="A1867" t="str">
            <v>72200000-20001000-00000000</v>
          </cell>
          <cell r="B1867" t="str">
            <v>COSTOS/GASTOS VAR ADMON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</row>
        <row r="1868">
          <cell r="A1868" t="str">
            <v>72200000-20002000-00000000</v>
          </cell>
          <cell r="B1868" t="str">
            <v>COSTOS/GASTOS VAR LEGAL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</row>
        <row r="1869">
          <cell r="A1869" t="str">
            <v>72200000-20003000-00000000</v>
          </cell>
          <cell r="B1869" t="str">
            <v>COSTOS/GASTOS DIR GRAL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</row>
        <row r="1870">
          <cell r="A1870" t="str">
            <v>72200000-20004000-00000000</v>
          </cell>
          <cell r="B1870" t="str">
            <v>COSTOS/GASTOS VAR REC HUM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</row>
        <row r="1871">
          <cell r="A1871" t="str">
            <v>72300000-00000000-00000000</v>
          </cell>
          <cell r="B1871" t="str">
            <v>COSTOS/GASTOS VAR VENTAS</v>
          </cell>
          <cell r="C1871">
            <v>912211.41</v>
          </cell>
          <cell r="D1871">
            <v>152632.5</v>
          </cell>
          <cell r="E1871">
            <v>0</v>
          </cell>
          <cell r="F1871">
            <v>1064843.9099999999</v>
          </cell>
        </row>
        <row r="1872">
          <cell r="F1872">
            <v>1064843.9099999999</v>
          </cell>
        </row>
        <row r="1873">
          <cell r="A1873" t="str">
            <v>72300000-30000000-00000000</v>
          </cell>
          <cell r="B1873" t="str">
            <v>COSTOS/GASTOS VAR VENTAS</v>
          </cell>
          <cell r="C1873">
            <v>912211.41</v>
          </cell>
          <cell r="D1873">
            <v>152632.5</v>
          </cell>
          <cell r="E1873">
            <v>0</v>
          </cell>
        </row>
        <row r="1874">
          <cell r="A1874" t="str">
            <v>72300000-30001000-00000000</v>
          </cell>
          <cell r="B1874" t="str">
            <v>COSTOS/GASTOS VAR VTAS NAL</v>
          </cell>
          <cell r="C1874">
            <v>78333.53</v>
          </cell>
          <cell r="D1874">
            <v>29500</v>
          </cell>
          <cell r="E1874">
            <v>0</v>
          </cell>
          <cell r="F1874">
            <v>107833.53</v>
          </cell>
        </row>
        <row r="1875">
          <cell r="A1875" t="str">
            <v>72300000-30001000-01080000</v>
          </cell>
          <cell r="B1875" t="str">
            <v>COMISIONES</v>
          </cell>
          <cell r="C1875">
            <v>2845.5</v>
          </cell>
          <cell r="D1875">
            <v>0</v>
          </cell>
          <cell r="E1875">
            <v>0</v>
          </cell>
          <cell r="F1875">
            <v>2845.5</v>
          </cell>
        </row>
        <row r="1876">
          <cell r="A1876" t="str">
            <v>72300000-30001000-01090000</v>
          </cell>
          <cell r="B1876" t="str">
            <v>BONOS Y PREMIOS POR LOGROS</v>
          </cell>
          <cell r="C1876">
            <v>2800</v>
          </cell>
          <cell r="D1876">
            <v>0</v>
          </cell>
          <cell r="E1876">
            <v>0</v>
          </cell>
          <cell r="F1876">
            <v>2800</v>
          </cell>
        </row>
        <row r="1877">
          <cell r="A1877" t="str">
            <v>72300000-30001000-05010000</v>
          </cell>
          <cell r="B1877" t="str">
            <v>SERV. PROFESIONALES EXTERNOS</v>
          </cell>
          <cell r="C1877">
            <v>72688.03</v>
          </cell>
          <cell r="D1877">
            <v>29500</v>
          </cell>
          <cell r="E1877">
            <v>0</v>
          </cell>
          <cell r="F1877">
            <v>102188.03</v>
          </cell>
        </row>
        <row r="1878">
          <cell r="A1878" t="str">
            <v>72300000-30002000-00000000</v>
          </cell>
          <cell r="B1878" t="str">
            <v>COSTOS/GASTOS VAR DF 1</v>
          </cell>
          <cell r="C1878">
            <v>92232.18</v>
          </cell>
          <cell r="D1878">
            <v>10125.64</v>
          </cell>
          <cell r="E1878">
            <v>0</v>
          </cell>
          <cell r="F1878">
            <v>102357.82</v>
          </cell>
        </row>
        <row r="1879">
          <cell r="A1879" t="str">
            <v>72300000-30002000-05010000</v>
          </cell>
          <cell r="B1879" t="str">
            <v>SERV. PROFESIONALES EXTERNOS</v>
          </cell>
          <cell r="C1879">
            <v>92232.18</v>
          </cell>
          <cell r="D1879">
            <v>10125.64</v>
          </cell>
          <cell r="E1879">
            <v>0</v>
          </cell>
          <cell r="F1879">
            <v>102357.82</v>
          </cell>
        </row>
        <row r="1880">
          <cell r="A1880" t="str">
            <v>72300000-30003000-00000000</v>
          </cell>
          <cell r="B1880" t="str">
            <v>COSTOS/GASTOS VAR SUR</v>
          </cell>
          <cell r="C1880">
            <v>37497</v>
          </cell>
          <cell r="D1880">
            <v>4662</v>
          </cell>
          <cell r="E1880">
            <v>0</v>
          </cell>
          <cell r="F1880">
            <v>42159</v>
          </cell>
        </row>
        <row r="1881">
          <cell r="A1881" t="str">
            <v>72300000-30003000-01080000</v>
          </cell>
          <cell r="B1881" t="str">
            <v>COMISIONES</v>
          </cell>
          <cell r="C1881">
            <v>29497</v>
          </cell>
          <cell r="D1881">
            <v>4662</v>
          </cell>
          <cell r="E1881">
            <v>0</v>
          </cell>
          <cell r="F1881">
            <v>34159</v>
          </cell>
        </row>
        <row r="1882">
          <cell r="A1882" t="str">
            <v>72300000-30003000-01090000</v>
          </cell>
          <cell r="B1882" t="str">
            <v>BONOS Y PREMIOS POR LOGROS</v>
          </cell>
          <cell r="C1882">
            <v>8000</v>
          </cell>
          <cell r="D1882">
            <v>0</v>
          </cell>
          <cell r="E1882">
            <v>0</v>
          </cell>
          <cell r="F1882">
            <v>8000</v>
          </cell>
        </row>
        <row r="1883">
          <cell r="A1883" t="str">
            <v>72300000-30004000-00000000</v>
          </cell>
          <cell r="B1883" t="str">
            <v>COSTOS/GASTOS VAR GOLFO</v>
          </cell>
          <cell r="C1883">
            <v>59144</v>
          </cell>
          <cell r="D1883">
            <v>11266</v>
          </cell>
          <cell r="E1883">
            <v>0</v>
          </cell>
          <cell r="F1883">
            <v>70410</v>
          </cell>
        </row>
        <row r="1884">
          <cell r="A1884" t="str">
            <v>72300000-30004000-01080000</v>
          </cell>
          <cell r="B1884" t="str">
            <v>COMISIONES</v>
          </cell>
          <cell r="C1884">
            <v>50894</v>
          </cell>
          <cell r="D1884">
            <v>11266</v>
          </cell>
          <cell r="E1884">
            <v>0</v>
          </cell>
          <cell r="F1884">
            <v>62160</v>
          </cell>
        </row>
        <row r="1885">
          <cell r="A1885" t="str">
            <v>72300000-30004000-01090000</v>
          </cell>
          <cell r="B1885" t="str">
            <v>BONOS Y PREMIOS POR LOGROS</v>
          </cell>
          <cell r="C1885">
            <v>8250</v>
          </cell>
          <cell r="D1885">
            <v>0</v>
          </cell>
          <cell r="E1885">
            <v>0</v>
          </cell>
          <cell r="F1885">
            <v>8250</v>
          </cell>
        </row>
        <row r="1886">
          <cell r="A1886" t="str">
            <v>72300000-30005000-00000000</v>
          </cell>
          <cell r="B1886" t="str">
            <v>COSTOS/GASTOS VAR TIENDAS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</row>
        <row r="1887">
          <cell r="A1887" t="str">
            <v>72300000-30006000-00000000</v>
          </cell>
          <cell r="B1887" t="str">
            <v>COSTOS/GASTOS VAR NTE CONURB</v>
          </cell>
          <cell r="C1887">
            <v>27558.55</v>
          </cell>
          <cell r="D1887">
            <v>1647.47</v>
          </cell>
          <cell r="E1887">
            <v>0</v>
          </cell>
          <cell r="F1887">
            <v>29206.02</v>
          </cell>
        </row>
        <row r="1888">
          <cell r="A1888" t="str">
            <v>72300000-30006000-05010000</v>
          </cell>
          <cell r="B1888" t="str">
            <v>SERV. PROFESIONALES EXTERNOS</v>
          </cell>
          <cell r="C1888">
            <v>27558.55</v>
          </cell>
          <cell r="D1888">
            <v>1647.47</v>
          </cell>
          <cell r="E1888">
            <v>0</v>
          </cell>
          <cell r="F1888">
            <v>29206.02</v>
          </cell>
        </row>
        <row r="1889">
          <cell r="A1889" t="str">
            <v>72300000-30007000-00000000</v>
          </cell>
          <cell r="B1889" t="str">
            <v>COSTOS/GASTOS VAR PAC NTE</v>
          </cell>
          <cell r="C1889">
            <v>50164</v>
          </cell>
          <cell r="D1889">
            <v>6840</v>
          </cell>
          <cell r="E1889">
            <v>0</v>
          </cell>
          <cell r="F1889">
            <v>57004</v>
          </cell>
        </row>
        <row r="1890">
          <cell r="A1890" t="str">
            <v>72300000-30007000-01080000</v>
          </cell>
          <cell r="B1890" t="str">
            <v>COMISIONES</v>
          </cell>
          <cell r="C1890">
            <v>50164</v>
          </cell>
          <cell r="D1890">
            <v>6840</v>
          </cell>
          <cell r="E1890">
            <v>0</v>
          </cell>
          <cell r="F1890">
            <v>57004</v>
          </cell>
        </row>
        <row r="1891">
          <cell r="A1891" t="str">
            <v>72300000-30008000-00000000</v>
          </cell>
          <cell r="B1891" t="str">
            <v>COSTOS/GASTOS VAR PAC CTRO</v>
          </cell>
          <cell r="C1891">
            <v>74874</v>
          </cell>
          <cell r="D1891">
            <v>18064</v>
          </cell>
          <cell r="E1891">
            <v>0</v>
          </cell>
          <cell r="F1891">
            <v>92938</v>
          </cell>
        </row>
        <row r="1892">
          <cell r="A1892" t="str">
            <v>72300000-30008000-01080000</v>
          </cell>
          <cell r="B1892" t="str">
            <v>COMISIONES</v>
          </cell>
          <cell r="C1892">
            <v>71274</v>
          </cell>
          <cell r="D1892">
            <v>18064</v>
          </cell>
          <cell r="E1892">
            <v>0</v>
          </cell>
          <cell r="F1892">
            <v>89338</v>
          </cell>
        </row>
        <row r="1893">
          <cell r="A1893" t="str">
            <v>72300000-30008000-01090000</v>
          </cell>
          <cell r="B1893" t="str">
            <v>BONOS Y PREMIOS POR LOGROS</v>
          </cell>
          <cell r="C1893">
            <v>3600</v>
          </cell>
          <cell r="D1893">
            <v>0</v>
          </cell>
          <cell r="E1893">
            <v>0</v>
          </cell>
          <cell r="F1893">
            <v>3600</v>
          </cell>
        </row>
        <row r="1894">
          <cell r="A1894" t="str">
            <v>72300000-30009000-00000000</v>
          </cell>
          <cell r="B1894" t="str">
            <v>COSTOS/GASTOS VAR GDL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</row>
        <row r="1895">
          <cell r="A1895" t="str">
            <v>72300000-30010000-00000000</v>
          </cell>
          <cell r="B1895" t="str">
            <v>COSTOS/GASTOS VAR OCCIDENTE</v>
          </cell>
          <cell r="C1895">
            <v>32188</v>
          </cell>
          <cell r="D1895">
            <v>6118</v>
          </cell>
          <cell r="E1895">
            <v>0</v>
          </cell>
          <cell r="F1895">
            <v>38306</v>
          </cell>
        </row>
        <row r="1896">
          <cell r="A1896" t="str">
            <v>72300000-30010000-01080000</v>
          </cell>
          <cell r="B1896" t="str">
            <v>COMISIONES</v>
          </cell>
          <cell r="C1896">
            <v>32188</v>
          </cell>
          <cell r="D1896">
            <v>6118</v>
          </cell>
          <cell r="E1896">
            <v>0</v>
          </cell>
          <cell r="F1896">
            <v>38306</v>
          </cell>
        </row>
        <row r="1897">
          <cell r="A1897" t="str">
            <v>72300000-30011000-00000000</v>
          </cell>
          <cell r="B1897" t="str">
            <v>COSTOS/GASTOS VAR CONURBADA</v>
          </cell>
          <cell r="C1897">
            <v>142758</v>
          </cell>
          <cell r="D1897">
            <v>40563</v>
          </cell>
          <cell r="E1897">
            <v>0</v>
          </cell>
          <cell r="F1897">
            <v>183321</v>
          </cell>
        </row>
        <row r="1898">
          <cell r="A1898" t="str">
            <v>72300000-30011000-01080000</v>
          </cell>
          <cell r="B1898" t="str">
            <v>COMISIONES</v>
          </cell>
          <cell r="C1898">
            <v>112078</v>
          </cell>
          <cell r="D1898">
            <v>22338</v>
          </cell>
          <cell r="E1898">
            <v>0</v>
          </cell>
          <cell r="F1898">
            <v>134416</v>
          </cell>
        </row>
        <row r="1899">
          <cell r="A1899" t="str">
            <v>72300000-30011000-01090000</v>
          </cell>
          <cell r="B1899" t="str">
            <v>BONOS Y PREMIOS POR LOGROS</v>
          </cell>
          <cell r="C1899">
            <v>30680</v>
          </cell>
          <cell r="D1899">
            <v>18225</v>
          </cell>
          <cell r="E1899">
            <v>0</v>
          </cell>
          <cell r="F1899">
            <v>48905</v>
          </cell>
        </row>
        <row r="1900">
          <cell r="A1900" t="str">
            <v>72300000-30012000-00000000</v>
          </cell>
          <cell r="B1900" t="str">
            <v>COSTOS/GASTOS VAR PRECOR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</row>
        <row r="1901">
          <cell r="A1901" t="str">
            <v>72300000-30013000-00000000</v>
          </cell>
          <cell r="B1901" t="str">
            <v>COSTOS/GASTOS VAR CANCUN</v>
          </cell>
          <cell r="C1901">
            <v>32402.23</v>
          </cell>
          <cell r="D1901">
            <v>2640</v>
          </cell>
          <cell r="E1901">
            <v>0</v>
          </cell>
          <cell r="F1901">
            <v>35042.230000000003</v>
          </cell>
        </row>
        <row r="1902">
          <cell r="A1902" t="str">
            <v>72300000-30013000-05010000</v>
          </cell>
          <cell r="B1902" t="str">
            <v>SERV. PROFESIONALES EXTERNOS</v>
          </cell>
          <cell r="C1902">
            <v>32402.23</v>
          </cell>
          <cell r="D1902">
            <v>2640</v>
          </cell>
          <cell r="E1902">
            <v>0</v>
          </cell>
          <cell r="F1902">
            <v>35042.230000000003</v>
          </cell>
        </row>
        <row r="1903">
          <cell r="A1903" t="str">
            <v>72300000-30014000-00000000</v>
          </cell>
          <cell r="B1903" t="str">
            <v>COSTOS/GASTOS VAR G. FORANEA</v>
          </cell>
          <cell r="C1903">
            <v>0</v>
          </cell>
          <cell r="D1903">
            <v>0</v>
          </cell>
          <cell r="E1903">
            <v>0</v>
          </cell>
          <cell r="F1903">
            <v>0</v>
          </cell>
        </row>
        <row r="1904">
          <cell r="A1904" t="str">
            <v>72300000-30015000-00000000</v>
          </cell>
          <cell r="B1904" t="str">
            <v>COSTOS/GASTOS VAR T AGRICULTUR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</row>
        <row r="1905">
          <cell r="A1905" t="str">
            <v>72300000-30016000-00000000</v>
          </cell>
          <cell r="B1905" t="str">
            <v>COSTOS/GASTOS VAR T IZTAPALAPA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</row>
        <row r="1906">
          <cell r="A1906" t="str">
            <v>72300000-30017000-00000000</v>
          </cell>
          <cell r="B1906" t="str">
            <v>COSTOS/GASTOS VAR T JALISCO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</row>
        <row r="1907">
          <cell r="A1907" t="str">
            <v>72300000-30018000-00000000</v>
          </cell>
          <cell r="B1907" t="str">
            <v>COSTOS/GASTOS VAR T ACOXPA</v>
          </cell>
          <cell r="C1907">
            <v>0</v>
          </cell>
          <cell r="D1907">
            <v>0</v>
          </cell>
          <cell r="E1907">
            <v>0</v>
          </cell>
          <cell r="F1907">
            <v>0</v>
          </cell>
        </row>
        <row r="1908">
          <cell r="A1908" t="str">
            <v>72300000-30019000-00000000</v>
          </cell>
          <cell r="B1908" t="str">
            <v>COSTOS/GASTOS VAR T DIV NORTE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</row>
        <row r="1909">
          <cell r="A1909" t="str">
            <v>72300000-30020000-00000000</v>
          </cell>
          <cell r="B1909" t="str">
            <v>COSTOS/GASTOS VAR T PORTALES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</row>
        <row r="1910">
          <cell r="A1910" t="str">
            <v>72300000-30021000-00000000</v>
          </cell>
          <cell r="B1910" t="str">
            <v>COSTOS/GASTOS VAR T CUAJIMALPA</v>
          </cell>
          <cell r="C1910">
            <v>0</v>
          </cell>
          <cell r="D1910">
            <v>0</v>
          </cell>
          <cell r="E1910">
            <v>0</v>
          </cell>
          <cell r="F1910">
            <v>0</v>
          </cell>
        </row>
        <row r="1911">
          <cell r="A1911" t="str">
            <v>72300000-30022000-00000000</v>
          </cell>
          <cell r="B1911" t="str">
            <v>COSTOS/GASTOS VAR T ECATEPEC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</row>
        <row r="1912">
          <cell r="A1912" t="str">
            <v>72300000-30023000-00000000</v>
          </cell>
          <cell r="B1912" t="str">
            <v>COSTOS/GASTOS FIJOS COACALCO 1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</row>
        <row r="1913">
          <cell r="A1913" t="str">
            <v>72300000-30024000-00000000</v>
          </cell>
          <cell r="B1913" t="str">
            <v>COSTOS/GASTOS FIJOS COACALCO 2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</row>
        <row r="1914">
          <cell r="A1914" t="str">
            <v>72300000-30025000-00000000</v>
          </cell>
          <cell r="B1914" t="str">
            <v>COSTOS/GASTOS VAR OCCIDENTE 2</v>
          </cell>
          <cell r="C1914">
            <v>40305.82</v>
          </cell>
          <cell r="D1914">
            <v>3178.79</v>
          </cell>
          <cell r="E1914">
            <v>0</v>
          </cell>
          <cell r="F1914">
            <v>43484.61</v>
          </cell>
        </row>
        <row r="1915">
          <cell r="A1915" t="str">
            <v>72300000-30025000-05010000</v>
          </cell>
          <cell r="B1915" t="str">
            <v>SERV. PROFESIONALES EXTERNOS</v>
          </cell>
          <cell r="C1915">
            <v>40305.82</v>
          </cell>
          <cell r="D1915">
            <v>3178.79</v>
          </cell>
          <cell r="E1915">
            <v>0</v>
          </cell>
          <cell r="F1915">
            <v>43484.61</v>
          </cell>
        </row>
        <row r="1916">
          <cell r="A1916" t="str">
            <v>72300000-30026000-00000000</v>
          </cell>
          <cell r="B1916" t="str">
            <v>COSTOS/GASTOS FIJOS DF 2</v>
          </cell>
          <cell r="C1916">
            <v>79476.05</v>
          </cell>
          <cell r="D1916">
            <v>2742.86</v>
          </cell>
          <cell r="E1916">
            <v>0</v>
          </cell>
          <cell r="F1916">
            <v>82218.91</v>
          </cell>
        </row>
        <row r="1917">
          <cell r="A1917" t="str">
            <v>72300000-30026000-05010000</v>
          </cell>
          <cell r="B1917" t="str">
            <v>SERV. PROFESIONALES EXTERNOS</v>
          </cell>
          <cell r="C1917">
            <v>79476.05</v>
          </cell>
          <cell r="D1917">
            <v>2742.86</v>
          </cell>
          <cell r="E1917">
            <v>0</v>
          </cell>
          <cell r="F1917">
            <v>82218.91</v>
          </cell>
        </row>
        <row r="1918">
          <cell r="A1918" t="str">
            <v>72300000-30027000-00000000</v>
          </cell>
          <cell r="B1918" t="str">
            <v>COSTOS/GASTOS FIJOS DF 3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</row>
        <row r="1919">
          <cell r="A1919" t="str">
            <v>72300000-30028000-00000000</v>
          </cell>
          <cell r="B1919" t="str">
            <v>COSTOS/GASTOS FIJOS DF 4</v>
          </cell>
          <cell r="C1919">
            <v>50180</v>
          </cell>
          <cell r="D1919">
            <v>6702</v>
          </cell>
          <cell r="E1919">
            <v>0</v>
          </cell>
          <cell r="F1919">
            <v>56882</v>
          </cell>
        </row>
        <row r="1920">
          <cell r="A1920" t="str">
            <v>72300000-30028000-01080000</v>
          </cell>
          <cell r="B1920" t="str">
            <v>COMISIONES</v>
          </cell>
          <cell r="C1920">
            <v>26180</v>
          </cell>
          <cell r="D1920">
            <v>6702</v>
          </cell>
          <cell r="E1920">
            <v>0</v>
          </cell>
          <cell r="F1920">
            <v>32882</v>
          </cell>
        </row>
        <row r="1921">
          <cell r="A1921" t="str">
            <v>72300000-30028000-01090000</v>
          </cell>
          <cell r="B1921" t="str">
            <v>BONOS Y PREMIOS POR LOGROS</v>
          </cell>
          <cell r="C1921">
            <v>24000</v>
          </cell>
          <cell r="D1921">
            <v>0</v>
          </cell>
          <cell r="E1921">
            <v>0</v>
          </cell>
          <cell r="F1921">
            <v>24000</v>
          </cell>
        </row>
        <row r="1922">
          <cell r="A1922" t="str">
            <v>72300000-30029000-00000000</v>
          </cell>
          <cell r="B1922" t="str">
            <v>COSTOS/GASTOS FIJOS DF 5</v>
          </cell>
          <cell r="C1922">
            <v>36929.68</v>
          </cell>
          <cell r="D1922">
            <v>3171.72</v>
          </cell>
          <cell r="E1922">
            <v>0</v>
          </cell>
          <cell r="F1922">
            <v>40101.4</v>
          </cell>
        </row>
        <row r="1923">
          <cell r="A1923" t="str">
            <v>72300000-30029000-05010000</v>
          </cell>
          <cell r="B1923" t="str">
            <v>SERV. PROFESIONALES EXTERNOS</v>
          </cell>
          <cell r="C1923">
            <v>36929.68</v>
          </cell>
          <cell r="D1923">
            <v>3171.72</v>
          </cell>
          <cell r="E1923">
            <v>0</v>
          </cell>
          <cell r="F1923">
            <v>40101.4</v>
          </cell>
        </row>
        <row r="1924">
          <cell r="A1924" t="str">
            <v>72300000-30030000-00000000</v>
          </cell>
          <cell r="B1924" t="str">
            <v>COSTOS/GASTOS VAR NTE</v>
          </cell>
          <cell r="C1924">
            <v>78168.37</v>
          </cell>
          <cell r="D1924">
            <v>5411.02</v>
          </cell>
          <cell r="E1924">
            <v>0</v>
          </cell>
          <cell r="F1924">
            <v>83579.39</v>
          </cell>
        </row>
        <row r="1925">
          <cell r="A1925" t="str">
            <v>72300000-30030000-05010000</v>
          </cell>
          <cell r="B1925" t="str">
            <v>SERV. PROFESIONALES EXTERNOS</v>
          </cell>
          <cell r="C1925">
            <v>78168.37</v>
          </cell>
          <cell r="D1925">
            <v>5411.02</v>
          </cell>
          <cell r="E1925">
            <v>0</v>
          </cell>
          <cell r="F1925">
            <v>83579.39</v>
          </cell>
        </row>
        <row r="1926">
          <cell r="A1926" t="str">
            <v>72300000-30031000-00000000</v>
          </cell>
          <cell r="B1926" t="str">
            <v>COSTOS/GASTOS FIJOS PROYEC ESP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</row>
        <row r="1927">
          <cell r="A1927" t="str">
            <v>72400000-00000000-00000000</v>
          </cell>
          <cell r="B1927" t="str">
            <v>COSTOS/GASTOS VAR MKT</v>
          </cell>
          <cell r="C1927">
            <v>1585879.19</v>
          </cell>
          <cell r="D1927">
            <v>403908.94</v>
          </cell>
          <cell r="E1927">
            <v>0</v>
          </cell>
          <cell r="F1927">
            <v>1989788.13</v>
          </cell>
        </row>
        <row r="1928">
          <cell r="F1928">
            <v>1989788.13</v>
          </cell>
        </row>
        <row r="1929">
          <cell r="A1929" t="str">
            <v>72400000-40000000-00000000</v>
          </cell>
          <cell r="B1929" t="str">
            <v>COSTOS/GASTOS VAR MKT</v>
          </cell>
          <cell r="C1929">
            <v>1585879.19</v>
          </cell>
          <cell r="D1929">
            <v>403908.94</v>
          </cell>
          <cell r="E1929">
            <v>0</v>
          </cell>
        </row>
        <row r="1930">
          <cell r="A1930" t="str">
            <v>72400000-40001000-00000000</v>
          </cell>
          <cell r="B1930" t="str">
            <v>COSTOS/GASTOS VAR MKT GRAL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</row>
        <row r="1931">
          <cell r="A1931" t="str">
            <v>72400000-40002000-00000000</v>
          </cell>
          <cell r="B1931" t="str">
            <v>COSTOS/GASTOS VAR CAPACITACION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</row>
        <row r="1932">
          <cell r="A1932" t="str">
            <v>72400000-40003000-00000000</v>
          </cell>
          <cell r="B1932" t="str">
            <v>COSTOS/GASTOS VAR PUB Y MKT</v>
          </cell>
          <cell r="C1932">
            <v>1585879.19</v>
          </cell>
          <cell r="D1932">
            <v>403908.94</v>
          </cell>
          <cell r="E1932">
            <v>0</v>
          </cell>
          <cell r="F1932">
            <v>1989788.13</v>
          </cell>
        </row>
        <row r="1933">
          <cell r="A1933" t="str">
            <v>72400000-40003000-24010000</v>
          </cell>
          <cell r="B1933" t="str">
            <v>MATERIAL DE APOYO</v>
          </cell>
          <cell r="C1933">
            <v>1431.4</v>
          </cell>
          <cell r="D1933">
            <v>0</v>
          </cell>
          <cell r="E1933">
            <v>0</v>
          </cell>
          <cell r="F1933">
            <v>1431.4</v>
          </cell>
        </row>
        <row r="1934">
          <cell r="A1934" t="str">
            <v>72400000-40003000-27010000</v>
          </cell>
          <cell r="B1934" t="str">
            <v>EXPOSICIONES Y EVENTOS PROFESI</v>
          </cell>
          <cell r="C1934">
            <v>324862.90000000002</v>
          </cell>
          <cell r="D1934">
            <v>12641.42</v>
          </cell>
          <cell r="E1934">
            <v>0</v>
          </cell>
          <cell r="F1934">
            <v>337504.32</v>
          </cell>
        </row>
        <row r="1935">
          <cell r="A1935" t="str">
            <v>72400000-40003000-27020000</v>
          </cell>
          <cell r="B1935" t="str">
            <v>PUBLICIDAD REVISTAS Y PERIODIC</v>
          </cell>
          <cell r="C1935">
            <v>551500.57999999996</v>
          </cell>
          <cell r="D1935">
            <v>92500</v>
          </cell>
          <cell r="E1935">
            <v>0</v>
          </cell>
          <cell r="F1935">
            <v>644000.57999999996</v>
          </cell>
        </row>
        <row r="1936">
          <cell r="A1936" t="str">
            <v>72400000-40003000-27050000</v>
          </cell>
          <cell r="B1936" t="str">
            <v>ROTULACION DE VEHICULOS</v>
          </cell>
          <cell r="C1936">
            <v>15750</v>
          </cell>
          <cell r="D1936">
            <v>1200</v>
          </cell>
          <cell r="E1936">
            <v>0</v>
          </cell>
          <cell r="F1936">
            <v>16950</v>
          </cell>
        </row>
        <row r="1937">
          <cell r="A1937" t="str">
            <v>72400000-40003000-27060000</v>
          </cell>
          <cell r="B1937" t="str">
            <v>ROTULACION MANTAS</v>
          </cell>
          <cell r="C1937">
            <v>2545</v>
          </cell>
          <cell r="D1937">
            <v>5670</v>
          </cell>
          <cell r="E1937">
            <v>0</v>
          </cell>
          <cell r="F1937">
            <v>8215</v>
          </cell>
        </row>
        <row r="1938">
          <cell r="A1938" t="str">
            <v>72400000-40003000-27070000</v>
          </cell>
          <cell r="B1938" t="str">
            <v>ARTICULOS PROMOCIONALES</v>
          </cell>
          <cell r="C1938">
            <v>285489.8</v>
          </cell>
          <cell r="D1938">
            <v>53348.15</v>
          </cell>
          <cell r="E1938">
            <v>0</v>
          </cell>
          <cell r="F1938">
            <v>338837.95</v>
          </cell>
        </row>
        <row r="1939">
          <cell r="A1939" t="str">
            <v>72400000-40003000-27080000</v>
          </cell>
          <cell r="B1939" t="str">
            <v>FOLLETERIA CARTA DE COLORES</v>
          </cell>
          <cell r="C1939">
            <v>205290</v>
          </cell>
          <cell r="D1939">
            <v>63214.13</v>
          </cell>
          <cell r="E1939">
            <v>0</v>
          </cell>
          <cell r="F1939">
            <v>268504.13</v>
          </cell>
        </row>
        <row r="1940">
          <cell r="A1940" t="str">
            <v>72400000-40003000-27100000</v>
          </cell>
          <cell r="B1940" t="str">
            <v>MUESTRAS</v>
          </cell>
          <cell r="C1940">
            <v>7295.88</v>
          </cell>
          <cell r="D1940">
            <v>0</v>
          </cell>
          <cell r="E1940">
            <v>0</v>
          </cell>
          <cell r="F1940">
            <v>7295.88</v>
          </cell>
        </row>
        <row r="1941">
          <cell r="A1941" t="str">
            <v>72400000-40003000-27120000</v>
          </cell>
          <cell r="B1941" t="str">
            <v>AGENCIAS PUBLICITARIAS</v>
          </cell>
          <cell r="C1941">
            <v>112666.66</v>
          </cell>
          <cell r="D1941">
            <v>23600</v>
          </cell>
          <cell r="E1941">
            <v>0</v>
          </cell>
          <cell r="F1941">
            <v>136266.66</v>
          </cell>
        </row>
        <row r="1942">
          <cell r="A1942" t="str">
            <v>72400000-40003000-27150000</v>
          </cell>
          <cell r="B1942" t="str">
            <v>SECCION AMARILLA</v>
          </cell>
          <cell r="C1942">
            <v>0</v>
          </cell>
          <cell r="D1942">
            <v>147468</v>
          </cell>
          <cell r="E1942">
            <v>0</v>
          </cell>
          <cell r="F1942">
            <v>147468</v>
          </cell>
        </row>
        <row r="1943">
          <cell r="A1943" t="str">
            <v>72400000-40003000-27170000</v>
          </cell>
          <cell r="B1943" t="str">
            <v>REMODELA MATERIALES</v>
          </cell>
          <cell r="C1943">
            <v>0</v>
          </cell>
          <cell r="D1943">
            <v>2758.62</v>
          </cell>
          <cell r="E1943">
            <v>0</v>
          </cell>
          <cell r="F1943">
            <v>2758.62</v>
          </cell>
        </row>
        <row r="1944">
          <cell r="A1944" t="str">
            <v>72400000-40003000-27180000</v>
          </cell>
          <cell r="B1944" t="str">
            <v>REMODELA DISEÑO</v>
          </cell>
          <cell r="C1944">
            <v>13565.52</v>
          </cell>
          <cell r="D1944">
            <v>0</v>
          </cell>
          <cell r="E1944">
            <v>0</v>
          </cell>
          <cell r="F1944">
            <v>13565.52</v>
          </cell>
        </row>
        <row r="1945">
          <cell r="A1945" t="str">
            <v>72400000-40003000-27190000</v>
          </cell>
          <cell r="B1945" t="str">
            <v>REMODELA ROTULACION</v>
          </cell>
          <cell r="C1945">
            <v>5119.2</v>
          </cell>
          <cell r="D1945">
            <v>0</v>
          </cell>
          <cell r="E1945">
            <v>0</v>
          </cell>
          <cell r="F1945">
            <v>5119.2</v>
          </cell>
        </row>
        <row r="1946">
          <cell r="A1946" t="str">
            <v>72400000-40003000-27200000</v>
          </cell>
          <cell r="B1946" t="str">
            <v>EXPOSICIONES CON DISTRIBUIDOR</v>
          </cell>
          <cell r="C1946">
            <v>12342.25</v>
          </cell>
          <cell r="D1946">
            <v>1508.62</v>
          </cell>
          <cell r="E1946">
            <v>0</v>
          </cell>
          <cell r="F1946">
            <v>13850.87</v>
          </cell>
        </row>
        <row r="1947">
          <cell r="A1947" t="str">
            <v>72400000-40003000-27210000</v>
          </cell>
          <cell r="B1947" t="str">
            <v>PUBLICIDAD CON DISTRIBUIDORES</v>
          </cell>
          <cell r="C1947">
            <v>25041</v>
          </cell>
          <cell r="D1947">
            <v>0</v>
          </cell>
          <cell r="E1947">
            <v>0</v>
          </cell>
          <cell r="F1947">
            <v>25041</v>
          </cell>
        </row>
        <row r="1948">
          <cell r="A1948" t="str">
            <v>72400000-40003000-27240000</v>
          </cell>
          <cell r="B1948" t="str">
            <v>PUBLICIDAD EN RADIO</v>
          </cell>
          <cell r="C1948">
            <v>22979</v>
          </cell>
          <cell r="D1948">
            <v>0</v>
          </cell>
          <cell r="E1948">
            <v>0</v>
          </cell>
          <cell r="F1948">
            <v>22979</v>
          </cell>
        </row>
        <row r="1949">
          <cell r="A1949" t="str">
            <v>72400000-40004000-00000000</v>
          </cell>
          <cell r="B1949" t="str">
            <v>COSTOS/GASTOS VAR EXPORT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</row>
        <row r="1950">
          <cell r="A1950" t="str">
            <v>72400000-40005000-00000000</v>
          </cell>
          <cell r="B1950" t="str">
            <v>COSTOS/GASTOS FIJOS ESPECIFIC.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</row>
        <row r="1951">
          <cell r="A1951" t="str">
            <v>72400000-40013000-00000000</v>
          </cell>
          <cell r="B1951" t="str">
            <v>COSTOS/GASTOS VAR CANCUN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</row>
        <row r="1952">
          <cell r="A1952" t="str">
            <v>72500000-00000000-00000000</v>
          </cell>
          <cell r="B1952" t="str">
            <v>COSTOS/GASTOS VAR EXPORTACION</v>
          </cell>
          <cell r="C1952">
            <v>241245.13</v>
          </cell>
          <cell r="D1952">
            <v>34700.959999999999</v>
          </cell>
          <cell r="E1952">
            <v>0</v>
          </cell>
          <cell r="F1952">
            <v>275946.09000000003</v>
          </cell>
        </row>
        <row r="1953">
          <cell r="F1953">
            <v>275946.09000000003</v>
          </cell>
        </row>
        <row r="1954">
          <cell r="A1954" t="str">
            <v>72500000-20000000-00000000</v>
          </cell>
          <cell r="C1954">
            <v>0</v>
          </cell>
          <cell r="D1954">
            <v>0</v>
          </cell>
          <cell r="E1954">
            <v>0</v>
          </cell>
        </row>
        <row r="1955">
          <cell r="A1955" t="str">
            <v>72500000-20001000-00000000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</row>
        <row r="1956">
          <cell r="A1956" t="str">
            <v>72500000-50000000-00000000</v>
          </cell>
          <cell r="B1956" t="str">
            <v>COSTOS/GASTOS VAR EXPORTACION</v>
          </cell>
          <cell r="C1956">
            <v>241245.13</v>
          </cell>
          <cell r="D1956">
            <v>34700.959999999999</v>
          </cell>
          <cell r="E1956">
            <v>0</v>
          </cell>
        </row>
        <row r="1957">
          <cell r="A1957" t="str">
            <v>72500000-50001000-00000000</v>
          </cell>
          <cell r="B1957" t="str">
            <v>COSTOS/GASTOS VAR ESPORT</v>
          </cell>
          <cell r="C1957">
            <v>241245.13</v>
          </cell>
          <cell r="D1957">
            <v>34700.959999999999</v>
          </cell>
          <cell r="E1957">
            <v>0</v>
          </cell>
          <cell r="F1957">
            <v>275946.09000000003</v>
          </cell>
        </row>
        <row r="1958">
          <cell r="A1958" t="str">
            <v>72500000-50001000-22050000</v>
          </cell>
          <cell r="B1958" t="str">
            <v>COMISIONES Y ASESORIAS EXTERNA</v>
          </cell>
          <cell r="C1958">
            <v>241245.13</v>
          </cell>
          <cell r="D1958">
            <v>34700.959999999999</v>
          </cell>
          <cell r="E1958">
            <v>0</v>
          </cell>
          <cell r="F1958">
            <v>275946.09000000003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095547"/>
      <sheetName val="DATOS095547 (2)"/>
    </sheetNames>
    <sheetDataSet>
      <sheetData sheetId="0"/>
      <sheetData sheetId="1">
        <row r="11">
          <cell r="J11">
            <v>5751501</v>
          </cell>
        </row>
        <row r="14">
          <cell r="J14">
            <v>16780066.84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ES"/>
      <sheetName val="INFO DE HUGO S"/>
      <sheetName val="ANALISIS HS"/>
      <sheetName val="FCIEROS x MES"/>
      <sheetName val="COMPARATIVOS II"/>
      <sheetName val="COMPARATIVOS"/>
      <sheetName val="EF POR ZONAS"/>
      <sheetName val="Hoja1"/>
    </sheetNames>
    <sheetDataSet>
      <sheetData sheetId="0" refreshError="1"/>
      <sheetData sheetId="1" refreshError="1">
        <row r="50">
          <cell r="BP50" t="str">
            <v>CREDITOS A LARGO PLAZO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P117"/>
  <sheetViews>
    <sheetView tabSelected="1" workbookViewId="0">
      <pane xSplit="6" ySplit="3" topLeftCell="M96" activePane="bottomRight" state="frozen"/>
      <selection pane="topRight" activeCell="G1" sqref="G1"/>
      <selection pane="bottomLeft" activeCell="A4" sqref="A4"/>
      <selection pane="bottomRight" activeCell="P112" sqref="P112"/>
    </sheetView>
  </sheetViews>
  <sheetFormatPr baseColWidth="10" defaultRowHeight="12.75"/>
  <cols>
    <col min="1" max="1" width="4.140625" style="155" customWidth="1"/>
    <col min="2" max="2" width="7.5703125" style="155" customWidth="1"/>
    <col min="3" max="3" width="39" style="155" customWidth="1"/>
    <col min="4" max="4" width="18.5703125" style="155" hidden="1" customWidth="1"/>
    <col min="5" max="5" width="18.140625" style="155" hidden="1" customWidth="1"/>
    <col min="6" max="6" width="17.7109375" style="155" hidden="1" customWidth="1"/>
    <col min="7" max="7" width="15" style="274" customWidth="1"/>
    <col min="8" max="8" width="17.140625" style="274" bestFit="1" customWidth="1"/>
    <col min="9" max="9" width="14.42578125" style="274" customWidth="1"/>
    <col min="10" max="10" width="14.85546875" style="274" customWidth="1"/>
    <col min="11" max="11" width="15.5703125" style="274" customWidth="1"/>
    <col min="12" max="12" width="18.85546875" style="274" bestFit="1" customWidth="1"/>
    <col min="13" max="15" width="15.5703125" style="274" customWidth="1"/>
    <col min="16" max="16" width="17.7109375" style="155" customWidth="1"/>
    <col min="17" max="17" width="14.7109375" style="155" bestFit="1" customWidth="1"/>
    <col min="18" max="21" width="10.85546875" style="155"/>
    <col min="22" max="16384" width="11.42578125" style="155"/>
  </cols>
  <sheetData>
    <row r="1" spans="2:16" ht="13.5" thickBot="1">
      <c r="B1" s="272"/>
      <c r="C1" s="272"/>
      <c r="D1" s="272"/>
      <c r="E1" s="273"/>
      <c r="F1" s="272"/>
    </row>
    <row r="2" spans="2:16" s="278" customFormat="1" ht="13.5" thickBot="1">
      <c r="B2" s="275" t="s">
        <v>7</v>
      </c>
      <c r="C2" s="275"/>
      <c r="D2" s="276" t="s">
        <v>35</v>
      </c>
      <c r="E2" s="276" t="s">
        <v>36</v>
      </c>
      <c r="F2" s="276" t="s">
        <v>37</v>
      </c>
      <c r="G2" s="277" t="s">
        <v>40</v>
      </c>
      <c r="H2" s="277" t="s">
        <v>41</v>
      </c>
      <c r="I2" s="277" t="s">
        <v>42</v>
      </c>
      <c r="J2" s="277" t="s">
        <v>43</v>
      </c>
      <c r="K2" s="277" t="s">
        <v>44</v>
      </c>
      <c r="L2" s="277" t="s">
        <v>195</v>
      </c>
      <c r="M2" s="277" t="s">
        <v>196</v>
      </c>
      <c r="N2" s="277" t="s">
        <v>208</v>
      </c>
      <c r="O2" s="277" t="s">
        <v>35</v>
      </c>
    </row>
    <row r="3" spans="2:16">
      <c r="B3" s="279"/>
      <c r="C3" s="279"/>
      <c r="D3" s="273"/>
      <c r="E3" s="273"/>
      <c r="F3" s="273"/>
      <c r="G3" s="280"/>
      <c r="H3" s="280"/>
      <c r="I3" s="280"/>
      <c r="J3" s="280"/>
      <c r="K3" s="280"/>
    </row>
    <row r="4" spans="2:16" ht="13.5" thickBot="1">
      <c r="B4" s="281" t="s">
        <v>8</v>
      </c>
      <c r="C4" s="281"/>
      <c r="D4" s="282">
        <f t="shared" ref="D4:M4" si="0">SUM(D6:D14)</f>
        <v>257444579.60000002</v>
      </c>
      <c r="E4" s="282">
        <f t="shared" si="0"/>
        <v>517696690.19</v>
      </c>
      <c r="F4" s="282">
        <f t="shared" si="0"/>
        <v>478436013.75999999</v>
      </c>
      <c r="G4" s="283">
        <f>SUM(G6:G14)</f>
        <v>693991986.94999993</v>
      </c>
      <c r="H4" s="283">
        <f>SUM(H6:H14)</f>
        <v>557085468.92999995</v>
      </c>
      <c r="I4" s="283">
        <f>SUM(I6:I14)</f>
        <v>821406334.88</v>
      </c>
      <c r="J4" s="283">
        <f t="shared" si="0"/>
        <v>813460299.61000001</v>
      </c>
      <c r="K4" s="283">
        <f>SUM(K6:K14)</f>
        <v>760938875.39999998</v>
      </c>
      <c r="L4" s="283">
        <f>SUM(L6:L14)</f>
        <v>868632992.74000001</v>
      </c>
      <c r="M4" s="283">
        <f t="shared" si="0"/>
        <v>784334835.20000005</v>
      </c>
      <c r="N4" s="283">
        <f>SUM(N6:N14)</f>
        <v>991066920.00999987</v>
      </c>
      <c r="O4" s="283">
        <f>SUM(O6:O14)</f>
        <v>879628819</v>
      </c>
    </row>
    <row r="5" spans="2:16" ht="13.5" thickTop="1">
      <c r="B5" s="284"/>
      <c r="C5" s="284"/>
      <c r="D5" s="279"/>
      <c r="E5" s="279"/>
      <c r="F5" s="279"/>
      <c r="G5" s="295"/>
      <c r="H5" s="295"/>
      <c r="I5" s="295"/>
      <c r="J5" s="295"/>
      <c r="K5" s="295"/>
      <c r="L5" s="130"/>
      <c r="M5" s="365"/>
      <c r="N5" s="365"/>
      <c r="O5" s="365"/>
    </row>
    <row r="6" spans="2:16">
      <c r="B6" s="284" t="s">
        <v>9</v>
      </c>
      <c r="C6" s="279"/>
      <c r="D6" s="285">
        <v>573242</v>
      </c>
      <c r="E6" s="285">
        <v>6982548.2000000002</v>
      </c>
      <c r="F6" s="285">
        <v>16528738</v>
      </c>
      <c r="G6" s="130">
        <f>87461479.34</f>
        <v>87461479.340000004</v>
      </c>
      <c r="H6" s="130">
        <v>98946065.340000004</v>
      </c>
      <c r="I6" s="130">
        <v>77506989.340000004</v>
      </c>
      <c r="J6" s="130">
        <v>21026092.010000002</v>
      </c>
      <c r="K6" s="130">
        <v>22494821</v>
      </c>
      <c r="L6" s="130">
        <v>20779401</v>
      </c>
      <c r="M6" s="130">
        <v>43224951</v>
      </c>
      <c r="N6" s="130">
        <v>40695911.560000002</v>
      </c>
      <c r="O6" s="130">
        <v>33050230</v>
      </c>
      <c r="P6" s="378"/>
    </row>
    <row r="7" spans="2:16">
      <c r="B7" s="284" t="s">
        <v>10</v>
      </c>
      <c r="C7" s="279"/>
      <c r="D7" s="285">
        <v>169275243.46000001</v>
      </c>
      <c r="E7" s="285">
        <v>329829598.18000001</v>
      </c>
      <c r="F7" s="285">
        <v>336518375.01999998</v>
      </c>
      <c r="G7" s="130"/>
      <c r="H7" s="130"/>
      <c r="I7" s="130"/>
      <c r="J7" s="130"/>
      <c r="K7" s="130"/>
      <c r="L7" s="130"/>
      <c r="M7" s="130"/>
      <c r="N7" s="130"/>
      <c r="O7" s="130"/>
      <c r="P7" s="379"/>
    </row>
    <row r="8" spans="2:16">
      <c r="B8" s="284"/>
      <c r="C8" s="279" t="s">
        <v>199</v>
      </c>
      <c r="D8" s="285"/>
      <c r="E8" s="285"/>
      <c r="F8" s="285"/>
      <c r="G8" s="130">
        <v>298550881.56999999</v>
      </c>
      <c r="H8" s="130">
        <v>145207616.66999999</v>
      </c>
      <c r="I8" s="130">
        <v>415398865.67000002</v>
      </c>
      <c r="J8" s="130">
        <v>487677269.55000001</v>
      </c>
      <c r="K8" s="130">
        <v>457258457.55000001</v>
      </c>
      <c r="L8" s="130">
        <v>571422869</v>
      </c>
      <c r="M8" s="295">
        <v>481006522</v>
      </c>
      <c r="N8" s="295">
        <v>710896206</v>
      </c>
      <c r="O8" s="295">
        <v>623402401</v>
      </c>
    </row>
    <row r="9" spans="2:16">
      <c r="B9" s="279"/>
      <c r="C9" s="287" t="s">
        <v>268</v>
      </c>
      <c r="D9" s="288"/>
      <c r="E9" s="288"/>
      <c r="F9" s="288"/>
      <c r="G9" s="130">
        <v>182500031</v>
      </c>
      <c r="H9" s="130">
        <v>172083365</v>
      </c>
      <c r="I9" s="130">
        <v>161666698</v>
      </c>
      <c r="J9" s="130">
        <v>151250031</v>
      </c>
      <c r="K9" s="130">
        <v>140833364</v>
      </c>
      <c r="L9" s="130">
        <v>130416701</v>
      </c>
      <c r="M9" s="295">
        <v>120000034</v>
      </c>
      <c r="N9" s="295">
        <v>109582767</v>
      </c>
      <c r="O9" s="295">
        <v>99166101</v>
      </c>
    </row>
    <row r="10" spans="2:16">
      <c r="B10" s="284"/>
      <c r="C10" s="279" t="s">
        <v>240</v>
      </c>
      <c r="D10" s="285"/>
      <c r="E10" s="285"/>
      <c r="F10" s="285"/>
      <c r="G10" s="289">
        <v>6693136</v>
      </c>
      <c r="H10" s="130">
        <v>23407732</v>
      </c>
      <c r="I10" s="289">
        <v>21055230</v>
      </c>
      <c r="J10" s="289">
        <f>+'[2]DATOS095547 (2)'!$J$11</f>
        <v>5751501</v>
      </c>
      <c r="K10" s="130">
        <v>362980</v>
      </c>
      <c r="L10" s="130">
        <v>833280</v>
      </c>
      <c r="M10" s="295">
        <v>11718222</v>
      </c>
      <c r="N10" s="295">
        <v>6166501</v>
      </c>
      <c r="O10" s="295">
        <v>3258404</v>
      </c>
    </row>
    <row r="11" spans="2:16">
      <c r="B11" s="284"/>
      <c r="C11" s="279" t="s">
        <v>241</v>
      </c>
      <c r="D11" s="285"/>
      <c r="E11" s="285"/>
      <c r="F11" s="285"/>
      <c r="G11" s="289">
        <v>8061030.75</v>
      </c>
      <c r="H11" s="130">
        <v>7750713.75</v>
      </c>
      <c r="I11" s="289">
        <v>14103885.75</v>
      </c>
      <c r="J11" s="289">
        <f>+'[2]DATOS095547 (2)'!$J$14</f>
        <v>16780066.84</v>
      </c>
      <c r="K11" s="130">
        <v>9891563.8399999999</v>
      </c>
      <c r="L11" s="130">
        <v>10988582</v>
      </c>
      <c r="M11" s="295">
        <v>12392522.33</v>
      </c>
      <c r="N11" s="295">
        <v>14147285.300000001</v>
      </c>
      <c r="O11" s="295">
        <v>15133211</v>
      </c>
    </row>
    <row r="12" spans="2:16">
      <c r="B12" s="284"/>
      <c r="C12" s="279" t="s">
        <v>242</v>
      </c>
      <c r="D12" s="285"/>
      <c r="E12" s="285"/>
      <c r="F12" s="285"/>
      <c r="G12" s="289">
        <v>0</v>
      </c>
      <c r="H12" s="289">
        <v>0</v>
      </c>
      <c r="I12" s="289">
        <v>305074</v>
      </c>
      <c r="J12" s="291">
        <v>750000</v>
      </c>
      <c r="K12" s="130">
        <v>250000</v>
      </c>
      <c r="L12" s="130">
        <v>0</v>
      </c>
      <c r="M12" s="130">
        <v>0</v>
      </c>
      <c r="N12" s="130">
        <v>0</v>
      </c>
      <c r="O12" s="130">
        <v>0</v>
      </c>
    </row>
    <row r="13" spans="2:16">
      <c r="B13" s="290"/>
      <c r="C13" s="279" t="s">
        <v>267</v>
      </c>
      <c r="D13" s="285"/>
      <c r="E13" s="285"/>
      <c r="F13" s="285"/>
      <c r="G13" s="291">
        <v>4941512.87</v>
      </c>
      <c r="H13" s="291">
        <v>4941512.87</v>
      </c>
      <c r="I13" s="291">
        <v>4941512.87</v>
      </c>
      <c r="J13" s="130">
        <v>5178637.87</v>
      </c>
      <c r="K13" s="130">
        <v>6795328.8700000001</v>
      </c>
      <c r="L13" s="130">
        <v>7826012.8700000001</v>
      </c>
      <c r="M13" s="295">
        <v>4918512.87</v>
      </c>
      <c r="N13" s="295">
        <v>4670012.87</v>
      </c>
      <c r="O13" s="295">
        <v>4936693</v>
      </c>
    </row>
    <row r="14" spans="2:16">
      <c r="B14" s="284" t="s">
        <v>11</v>
      </c>
      <c r="C14" s="279"/>
      <c r="D14" s="285">
        <v>87596094.140000001</v>
      </c>
      <c r="E14" s="285">
        <v>180884543.81</v>
      </c>
      <c r="F14" s="285">
        <v>125388900.73999999</v>
      </c>
      <c r="G14" s="130">
        <v>105783915.42</v>
      </c>
      <c r="H14" s="130">
        <v>104748463.3</v>
      </c>
      <c r="I14" s="130">
        <v>126428079.25</v>
      </c>
      <c r="J14" s="130">
        <v>125046701.34</v>
      </c>
      <c r="K14" s="130">
        <v>123052360.14</v>
      </c>
      <c r="L14" s="130">
        <v>126366146.87</v>
      </c>
      <c r="M14" s="130">
        <v>111074071</v>
      </c>
      <c r="N14" s="130">
        <v>104908236.28</v>
      </c>
      <c r="O14" s="130">
        <v>100681779</v>
      </c>
    </row>
    <row r="15" spans="2:16">
      <c r="B15" s="273"/>
      <c r="C15" s="273"/>
      <c r="D15" s="292"/>
      <c r="E15" s="293"/>
      <c r="F15" s="293"/>
      <c r="G15" s="295"/>
      <c r="H15" s="295"/>
      <c r="I15" s="295"/>
      <c r="J15" s="295"/>
      <c r="K15" s="295"/>
      <c r="L15" s="130"/>
      <c r="M15" s="130"/>
      <c r="N15" s="130"/>
      <c r="O15" s="130"/>
    </row>
    <row r="16" spans="2:16" ht="13.5" thickBot="1">
      <c r="B16" s="281" t="s">
        <v>12</v>
      </c>
      <c r="C16" s="281"/>
      <c r="D16" s="282">
        <f t="shared" ref="D16:F16" si="1">SUM(D18:D28)</f>
        <v>166999125.56</v>
      </c>
      <c r="E16" s="282">
        <f t="shared" si="1"/>
        <v>166691780.12</v>
      </c>
      <c r="F16" s="282">
        <f t="shared" si="1"/>
        <v>163509742.68000001</v>
      </c>
      <c r="G16" s="283">
        <f>SUM(G19:G23)</f>
        <v>28465450.099999998</v>
      </c>
      <c r="H16" s="283">
        <f>SUM(H19:H23)</f>
        <v>28615504.099999998</v>
      </c>
      <c r="I16" s="283">
        <f>SUM(I19:I23)</f>
        <v>29295875.100000005</v>
      </c>
      <c r="J16" s="283">
        <f t="shared" ref="J16" si="2">SUM(J19:J23)</f>
        <v>29797101.720000003</v>
      </c>
      <c r="K16" s="283">
        <f>SUM(K19:K23)</f>
        <v>44075681.529999994</v>
      </c>
      <c r="L16" s="283">
        <f t="shared" ref="L16" si="3">SUM(L19:L23)</f>
        <v>59184353.339999996</v>
      </c>
      <c r="M16" s="283">
        <f>SUM(M19:M23)</f>
        <v>58300334.239999995</v>
      </c>
      <c r="N16" s="283">
        <f>SUM(N19:N23)</f>
        <v>57847756.239999995</v>
      </c>
      <c r="O16" s="283">
        <f>SUM(O19:O23)</f>
        <v>56992405</v>
      </c>
    </row>
    <row r="17" spans="2:15" s="274" customFormat="1" ht="13.5" thickTop="1">
      <c r="B17" s="299"/>
      <c r="C17" s="299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</row>
    <row r="18" spans="2:15">
      <c r="B18" s="284" t="s">
        <v>13</v>
      </c>
      <c r="C18" s="279"/>
      <c r="D18" s="285">
        <v>10598400.560000001</v>
      </c>
      <c r="E18" s="285">
        <v>14455175.119999999</v>
      </c>
      <c r="F18" s="285">
        <v>14170749.68</v>
      </c>
      <c r="G18" s="130"/>
      <c r="H18" s="130"/>
      <c r="I18" s="130"/>
      <c r="J18" s="130"/>
      <c r="K18" s="130"/>
      <c r="L18" s="130"/>
      <c r="M18" s="130"/>
      <c r="N18" s="130"/>
      <c r="O18" s="130"/>
    </row>
    <row r="19" spans="2:15">
      <c r="B19" s="284"/>
      <c r="C19" s="279" t="s">
        <v>201</v>
      </c>
      <c r="D19" s="285"/>
      <c r="E19" s="285"/>
      <c r="F19" s="285"/>
      <c r="G19" s="130">
        <v>13488003.619999999</v>
      </c>
      <c r="H19" s="130">
        <v>13488003.619999999</v>
      </c>
      <c r="I19" s="130">
        <v>13488004</v>
      </c>
      <c r="J19" s="130">
        <v>13488003.619999999</v>
      </c>
      <c r="K19" s="130">
        <v>13979523.619999999</v>
      </c>
      <c r="L19" s="130">
        <v>28037894.620000001</v>
      </c>
      <c r="M19" s="366">
        <v>28037894.620000001</v>
      </c>
      <c r="N19" s="366">
        <v>28037894.620000001</v>
      </c>
      <c r="O19" s="366">
        <v>28037895</v>
      </c>
    </row>
    <row r="20" spans="2:15">
      <c r="B20" s="284"/>
      <c r="C20" s="279" t="s">
        <v>202</v>
      </c>
      <c r="D20" s="285"/>
      <c r="E20" s="285"/>
      <c r="F20" s="285"/>
      <c r="G20" s="130">
        <v>20774542</v>
      </c>
      <c r="H20" s="130">
        <v>21482142</v>
      </c>
      <c r="I20" s="130">
        <v>22790816.620000001</v>
      </c>
      <c r="J20" s="130">
        <v>23216304.620000001</v>
      </c>
      <c r="K20" s="130">
        <v>37460483.619999997</v>
      </c>
      <c r="L20" s="130">
        <v>38967903.619999997</v>
      </c>
      <c r="M20" s="366">
        <v>38782223.619999997</v>
      </c>
      <c r="N20" s="366">
        <v>39028623.619999997</v>
      </c>
      <c r="O20" s="366">
        <v>38972944</v>
      </c>
    </row>
    <row r="21" spans="2:15">
      <c r="B21" s="284"/>
      <c r="C21" s="279" t="s">
        <v>203</v>
      </c>
      <c r="D21" s="285"/>
      <c r="E21" s="285"/>
      <c r="F21" s="285"/>
      <c r="G21" s="130">
        <v>18103916</v>
      </c>
      <c r="H21" s="130">
        <v>18103916</v>
      </c>
      <c r="I21" s="130">
        <v>18103916</v>
      </c>
      <c r="J21" s="130">
        <v>18103916</v>
      </c>
      <c r="K21" s="130">
        <v>18103916</v>
      </c>
      <c r="L21" s="130">
        <v>18103916</v>
      </c>
      <c r="M21" s="366">
        <v>18103916</v>
      </c>
      <c r="N21" s="366">
        <v>18103916</v>
      </c>
      <c r="O21" s="366">
        <v>18103916</v>
      </c>
    </row>
    <row r="22" spans="2:15">
      <c r="B22" s="284"/>
      <c r="C22" s="279" t="s">
        <v>204</v>
      </c>
      <c r="D22" s="285"/>
      <c r="E22" s="285"/>
      <c r="F22" s="285"/>
      <c r="G22" s="130">
        <v>-23901011.52</v>
      </c>
      <c r="H22" s="130">
        <v>-24458557.52</v>
      </c>
      <c r="I22" s="130">
        <v>-25086861.52</v>
      </c>
      <c r="J22" s="130">
        <v>-25011122.52</v>
      </c>
      <c r="K22" s="130">
        <v>-25468241.710000001</v>
      </c>
      <c r="L22" s="130">
        <v>-25925360.899999999</v>
      </c>
      <c r="M22" s="295">
        <v>-26623700</v>
      </c>
      <c r="N22" s="295">
        <v>-27322678</v>
      </c>
      <c r="O22" s="295">
        <v>-28122350</v>
      </c>
    </row>
    <row r="23" spans="2:15" hidden="1">
      <c r="B23" s="284" t="s">
        <v>14</v>
      </c>
      <c r="C23" s="279"/>
      <c r="D23" s="285">
        <v>156400725</v>
      </c>
      <c r="E23" s="285">
        <v>152236605</v>
      </c>
      <c r="F23" s="285">
        <v>149338993</v>
      </c>
      <c r="G23" s="130"/>
      <c r="H23" s="130"/>
      <c r="I23" s="130"/>
      <c r="J23" s="130"/>
      <c r="K23" s="130"/>
      <c r="L23" s="130"/>
      <c r="M23" s="130"/>
      <c r="N23" s="130"/>
      <c r="O23" s="130"/>
    </row>
    <row r="24" spans="2:15" hidden="1">
      <c r="B24" s="284"/>
      <c r="C24" s="279" t="s">
        <v>236</v>
      </c>
      <c r="D24" s="285"/>
      <c r="E24" s="285"/>
      <c r="F24" s="285"/>
      <c r="G24" s="130">
        <v>0</v>
      </c>
      <c r="H24" s="130">
        <v>0</v>
      </c>
      <c r="I24" s="130">
        <v>0</v>
      </c>
      <c r="J24" s="130">
        <v>0</v>
      </c>
      <c r="K24" s="130">
        <v>0</v>
      </c>
      <c r="L24" s="130"/>
      <c r="M24" s="130"/>
      <c r="N24" s="130"/>
      <c r="O24" s="130"/>
    </row>
    <row r="25" spans="2:15" hidden="1">
      <c r="B25" s="284"/>
      <c r="C25" s="279" t="s">
        <v>237</v>
      </c>
      <c r="D25" s="285"/>
      <c r="E25" s="285"/>
      <c r="F25" s="285"/>
      <c r="G25" s="130">
        <v>0</v>
      </c>
      <c r="H25" s="130">
        <v>0</v>
      </c>
      <c r="I25" s="130">
        <v>0</v>
      </c>
      <c r="J25" s="130">
        <v>0</v>
      </c>
      <c r="K25" s="130">
        <v>0</v>
      </c>
      <c r="L25" s="130"/>
      <c r="M25" s="130"/>
      <c r="N25" s="130"/>
      <c r="O25" s="130"/>
    </row>
    <row r="26" spans="2:15" hidden="1">
      <c r="B26" s="284"/>
      <c r="C26" s="279" t="s">
        <v>238</v>
      </c>
      <c r="D26" s="285"/>
      <c r="E26" s="285"/>
      <c r="F26" s="285"/>
      <c r="G26" s="130">
        <v>0</v>
      </c>
      <c r="H26" s="130">
        <v>0</v>
      </c>
      <c r="I26" s="130">
        <v>0</v>
      </c>
      <c r="J26" s="130">
        <v>0</v>
      </c>
      <c r="K26" s="130">
        <v>0</v>
      </c>
      <c r="L26" s="130"/>
      <c r="M26" s="130"/>
      <c r="N26" s="130"/>
      <c r="O26" s="130"/>
    </row>
    <row r="27" spans="2:15" hidden="1">
      <c r="B27" s="284"/>
      <c r="C27" s="279" t="s">
        <v>239</v>
      </c>
      <c r="D27" s="285"/>
      <c r="E27" s="285"/>
      <c r="F27" s="285"/>
      <c r="G27" s="130">
        <v>0</v>
      </c>
      <c r="H27" s="130">
        <v>0</v>
      </c>
      <c r="I27" s="130">
        <v>0</v>
      </c>
      <c r="J27" s="130">
        <v>0</v>
      </c>
      <c r="K27" s="130">
        <v>0</v>
      </c>
      <c r="L27" s="130"/>
      <c r="M27" s="130"/>
      <c r="N27" s="130"/>
      <c r="O27" s="130"/>
    </row>
    <row r="28" spans="2:15" hidden="1">
      <c r="B28" s="284"/>
      <c r="C28" s="279" t="s">
        <v>247</v>
      </c>
      <c r="D28" s="288"/>
      <c r="E28" s="297"/>
      <c r="F28" s="297"/>
      <c r="G28" s="122"/>
      <c r="H28" s="122"/>
      <c r="I28" s="122"/>
      <c r="J28" s="122"/>
      <c r="K28" s="122">
        <v>0</v>
      </c>
      <c r="L28" s="130"/>
      <c r="M28" s="130"/>
      <c r="N28" s="130"/>
      <c r="O28" s="130"/>
    </row>
    <row r="29" spans="2:15" ht="13.5" thickBot="1">
      <c r="B29" s="281" t="s">
        <v>15</v>
      </c>
      <c r="C29" s="281"/>
      <c r="D29" s="282">
        <f t="shared" ref="D29:N29" si="4">+D4+D16</f>
        <v>424443705.16000003</v>
      </c>
      <c r="E29" s="282">
        <f t="shared" si="4"/>
        <v>684388470.30999994</v>
      </c>
      <c r="F29" s="282">
        <f t="shared" si="4"/>
        <v>641945756.44000006</v>
      </c>
      <c r="G29" s="283">
        <f>+G4+G16</f>
        <v>722457437.04999995</v>
      </c>
      <c r="H29" s="283">
        <f>+H4+H16</f>
        <v>585700973.02999997</v>
      </c>
      <c r="I29" s="283">
        <f>+I4+I16</f>
        <v>850702209.98000002</v>
      </c>
      <c r="J29" s="283">
        <f t="shared" si="4"/>
        <v>843257401.33000004</v>
      </c>
      <c r="K29" s="283">
        <f>+K4+K16</f>
        <v>805014556.92999995</v>
      </c>
      <c r="L29" s="283">
        <f t="shared" ref="L29" si="5">+L4+L16</f>
        <v>927817346.08000004</v>
      </c>
      <c r="M29" s="283">
        <f t="shared" si="4"/>
        <v>842635169.44000006</v>
      </c>
      <c r="N29" s="283">
        <f t="shared" si="4"/>
        <v>1048914676.2499999</v>
      </c>
      <c r="O29" s="283">
        <f t="shared" ref="O29" si="6">+O4+O16</f>
        <v>936621224</v>
      </c>
    </row>
    <row r="30" spans="2:15" ht="14.25" thickTop="1" thickBot="1">
      <c r="B30" s="284"/>
      <c r="C30" s="284"/>
      <c r="D30" s="298"/>
      <c r="E30" s="298"/>
      <c r="F30" s="298"/>
      <c r="G30" s="130"/>
      <c r="H30" s="130"/>
      <c r="I30" s="130"/>
      <c r="J30" s="130"/>
      <c r="K30" s="130"/>
      <c r="L30" s="365"/>
      <c r="M30" s="365"/>
      <c r="N30" s="365"/>
      <c r="O30" s="365"/>
    </row>
    <row r="31" spans="2:15" s="278" customFormat="1" ht="13.5" thickBot="1">
      <c r="B31" s="364" t="s">
        <v>16</v>
      </c>
      <c r="C31" s="275"/>
      <c r="D31" s="276" t="s">
        <v>35</v>
      </c>
      <c r="E31" s="276" t="s">
        <v>36</v>
      </c>
      <c r="F31" s="276" t="s">
        <v>37</v>
      </c>
      <c r="G31" s="367" t="s">
        <v>40</v>
      </c>
      <c r="H31" s="367" t="s">
        <v>41</v>
      </c>
      <c r="I31" s="367" t="s">
        <v>42</v>
      </c>
      <c r="J31" s="367" t="s">
        <v>43</v>
      </c>
      <c r="K31" s="367" t="s">
        <v>44</v>
      </c>
      <c r="L31" s="367" t="s">
        <v>195</v>
      </c>
      <c r="M31" s="367" t="s">
        <v>196</v>
      </c>
      <c r="N31" s="367" t="s">
        <v>208</v>
      </c>
      <c r="O31" s="367" t="s">
        <v>35</v>
      </c>
    </row>
    <row r="32" spans="2:15">
      <c r="B32" s="273"/>
      <c r="C32" s="273"/>
      <c r="D32" s="298"/>
      <c r="E32" s="298"/>
      <c r="F32" s="298"/>
      <c r="G32" s="130"/>
      <c r="H32" s="130"/>
      <c r="I32" s="130"/>
      <c r="J32" s="130"/>
      <c r="K32" s="130"/>
      <c r="L32" s="130"/>
      <c r="M32" s="130"/>
      <c r="N32" s="130"/>
      <c r="O32" s="130"/>
    </row>
    <row r="33" spans="2:15">
      <c r="B33" s="294" t="s">
        <v>17</v>
      </c>
      <c r="C33" s="294"/>
      <c r="D33" s="294">
        <f t="shared" ref="D33:J33" si="7">SUM(D35:D40)</f>
        <v>260926184.75</v>
      </c>
      <c r="E33" s="294">
        <f t="shared" si="7"/>
        <v>429735765.30000001</v>
      </c>
      <c r="F33" s="294">
        <f t="shared" si="7"/>
        <v>388098413.31999999</v>
      </c>
      <c r="G33" s="122">
        <f>SUM(G35:G40)</f>
        <v>233418206.38</v>
      </c>
      <c r="H33" s="122">
        <f>SUM(H35:H40)</f>
        <v>162093360.38</v>
      </c>
      <c r="I33" s="122">
        <f t="shared" si="7"/>
        <v>413088713.18000001</v>
      </c>
      <c r="J33" s="122">
        <f t="shared" si="7"/>
        <v>373192973.81999999</v>
      </c>
      <c r="K33" s="122">
        <f>SUM(K35:K40)</f>
        <v>362712071.01999998</v>
      </c>
      <c r="L33" s="122">
        <f t="shared" ref="L33" si="8">SUM(L35:L40)</f>
        <v>482888130</v>
      </c>
      <c r="M33" s="122">
        <f t="shared" ref="M33" si="9">SUM(M35:M40)</f>
        <v>386087452.50999999</v>
      </c>
      <c r="N33" s="122">
        <f>SUM(N35:N40)</f>
        <v>559320294</v>
      </c>
      <c r="O33" s="122">
        <f>SUM(O35:O40)</f>
        <v>411612939</v>
      </c>
    </row>
    <row r="34" spans="2:15">
      <c r="B34" s="284"/>
      <c r="C34" s="284"/>
      <c r="D34" s="297"/>
      <c r="E34" s="297"/>
      <c r="F34" s="297"/>
      <c r="G34" s="122"/>
      <c r="H34" s="122"/>
      <c r="I34" s="122"/>
      <c r="J34" s="122"/>
      <c r="K34" s="122"/>
      <c r="L34" s="130"/>
      <c r="M34" s="130"/>
      <c r="N34" s="130"/>
      <c r="O34" s="130"/>
    </row>
    <row r="35" spans="2:15">
      <c r="B35" s="279" t="s">
        <v>18</v>
      </c>
      <c r="C35" s="279"/>
      <c r="D35" s="285">
        <v>178672729.06999999</v>
      </c>
      <c r="E35" s="285">
        <v>297405714.66000003</v>
      </c>
      <c r="F35" s="285">
        <v>321473108.27999997</v>
      </c>
      <c r="G35" s="130">
        <v>130111776</v>
      </c>
      <c r="H35" s="130">
        <v>109320038</v>
      </c>
      <c r="I35" s="130">
        <v>190969397</v>
      </c>
      <c r="J35" s="130">
        <v>188336511</v>
      </c>
      <c r="K35" s="130">
        <v>244505252</v>
      </c>
      <c r="L35" s="130">
        <v>363400350</v>
      </c>
      <c r="M35" s="366">
        <v>195606484</v>
      </c>
      <c r="N35" s="366">
        <v>375965174</v>
      </c>
      <c r="O35" s="366">
        <v>290214402</v>
      </c>
    </row>
    <row r="36" spans="2:15">
      <c r="B36" s="279" t="s">
        <v>19</v>
      </c>
      <c r="C36" s="279"/>
      <c r="D36" s="285">
        <v>71765640</v>
      </c>
      <c r="E36" s="285">
        <v>81820458.959999993</v>
      </c>
      <c r="F36" s="285">
        <v>27631326</v>
      </c>
      <c r="G36" s="130">
        <v>27585406.739999998</v>
      </c>
      <c r="H36" s="130">
        <v>24399516.739999998</v>
      </c>
      <c r="I36" s="130">
        <v>32437323.739999998</v>
      </c>
      <c r="J36" s="130">
        <v>41308953.380000003</v>
      </c>
      <c r="K36" s="130">
        <v>49842328.380000003</v>
      </c>
      <c r="L36" s="130">
        <v>50184857</v>
      </c>
      <c r="M36" s="366">
        <v>20999282.870000001</v>
      </c>
      <c r="N36" s="366">
        <v>24911521</v>
      </c>
      <c r="O36" s="366">
        <v>46776916</v>
      </c>
    </row>
    <row r="37" spans="2:15">
      <c r="B37" s="279" t="s">
        <v>20</v>
      </c>
      <c r="C37" s="279"/>
      <c r="D37" s="285">
        <v>6854031.6799999997</v>
      </c>
      <c r="E37" s="285">
        <v>24944615.68</v>
      </c>
      <c r="F37" s="285">
        <v>35765376.039999999</v>
      </c>
      <c r="G37" s="130">
        <v>13823177.640000001</v>
      </c>
      <c r="H37" s="130">
        <v>13521015.640000001</v>
      </c>
      <c r="I37" s="130">
        <v>44261254.640000001</v>
      </c>
      <c r="J37" s="130">
        <v>65140451.640000001</v>
      </c>
      <c r="K37" s="130">
        <v>16787114.640000001</v>
      </c>
      <c r="L37" s="130">
        <v>38211446</v>
      </c>
      <c r="M37" s="366">
        <v>68844835.640000001</v>
      </c>
      <c r="N37" s="366">
        <v>83195045</v>
      </c>
      <c r="O37" s="366">
        <v>20314805</v>
      </c>
    </row>
    <row r="38" spans="2:15">
      <c r="B38" s="279" t="s">
        <v>27</v>
      </c>
      <c r="C38" s="279"/>
      <c r="D38" s="285">
        <v>1716000</v>
      </c>
      <c r="E38" s="285">
        <v>5583902</v>
      </c>
      <c r="F38" s="285">
        <v>0</v>
      </c>
      <c r="G38" s="130">
        <v>19368296</v>
      </c>
      <c r="H38" s="130">
        <v>2898552</v>
      </c>
      <c r="I38" s="130">
        <v>2570392</v>
      </c>
      <c r="J38" s="130">
        <v>3130343</v>
      </c>
      <c r="K38" s="130">
        <v>3712946</v>
      </c>
      <c r="L38" s="130">
        <v>2212946</v>
      </c>
      <c r="M38" s="366">
        <v>1854023</v>
      </c>
      <c r="N38" s="366">
        <v>7802650</v>
      </c>
      <c r="O38" s="366">
        <v>1854023</v>
      </c>
    </row>
    <row r="39" spans="2:15">
      <c r="B39" s="279" t="s">
        <v>197</v>
      </c>
      <c r="C39" s="279"/>
      <c r="D39" s="285">
        <v>1917784</v>
      </c>
      <c r="E39" s="285">
        <v>19981074</v>
      </c>
      <c r="F39" s="285">
        <v>3228603</v>
      </c>
      <c r="G39" s="130">
        <v>40687390</v>
      </c>
      <c r="H39" s="130">
        <v>10112078</v>
      </c>
      <c r="I39" s="130">
        <v>81533785.799999997</v>
      </c>
      <c r="J39" s="130">
        <v>73434554.799999997</v>
      </c>
      <c r="K39" s="130">
        <v>46022270</v>
      </c>
      <c r="L39" s="130">
        <v>27036371</v>
      </c>
      <c r="M39" s="366">
        <v>96940667</v>
      </c>
      <c r="N39" s="366">
        <v>65603744</v>
      </c>
      <c r="O39" s="366">
        <v>50610633</v>
      </c>
    </row>
    <row r="40" spans="2:15">
      <c r="B40" s="279" t="s">
        <v>198</v>
      </c>
      <c r="C40" s="279"/>
      <c r="D40" s="288">
        <v>0</v>
      </c>
      <c r="E40" s="288">
        <v>0</v>
      </c>
      <c r="F40" s="288">
        <v>0</v>
      </c>
      <c r="G40" s="130">
        <v>1842160</v>
      </c>
      <c r="H40" s="130">
        <v>1842160</v>
      </c>
      <c r="I40" s="130">
        <v>61316560</v>
      </c>
      <c r="J40" s="130">
        <v>1842160</v>
      </c>
      <c r="K40" s="130">
        <v>1842160</v>
      </c>
      <c r="L40" s="130">
        <v>1842160</v>
      </c>
      <c r="M40" s="366">
        <v>1842160</v>
      </c>
      <c r="N40" s="366">
        <v>1842160</v>
      </c>
      <c r="O40" s="366">
        <v>1842160</v>
      </c>
    </row>
    <row r="41" spans="2:15">
      <c r="B41" s="284"/>
      <c r="C41" s="284"/>
      <c r="D41" s="297"/>
      <c r="E41" s="297"/>
      <c r="F41" s="288"/>
      <c r="G41" s="122"/>
      <c r="H41" s="122"/>
      <c r="I41" s="122"/>
      <c r="J41" s="122"/>
      <c r="K41" s="122"/>
      <c r="L41" s="365"/>
      <c r="M41" s="130"/>
      <c r="N41" s="130"/>
      <c r="O41" s="130"/>
    </row>
    <row r="42" spans="2:15" ht="13.5" thickBot="1">
      <c r="B42" s="281" t="s">
        <v>21</v>
      </c>
      <c r="C42" s="281"/>
      <c r="D42" s="282">
        <f>+D33</f>
        <v>260926184.75</v>
      </c>
      <c r="E42" s="282">
        <f t="shared" ref="E42:J42" si="10">+E33</f>
        <v>429735765.30000001</v>
      </c>
      <c r="F42" s="282">
        <f t="shared" si="10"/>
        <v>388098413.31999999</v>
      </c>
      <c r="G42" s="283">
        <f>+G33</f>
        <v>233418206.38</v>
      </c>
      <c r="H42" s="283">
        <f>+H33</f>
        <v>162093360.38</v>
      </c>
      <c r="I42" s="283">
        <f>+I33</f>
        <v>413088713.18000001</v>
      </c>
      <c r="J42" s="283">
        <f t="shared" si="10"/>
        <v>373192973.81999999</v>
      </c>
      <c r="K42" s="283">
        <f>+K33</f>
        <v>362712071.01999998</v>
      </c>
      <c r="L42" s="283">
        <f>+L33</f>
        <v>482888130</v>
      </c>
      <c r="M42" s="283">
        <f>+M33</f>
        <v>386087452.50999999</v>
      </c>
      <c r="N42" s="283">
        <f>+N33</f>
        <v>559320294</v>
      </c>
      <c r="O42" s="283">
        <f>+O33</f>
        <v>411612939</v>
      </c>
    </row>
    <row r="43" spans="2:15" ht="13.5" thickTop="1">
      <c r="B43" s="284"/>
      <c r="C43" s="284"/>
      <c r="D43" s="297"/>
      <c r="E43" s="297"/>
      <c r="F43" s="297"/>
      <c r="G43" s="122"/>
      <c r="H43" s="122"/>
      <c r="I43" s="122"/>
      <c r="J43" s="122"/>
      <c r="K43" s="122"/>
      <c r="L43" s="122"/>
      <c r="M43" s="122"/>
      <c r="N43" s="122"/>
      <c r="O43" s="122"/>
    </row>
    <row r="44" spans="2:15">
      <c r="B44" s="284" t="s">
        <v>22</v>
      </c>
      <c r="C44" s="299"/>
      <c r="D44" s="296">
        <f>+D46+D48+D49</f>
        <v>163517520.41</v>
      </c>
      <c r="E44" s="296">
        <f>+E46+E48+E49</f>
        <v>254652705.00999999</v>
      </c>
      <c r="F44" s="296">
        <f>+F46+F48+F49</f>
        <v>253847342.52000007</v>
      </c>
      <c r="G44" s="296">
        <f>+G46+G47+G48+G49</f>
        <v>489039230.67000002</v>
      </c>
      <c r="H44" s="296">
        <f>+H46+H47+H48+H49</f>
        <v>423607613.65000004</v>
      </c>
      <c r="I44" s="296">
        <f>+I46+I47+I48+I49</f>
        <v>437613497</v>
      </c>
      <c r="J44" s="296">
        <f>+J46+J48+J49+J47</f>
        <v>470064427.70000005</v>
      </c>
      <c r="K44" s="296">
        <f t="shared" ref="K44:N44" si="11">+K46+K48+K49+K47</f>
        <v>442302486.28999996</v>
      </c>
      <c r="L44" s="296">
        <f t="shared" si="11"/>
        <v>444929216.26000035</v>
      </c>
      <c r="M44" s="296">
        <f t="shared" si="11"/>
        <v>456547716.86000001</v>
      </c>
      <c r="N44" s="296">
        <f t="shared" si="11"/>
        <v>489594382.73000002</v>
      </c>
      <c r="O44" s="296">
        <f t="shared" ref="O44" si="12">+O46+O48+O49+O47</f>
        <v>525008283.36000001</v>
      </c>
    </row>
    <row r="45" spans="2:15">
      <c r="B45" s="284"/>
      <c r="C45" s="299"/>
      <c r="D45" s="122"/>
      <c r="E45" s="122"/>
      <c r="F45" s="122"/>
      <c r="G45" s="122"/>
      <c r="H45" s="122"/>
      <c r="I45" s="122"/>
      <c r="J45" s="122"/>
      <c r="K45" s="122"/>
      <c r="L45" s="130"/>
      <c r="M45" s="130"/>
      <c r="N45" s="130"/>
      <c r="O45" s="130"/>
    </row>
    <row r="46" spans="2:15">
      <c r="B46" s="284" t="s">
        <v>23</v>
      </c>
      <c r="C46" s="280"/>
      <c r="D46" s="130">
        <v>149816494</v>
      </c>
      <c r="E46" s="130">
        <v>200000000</v>
      </c>
      <c r="F46" s="130">
        <v>200000000</v>
      </c>
      <c r="G46" s="130">
        <v>750000000</v>
      </c>
      <c r="H46" s="130">
        <v>750000000</v>
      </c>
      <c r="I46" s="130">
        <v>750000000</v>
      </c>
      <c r="J46" s="130">
        <v>750000000</v>
      </c>
      <c r="K46" s="130">
        <v>750000000</v>
      </c>
      <c r="L46" s="130">
        <v>750000000</v>
      </c>
      <c r="M46" s="295">
        <v>750000000</v>
      </c>
      <c r="N46" s="295">
        <v>750000000</v>
      </c>
      <c r="O46" s="295">
        <v>750000000</v>
      </c>
    </row>
    <row r="47" spans="2:15">
      <c r="B47" s="284" t="s">
        <v>266</v>
      </c>
      <c r="C47" s="280"/>
      <c r="D47" s="130"/>
      <c r="E47" s="130"/>
      <c r="F47" s="130"/>
      <c r="G47" s="130">
        <v>5739011</v>
      </c>
      <c r="H47" s="130">
        <v>5739011</v>
      </c>
      <c r="I47" s="130">
        <v>5739011</v>
      </c>
      <c r="J47" s="130">
        <v>5739011</v>
      </c>
      <c r="K47" s="130">
        <v>5739011</v>
      </c>
      <c r="L47" s="130">
        <v>5739011</v>
      </c>
      <c r="M47" s="295">
        <v>5739011</v>
      </c>
      <c r="N47" s="295">
        <v>5739011</v>
      </c>
      <c r="O47" s="295">
        <v>5739011</v>
      </c>
    </row>
    <row r="48" spans="2:15">
      <c r="B48" s="284" t="s">
        <v>6</v>
      </c>
      <c r="C48" s="280"/>
      <c r="D48" s="130">
        <v>13701026.41</v>
      </c>
      <c r="E48" s="130">
        <v>54652705.009999983</v>
      </c>
      <c r="F48" s="130">
        <v>53847342.520000078</v>
      </c>
      <c r="G48" s="130">
        <f>+G112</f>
        <v>5660952.7300000042</v>
      </c>
      <c r="H48" s="130">
        <f>+H112</f>
        <v>-59770664.289999999</v>
      </c>
      <c r="I48" s="130">
        <v>-45764781</v>
      </c>
      <c r="J48" s="130">
        <f>+J112</f>
        <v>-13313850.299999977</v>
      </c>
      <c r="K48" s="130">
        <f>+K112</f>
        <v>-41075791.710000016</v>
      </c>
      <c r="L48" s="130">
        <f t="shared" ref="L48:N48" si="13">+L112</f>
        <v>-38449061.739999652</v>
      </c>
      <c r="M48" s="130">
        <f t="shared" si="13"/>
        <v>-26830561.139999963</v>
      </c>
      <c r="N48" s="130">
        <f t="shared" si="13"/>
        <v>6216104.7300000191</v>
      </c>
      <c r="O48" s="130">
        <f t="shared" ref="O48" si="14">+O112</f>
        <v>41630005.360000014</v>
      </c>
    </row>
    <row r="49" spans="2:16">
      <c r="B49" s="284" t="s">
        <v>24</v>
      </c>
      <c r="C49" s="280"/>
      <c r="D49" s="130">
        <v>0</v>
      </c>
      <c r="E49" s="130"/>
      <c r="F49" s="300"/>
      <c r="G49" s="130">
        <v>-272360733.06</v>
      </c>
      <c r="H49" s="130">
        <v>-272360733.06</v>
      </c>
      <c r="I49" s="130">
        <v>-272360733</v>
      </c>
      <c r="J49" s="130">
        <v>-272360733</v>
      </c>
      <c r="K49" s="130">
        <v>-272360733</v>
      </c>
      <c r="L49" s="130">
        <v>-272360733</v>
      </c>
      <c r="M49" s="130">
        <v>-272360733</v>
      </c>
      <c r="N49" s="130">
        <v>-272360733</v>
      </c>
      <c r="O49" s="130">
        <v>-272360733</v>
      </c>
    </row>
    <row r="50" spans="2:16">
      <c r="B50" s="284"/>
      <c r="C50" s="299"/>
      <c r="D50" s="301"/>
      <c r="E50" s="301"/>
      <c r="F50" s="301"/>
      <c r="G50" s="295"/>
      <c r="H50" s="295"/>
      <c r="I50" s="295"/>
      <c r="J50" s="295"/>
      <c r="K50" s="295"/>
      <c r="L50" s="365"/>
      <c r="M50" s="130"/>
      <c r="N50" s="130"/>
      <c r="O50" s="130"/>
    </row>
    <row r="51" spans="2:16">
      <c r="B51" s="363" t="s">
        <v>25</v>
      </c>
      <c r="C51" s="363"/>
      <c r="D51" s="122">
        <f t="shared" ref="D51:M51" si="15">+D44</f>
        <v>163517520.41</v>
      </c>
      <c r="E51" s="122">
        <f t="shared" si="15"/>
        <v>254652705.00999999</v>
      </c>
      <c r="F51" s="122">
        <f t="shared" si="15"/>
        <v>253847342.52000007</v>
      </c>
      <c r="G51" s="122">
        <f>+G44</f>
        <v>489039230.67000002</v>
      </c>
      <c r="H51" s="122">
        <f>+H44</f>
        <v>423607613.65000004</v>
      </c>
      <c r="I51" s="122">
        <f>+I44</f>
        <v>437613497</v>
      </c>
      <c r="J51" s="122">
        <f>+J44</f>
        <v>470064427.70000005</v>
      </c>
      <c r="K51" s="122">
        <f t="shared" si="15"/>
        <v>442302486.28999996</v>
      </c>
      <c r="L51" s="122">
        <f t="shared" si="15"/>
        <v>444929216.26000035</v>
      </c>
      <c r="M51" s="122">
        <f t="shared" si="15"/>
        <v>456547716.86000001</v>
      </c>
      <c r="N51" s="122">
        <f>N44</f>
        <v>489594382.73000002</v>
      </c>
      <c r="O51" s="122">
        <f>O44</f>
        <v>525008283.36000001</v>
      </c>
    </row>
    <row r="52" spans="2:16">
      <c r="B52" s="284"/>
      <c r="C52" s="284"/>
      <c r="D52" s="279"/>
      <c r="E52" s="279"/>
      <c r="F52" s="279"/>
      <c r="G52" s="295"/>
      <c r="H52" s="295"/>
      <c r="I52" s="295"/>
      <c r="J52" s="295"/>
      <c r="K52" s="295"/>
      <c r="L52" s="295"/>
      <c r="M52" s="295"/>
      <c r="N52" s="295"/>
      <c r="O52" s="295"/>
    </row>
    <row r="53" spans="2:16" ht="13.5" thickBot="1">
      <c r="B53" s="281" t="s">
        <v>26</v>
      </c>
      <c r="C53" s="281"/>
      <c r="D53" s="282">
        <f>+D42+D51</f>
        <v>424443705.15999997</v>
      </c>
      <c r="E53" s="282">
        <f>+E42+E51</f>
        <v>684388470.30999994</v>
      </c>
      <c r="F53" s="282">
        <f>+F42+F51+0.22</f>
        <v>641945756.06000006</v>
      </c>
      <c r="G53" s="283">
        <f>+G42+G51</f>
        <v>722457437.04999995</v>
      </c>
      <c r="H53" s="283">
        <f>+H42+H51</f>
        <v>585700974.02999997</v>
      </c>
      <c r="I53" s="283">
        <f>+I42+I51+0.22</f>
        <v>850702210.4000001</v>
      </c>
      <c r="J53" s="283">
        <f>+J42+J51</f>
        <v>843257401.51999998</v>
      </c>
      <c r="K53" s="283">
        <f t="shared" ref="K53:M53" si="16">+K42+K51+0.22</f>
        <v>805014557.52999997</v>
      </c>
      <c r="L53" s="283">
        <f t="shared" si="16"/>
        <v>927817346.48000038</v>
      </c>
      <c r="M53" s="283">
        <f t="shared" si="16"/>
        <v>842635169.59000003</v>
      </c>
      <c r="N53" s="283">
        <f>+N42+N51</f>
        <v>1048914676.73</v>
      </c>
      <c r="O53" s="283">
        <f>+O42+O51</f>
        <v>936621222.36000001</v>
      </c>
    </row>
    <row r="54" spans="2:16" ht="14.25" thickTop="1" thickBot="1">
      <c r="G54" s="365"/>
      <c r="H54" s="365"/>
      <c r="I54" s="365"/>
      <c r="J54" s="365"/>
      <c r="K54" s="365"/>
      <c r="L54" s="365"/>
      <c r="M54" s="365"/>
      <c r="N54" s="365">
        <f>+N53-N29</f>
        <v>0.48000013828277588</v>
      </c>
      <c r="O54" s="365">
        <f>+O53-O29</f>
        <v>-1.6399999856948853</v>
      </c>
    </row>
    <row r="55" spans="2:16" ht="13.5" thickBot="1">
      <c r="B55" s="302" t="s">
        <v>0</v>
      </c>
      <c r="C55" s="302"/>
      <c r="D55" s="303" t="s">
        <v>35</v>
      </c>
      <c r="E55" s="304" t="s">
        <v>36</v>
      </c>
      <c r="F55" s="304" t="s">
        <v>37</v>
      </c>
      <c r="G55" s="368" t="s">
        <v>40</v>
      </c>
      <c r="H55" s="368" t="s">
        <v>41</v>
      </c>
      <c r="I55" s="368" t="s">
        <v>42</v>
      </c>
      <c r="J55" s="368" t="s">
        <v>43</v>
      </c>
      <c r="K55" s="368" t="s">
        <v>44</v>
      </c>
      <c r="L55" s="368" t="s">
        <v>195</v>
      </c>
      <c r="M55" s="368" t="s">
        <v>196</v>
      </c>
      <c r="N55" s="368" t="s">
        <v>208</v>
      </c>
      <c r="O55" s="368" t="s">
        <v>35</v>
      </c>
    </row>
    <row r="56" spans="2:16">
      <c r="B56" s="305"/>
      <c r="C56" s="305"/>
      <c r="D56" s="306"/>
      <c r="E56" s="307"/>
      <c r="F56" s="307"/>
      <c r="G56" s="126"/>
      <c r="H56" s="126"/>
      <c r="I56" s="313"/>
      <c r="J56" s="313"/>
      <c r="K56" s="313"/>
      <c r="L56" s="313"/>
      <c r="M56" s="313"/>
      <c r="N56" s="313"/>
      <c r="O56" s="313"/>
    </row>
    <row r="57" spans="2:16">
      <c r="B57" s="309" t="s">
        <v>1</v>
      </c>
      <c r="C57" s="309"/>
      <c r="D57" s="310">
        <f>+D59</f>
        <v>145861070.5</v>
      </c>
      <c r="E57" s="310">
        <f>+E59</f>
        <v>380311877.5</v>
      </c>
      <c r="F57" s="310">
        <f t="shared" ref="F57:I57" si="17">+F59</f>
        <v>640428977.70000005</v>
      </c>
      <c r="G57" s="313">
        <f>+G59</f>
        <v>128350053</v>
      </c>
      <c r="H57" s="313">
        <f>+H59</f>
        <v>174808783</v>
      </c>
      <c r="I57" s="313">
        <f t="shared" si="17"/>
        <v>489558254</v>
      </c>
      <c r="J57" s="313">
        <f>+J59</f>
        <v>665557627</v>
      </c>
      <c r="K57" s="313">
        <f>+K59</f>
        <v>860914851</v>
      </c>
      <c r="L57" s="313">
        <f>+L59</f>
        <v>1115515104</v>
      </c>
      <c r="M57" s="313">
        <f t="shared" ref="M57:N57" si="18">+M59</f>
        <v>1376104389</v>
      </c>
      <c r="N57" s="313">
        <f t="shared" si="18"/>
        <v>1742319406</v>
      </c>
      <c r="O57" s="313">
        <f t="shared" ref="O57" si="19">+O59</f>
        <v>2025809522</v>
      </c>
    </row>
    <row r="58" spans="2:16">
      <c r="B58" s="272"/>
      <c r="C58" s="272"/>
      <c r="D58" s="311"/>
      <c r="E58" s="311"/>
      <c r="F58" s="311"/>
      <c r="G58" s="126"/>
      <c r="H58" s="126"/>
      <c r="I58" s="126"/>
      <c r="J58" s="126"/>
      <c r="K58" s="126"/>
      <c r="L58" s="365"/>
      <c r="M58" s="365"/>
      <c r="N58" s="365"/>
      <c r="O58" s="365"/>
    </row>
    <row r="59" spans="2:16">
      <c r="B59" s="272" t="s">
        <v>2</v>
      </c>
      <c r="C59" s="272"/>
      <c r="D59" s="312">
        <v>145861070.5</v>
      </c>
      <c r="E59" s="312">
        <v>380311877.5</v>
      </c>
      <c r="F59" s="312">
        <v>640428977.70000005</v>
      </c>
      <c r="G59" s="126">
        <v>128350053</v>
      </c>
      <c r="H59" s="126">
        <v>174808783</v>
      </c>
      <c r="I59" s="126">
        <v>489558254</v>
      </c>
      <c r="J59" s="126">
        <v>665557627</v>
      </c>
      <c r="K59" s="126">
        <v>860914851</v>
      </c>
      <c r="L59" s="313">
        <v>1115515104</v>
      </c>
      <c r="M59" s="295">
        <v>1376104389</v>
      </c>
      <c r="N59" s="295">
        <v>1742319406</v>
      </c>
      <c r="O59" s="295">
        <v>2025809522</v>
      </c>
      <c r="P59" s="158"/>
    </row>
    <row r="60" spans="2:16">
      <c r="B60" s="272"/>
      <c r="C60" s="272"/>
      <c r="D60" s="311"/>
      <c r="E60" s="311"/>
      <c r="F60" s="311"/>
      <c r="G60" s="126"/>
      <c r="H60" s="126"/>
      <c r="I60" s="126"/>
      <c r="J60" s="126"/>
      <c r="K60" s="126"/>
      <c r="L60" s="126"/>
      <c r="M60" s="126"/>
      <c r="N60" s="126"/>
      <c r="O60" s="126"/>
    </row>
    <row r="61" spans="2:16">
      <c r="B61" s="309" t="s">
        <v>3</v>
      </c>
      <c r="C61" s="309"/>
      <c r="D61" s="310">
        <f t="shared" ref="D61:J61" si="20">+D63</f>
        <v>95571350.650000006</v>
      </c>
      <c r="E61" s="310">
        <f t="shared" si="20"/>
        <v>243084558.83000001</v>
      </c>
      <c r="F61" s="310">
        <f t="shared" si="20"/>
        <v>450857792.45999998</v>
      </c>
      <c r="G61" s="313">
        <f>+G63</f>
        <v>71459376.459999993</v>
      </c>
      <c r="H61" s="313">
        <v>100750612.20999999</v>
      </c>
      <c r="I61" s="313">
        <f t="shared" si="20"/>
        <v>303463074.51999998</v>
      </c>
      <c r="J61" s="313">
        <f t="shared" si="20"/>
        <v>371595086.33999997</v>
      </c>
      <c r="K61" s="313">
        <f>+K63</f>
        <v>501815633.31</v>
      </c>
      <c r="L61" s="313">
        <f>+L63</f>
        <v>679094578.91999996</v>
      </c>
      <c r="M61" s="313">
        <f>+M63</f>
        <v>853932992</v>
      </c>
      <c r="N61" s="313">
        <f>+N63</f>
        <v>1111396407.04</v>
      </c>
      <c r="O61" s="313">
        <f>+O63</f>
        <v>1265446799</v>
      </c>
    </row>
    <row r="62" spans="2:16">
      <c r="B62" s="272"/>
      <c r="C62" s="272"/>
      <c r="D62" s="311"/>
      <c r="E62" s="311"/>
      <c r="F62" s="311"/>
      <c r="G62" s="126"/>
      <c r="H62" s="126"/>
      <c r="I62" s="126"/>
      <c r="J62" s="126"/>
      <c r="K62" s="126"/>
      <c r="L62" s="126"/>
      <c r="M62" s="126"/>
      <c r="N62" s="126"/>
      <c r="O62" s="126"/>
    </row>
    <row r="63" spans="2:16">
      <c r="B63" s="272" t="s">
        <v>4</v>
      </c>
      <c r="C63" s="272"/>
      <c r="D63" s="312">
        <v>95571350.650000006</v>
      </c>
      <c r="E63" s="312">
        <v>243084558.83000001</v>
      </c>
      <c r="F63" s="312">
        <v>450857792.45999998</v>
      </c>
      <c r="G63" s="126">
        <v>71459376.459999993</v>
      </c>
      <c r="H63" s="126">
        <v>100750612.20999999</v>
      </c>
      <c r="I63" s="126">
        <v>303463074.51999998</v>
      </c>
      <c r="J63" s="126">
        <v>371595086.33999997</v>
      </c>
      <c r="K63" s="126">
        <v>501815633.31</v>
      </c>
      <c r="L63" s="126">
        <v>679094578.91999996</v>
      </c>
      <c r="M63" s="295">
        <v>853932992</v>
      </c>
      <c r="N63" s="295">
        <v>1111396407.04</v>
      </c>
      <c r="O63" s="295">
        <v>1265446799</v>
      </c>
    </row>
    <row r="64" spans="2:16">
      <c r="B64" s="272"/>
      <c r="C64" s="272"/>
      <c r="D64" s="311"/>
      <c r="E64" s="311"/>
      <c r="F64" s="311"/>
      <c r="G64" s="126"/>
      <c r="H64" s="126"/>
      <c r="I64" s="126"/>
      <c r="J64" s="126"/>
      <c r="K64" s="126"/>
      <c r="L64" s="126"/>
      <c r="M64" s="126"/>
      <c r="N64" s="126"/>
      <c r="O64" s="126"/>
    </row>
    <row r="65" spans="2:15">
      <c r="B65" s="314" t="s">
        <v>5</v>
      </c>
      <c r="C65" s="314"/>
      <c r="D65" s="310">
        <f>+D57-D61</f>
        <v>50289719.849999994</v>
      </c>
      <c r="E65" s="310">
        <f>+E57-E61</f>
        <v>137227318.66999999</v>
      </c>
      <c r="F65" s="310">
        <f t="shared" ref="F65:J65" si="21">+F57-F61</f>
        <v>189571185.24000007</v>
      </c>
      <c r="G65" s="313">
        <f t="shared" si="21"/>
        <v>56890676.540000007</v>
      </c>
      <c r="H65" s="313">
        <f>+H57-H61</f>
        <v>74058170.790000007</v>
      </c>
      <c r="I65" s="313">
        <f t="shared" si="21"/>
        <v>186095179.48000002</v>
      </c>
      <c r="J65" s="313">
        <f t="shared" si="21"/>
        <v>293962540.66000003</v>
      </c>
      <c r="K65" s="313">
        <f>+K57-K61</f>
        <v>359099217.69</v>
      </c>
      <c r="L65" s="313">
        <f t="shared" ref="L65" si="22">+L57-L61</f>
        <v>436420525.08000004</v>
      </c>
      <c r="M65" s="313">
        <f>+M57-M61</f>
        <v>522171397</v>
      </c>
      <c r="N65" s="313">
        <f>+N57-N61</f>
        <v>630922998.96000004</v>
      </c>
      <c r="O65" s="313">
        <f>+O57-O61</f>
        <v>760362723</v>
      </c>
    </row>
    <row r="66" spans="2:15">
      <c r="B66" s="315"/>
      <c r="C66" s="315"/>
      <c r="D66" s="316"/>
      <c r="E66" s="316"/>
      <c r="F66" s="316"/>
      <c r="G66" s="313"/>
      <c r="H66" s="313"/>
      <c r="I66" s="313"/>
      <c r="J66" s="313"/>
      <c r="K66" s="313"/>
      <c r="L66" s="126"/>
      <c r="M66" s="365"/>
      <c r="N66" s="365"/>
      <c r="O66" s="365"/>
    </row>
    <row r="67" spans="2:15">
      <c r="B67" s="315" t="s">
        <v>28</v>
      </c>
      <c r="C67" s="315"/>
      <c r="D67" s="317">
        <f t="shared" ref="D67:L67" si="23">+D65/D57</f>
        <v>0.3447782172282905</v>
      </c>
      <c r="E67" s="317">
        <f t="shared" si="23"/>
        <v>0.3608283800444807</v>
      </c>
      <c r="F67" s="317">
        <f t="shared" si="23"/>
        <v>0.29600657034729311</v>
      </c>
      <c r="G67" s="369">
        <f>+G65/G57</f>
        <v>0.44324622553915116</v>
      </c>
      <c r="H67" s="369">
        <f>+H65/H57</f>
        <v>0.4236524590986942</v>
      </c>
      <c r="I67" s="369">
        <f>+I65/I57</f>
        <v>0.38012877519577071</v>
      </c>
      <c r="J67" s="369">
        <f t="shared" si="23"/>
        <v>0.44167856957035523</v>
      </c>
      <c r="K67" s="369">
        <f t="shared" si="23"/>
        <v>0.41711351276248343</v>
      </c>
      <c r="L67" s="369">
        <f t="shared" si="23"/>
        <v>0.3912278045497446</v>
      </c>
      <c r="M67" s="369">
        <f t="shared" ref="M67" si="24">+M65/M57</f>
        <v>0.37945623978385551</v>
      </c>
      <c r="N67" s="369">
        <f>+N65/N57</f>
        <v>0.36211672600747008</v>
      </c>
      <c r="O67" s="369">
        <f>+O65/O57</f>
        <v>0.37533771795549886</v>
      </c>
    </row>
    <row r="68" spans="2:15">
      <c r="B68" s="315"/>
      <c r="C68" s="315"/>
      <c r="D68" s="307"/>
      <c r="E68" s="307"/>
      <c r="F68" s="307"/>
      <c r="G68" s="370">
        <f>SUM(G70:G81)-G69</f>
        <v>0</v>
      </c>
      <c r="H68" s="370">
        <f>SUM(H70:H81)-H69</f>
        <v>0</v>
      </c>
      <c r="I68" s="370"/>
      <c r="J68" s="370"/>
      <c r="K68" s="370"/>
      <c r="L68" s="370"/>
      <c r="M68" s="370"/>
      <c r="N68" s="370"/>
      <c r="O68" s="370"/>
    </row>
    <row r="69" spans="2:15">
      <c r="B69" s="314" t="s">
        <v>30</v>
      </c>
      <c r="C69" s="314"/>
      <c r="D69" s="310">
        <v>26328728.440000001</v>
      </c>
      <c r="E69" s="310">
        <v>52218137.880000003</v>
      </c>
      <c r="F69" s="310">
        <v>78253084.319999993</v>
      </c>
      <c r="G69" s="313">
        <f>SUM(G70:G81)</f>
        <v>13627053</v>
      </c>
      <c r="H69" s="313">
        <f>SUM(H70:H81)</f>
        <v>30088112</v>
      </c>
      <c r="I69" s="313">
        <f>SUM(I70:I81)</f>
        <v>44770444</v>
      </c>
      <c r="J69" s="313">
        <f>SUM(J70:J81)</f>
        <v>56892518</v>
      </c>
      <c r="K69" s="313">
        <f t="shared" ref="K69:L69" si="25">SUM(K70:K81)</f>
        <v>70862492.189999998</v>
      </c>
      <c r="L69" s="313">
        <f t="shared" si="25"/>
        <v>84837709.159999996</v>
      </c>
      <c r="M69" s="313">
        <f>SUM(M70:M81)</f>
        <v>98774094.349999994</v>
      </c>
      <c r="N69" s="313">
        <f>SUM(N70:N81)</f>
        <v>114117236.54000001</v>
      </c>
      <c r="O69" s="313">
        <f>SUM(O70:O81)</f>
        <v>131909873</v>
      </c>
    </row>
    <row r="70" spans="2:15">
      <c r="B70" s="315"/>
      <c r="C70" s="318" t="s">
        <v>207</v>
      </c>
      <c r="D70" s="319"/>
      <c r="E70" s="319"/>
      <c r="F70" s="319"/>
      <c r="G70" s="313">
        <v>2835618</v>
      </c>
      <c r="H70" s="126">
        <v>5133111</v>
      </c>
      <c r="I70" s="126">
        <v>7312401</v>
      </c>
      <c r="J70" s="126">
        <v>9207415</v>
      </c>
      <c r="K70" s="126">
        <v>11102429</v>
      </c>
      <c r="L70" s="126">
        <v>12997443</v>
      </c>
      <c r="M70" s="130">
        <v>14912807</v>
      </c>
      <c r="N70" s="130">
        <v>16804921</v>
      </c>
      <c r="O70" s="130">
        <v>18698535</v>
      </c>
    </row>
    <row r="71" spans="2:15">
      <c r="B71" s="315"/>
      <c r="C71" s="318" t="s">
        <v>211</v>
      </c>
      <c r="D71" s="319"/>
      <c r="E71" s="319"/>
      <c r="F71" s="319"/>
      <c r="G71" s="313">
        <v>1100000</v>
      </c>
      <c r="H71" s="126">
        <v>2200000</v>
      </c>
      <c r="I71" s="126">
        <v>3300000</v>
      </c>
      <c r="J71" s="126">
        <v>4500000</v>
      </c>
      <c r="K71" s="126">
        <v>6200000</v>
      </c>
      <c r="L71" s="126">
        <v>7400000</v>
      </c>
      <c r="M71" s="130">
        <v>8600000</v>
      </c>
      <c r="N71" s="130">
        <v>9800000</v>
      </c>
      <c r="O71" s="130">
        <v>11000000</v>
      </c>
    </row>
    <row r="72" spans="2:15">
      <c r="B72" s="315"/>
      <c r="C72" s="318" t="s">
        <v>212</v>
      </c>
      <c r="D72" s="319"/>
      <c r="E72" s="319"/>
      <c r="F72" s="319"/>
      <c r="G72" s="126">
        <v>1441961</v>
      </c>
      <c r="H72" s="126">
        <v>2063442</v>
      </c>
      <c r="I72" s="126">
        <v>6105645</v>
      </c>
      <c r="J72" s="126">
        <v>8389274</v>
      </c>
      <c r="K72" s="126">
        <v>10914990</v>
      </c>
      <c r="L72" s="126">
        <v>14252704</v>
      </c>
      <c r="M72" s="130">
        <v>17533931</v>
      </c>
      <c r="N72" s="130">
        <v>22202402</v>
      </c>
      <c r="O72" s="130">
        <v>25975627</v>
      </c>
    </row>
    <row r="73" spans="2:15">
      <c r="B73" s="315"/>
      <c r="C73" s="318" t="s">
        <v>213</v>
      </c>
      <c r="D73" s="319"/>
      <c r="E73" s="319"/>
      <c r="F73" s="319"/>
      <c r="G73" s="313">
        <v>5347000</v>
      </c>
      <c r="H73" s="126">
        <v>10694000</v>
      </c>
      <c r="I73" s="126">
        <f>+H73+5810000</f>
        <v>16504000</v>
      </c>
      <c r="J73" s="126">
        <v>22314000</v>
      </c>
      <c r="K73" s="126">
        <v>28124000</v>
      </c>
      <c r="L73" s="126">
        <v>33934000</v>
      </c>
      <c r="M73" s="130">
        <v>39744000</v>
      </c>
      <c r="N73" s="130">
        <v>45554000</v>
      </c>
      <c r="O73" s="130">
        <v>51364000</v>
      </c>
    </row>
    <row r="74" spans="2:15">
      <c r="B74" s="315"/>
      <c r="C74" s="318" t="s">
        <v>214</v>
      </c>
      <c r="D74" s="319"/>
      <c r="E74" s="319"/>
      <c r="F74" s="319"/>
      <c r="G74" s="126">
        <v>2258930</v>
      </c>
      <c r="H74" s="126">
        <v>3089940</v>
      </c>
      <c r="I74" s="126">
        <v>3500970</v>
      </c>
      <c r="J74" s="126">
        <v>4267040</v>
      </c>
      <c r="K74" s="126">
        <v>4775730</v>
      </c>
      <c r="L74" s="126">
        <v>5242750</v>
      </c>
      <c r="M74" s="130">
        <v>5928929</v>
      </c>
      <c r="N74" s="130">
        <v>6767131</v>
      </c>
      <c r="O74" s="130">
        <v>9735757</v>
      </c>
    </row>
    <row r="75" spans="2:15">
      <c r="B75" s="315"/>
      <c r="C75" s="318" t="s">
        <v>210</v>
      </c>
      <c r="D75" s="319"/>
      <c r="E75" s="319"/>
      <c r="F75" s="319"/>
      <c r="G75" s="126">
        <v>0</v>
      </c>
      <c r="H75" s="126">
        <v>4880500</v>
      </c>
      <c r="I75" s="126">
        <v>4925231</v>
      </c>
      <c r="J75" s="126">
        <v>4925231</v>
      </c>
      <c r="K75" s="126">
        <v>4925231</v>
      </c>
      <c r="L75" s="126">
        <v>5181731</v>
      </c>
      <c r="M75" s="130">
        <v>5181731</v>
      </c>
      <c r="N75" s="130">
        <v>5181731</v>
      </c>
      <c r="O75" s="130">
        <v>5181731</v>
      </c>
    </row>
    <row r="76" spans="2:15">
      <c r="B76" s="315"/>
      <c r="C76" s="318" t="s">
        <v>215</v>
      </c>
      <c r="D76" s="319"/>
      <c r="E76" s="319"/>
      <c r="F76" s="319"/>
      <c r="G76" s="126">
        <v>0</v>
      </c>
      <c r="H76" s="126">
        <v>35000</v>
      </c>
      <c r="I76" s="126">
        <v>35000</v>
      </c>
      <c r="J76" s="126">
        <v>35000</v>
      </c>
      <c r="K76" s="126">
        <v>147875</v>
      </c>
      <c r="L76" s="126">
        <v>243227.78</v>
      </c>
      <c r="M76" s="126">
        <v>0</v>
      </c>
      <c r="N76" s="126">
        <v>0</v>
      </c>
      <c r="O76" s="126">
        <v>0</v>
      </c>
    </row>
    <row r="77" spans="2:15">
      <c r="B77" s="315"/>
      <c r="C77" s="318" t="s">
        <v>227</v>
      </c>
      <c r="D77" s="319"/>
      <c r="E77" s="319"/>
      <c r="F77" s="319"/>
      <c r="G77" s="126">
        <v>0</v>
      </c>
      <c r="H77" s="126">
        <v>0</v>
      </c>
      <c r="I77" s="126">
        <v>0</v>
      </c>
      <c r="J77" s="126">
        <v>10000</v>
      </c>
      <c r="K77" s="126">
        <v>10000</v>
      </c>
      <c r="L77" s="126">
        <v>10000</v>
      </c>
      <c r="M77" s="130">
        <v>284207.78000000003</v>
      </c>
      <c r="N77" s="130">
        <v>284207.78000000003</v>
      </c>
      <c r="O77" s="130">
        <v>319207</v>
      </c>
    </row>
    <row r="78" spans="2:15">
      <c r="B78" s="315"/>
      <c r="C78" s="318" t="s">
        <v>218</v>
      </c>
      <c r="D78" s="319"/>
      <c r="E78" s="319"/>
      <c r="F78" s="319"/>
      <c r="G78" s="126">
        <v>0</v>
      </c>
      <c r="H78" s="126">
        <v>0</v>
      </c>
      <c r="I78" s="126">
        <v>0</v>
      </c>
      <c r="J78" s="126">
        <v>0</v>
      </c>
      <c r="K78" s="126">
        <v>0</v>
      </c>
      <c r="L78" s="126"/>
      <c r="M78" s="130">
        <v>10000</v>
      </c>
      <c r="N78" s="130">
        <v>10000</v>
      </c>
      <c r="O78" s="130">
        <v>10000</v>
      </c>
    </row>
    <row r="79" spans="2:15">
      <c r="B79" s="315"/>
      <c r="C79" s="318" t="s">
        <v>209</v>
      </c>
      <c r="D79" s="319"/>
      <c r="E79" s="319"/>
      <c r="F79" s="319"/>
      <c r="G79" s="126">
        <v>557544</v>
      </c>
      <c r="H79" s="126">
        <v>1115090</v>
      </c>
      <c r="I79" s="126">
        <v>1743394</v>
      </c>
      <c r="J79" s="126">
        <v>1667655</v>
      </c>
      <c r="K79" s="126">
        <v>2180454.19</v>
      </c>
      <c r="L79" s="126">
        <v>2693253.38</v>
      </c>
      <c r="M79" s="130">
        <v>3577272.57</v>
      </c>
      <c r="N79" s="130">
        <v>4331930.76</v>
      </c>
      <c r="O79" s="130">
        <v>5511980</v>
      </c>
    </row>
    <row r="80" spans="2:15">
      <c r="B80" s="315"/>
      <c r="C80" s="318" t="s">
        <v>216</v>
      </c>
      <c r="D80" s="319"/>
      <c r="E80" s="319"/>
      <c r="F80" s="319"/>
      <c r="G80" s="320"/>
      <c r="H80" s="320"/>
      <c r="I80" s="320"/>
      <c r="J80" s="126">
        <v>0</v>
      </c>
      <c r="K80" s="126">
        <v>0</v>
      </c>
      <c r="L80" s="126"/>
      <c r="M80" s="126"/>
      <c r="N80" s="126"/>
      <c r="O80" s="126"/>
    </row>
    <row r="81" spans="2:16">
      <c r="B81" s="315"/>
      <c r="C81" s="318" t="s">
        <v>217</v>
      </c>
      <c r="D81" s="319"/>
      <c r="E81" s="319"/>
      <c r="F81" s="319"/>
      <c r="G81" s="126">
        <v>86000</v>
      </c>
      <c r="H81" s="126">
        <v>877029</v>
      </c>
      <c r="I81" s="126">
        <v>1343803</v>
      </c>
      <c r="J81" s="126">
        <v>1576903</v>
      </c>
      <c r="K81" s="126">
        <v>2481783</v>
      </c>
      <c r="L81" s="126">
        <v>2882600</v>
      </c>
      <c r="M81" s="130">
        <v>3001216</v>
      </c>
      <c r="N81" s="130">
        <v>3180913</v>
      </c>
      <c r="O81" s="130">
        <v>4113036</v>
      </c>
    </row>
    <row r="82" spans="2:16">
      <c r="B82" s="315"/>
      <c r="C82" s="315"/>
      <c r="D82" s="319"/>
      <c r="E82" s="319"/>
      <c r="F82" s="319"/>
      <c r="G82" s="321"/>
      <c r="H82" s="321"/>
      <c r="I82" s="321"/>
      <c r="J82" s="321"/>
      <c r="K82" s="321"/>
      <c r="L82" s="321"/>
      <c r="M82" s="321"/>
      <c r="N82" s="321"/>
      <c r="O82" s="321"/>
    </row>
    <row r="83" spans="2:16">
      <c r="B83" s="314" t="s">
        <v>31</v>
      </c>
      <c r="C83" s="314"/>
      <c r="D83" s="310">
        <v>9674364</v>
      </c>
      <c r="E83" s="310">
        <v>28932846.02</v>
      </c>
      <c r="F83" s="310">
        <v>54945583.07</v>
      </c>
      <c r="G83" s="313">
        <f>SUM(G84:G96)</f>
        <v>40083621.810000002</v>
      </c>
      <c r="H83" s="313">
        <f>SUM(H84:H96)</f>
        <v>105982915.18000001</v>
      </c>
      <c r="I83" s="313">
        <f>SUM(I84:I96)</f>
        <v>191263166.10000002</v>
      </c>
      <c r="J83" s="313">
        <f t="shared" ref="J83:M83" si="26">SUM(J84:J96)</f>
        <v>255371480.06</v>
      </c>
      <c r="K83" s="313">
        <f>SUM(K84:K96)</f>
        <v>334802924.11000001</v>
      </c>
      <c r="L83" s="313">
        <f t="shared" ref="L83" si="27">SUM(L84:L96)</f>
        <v>401027594.65999973</v>
      </c>
      <c r="M83" s="313">
        <f t="shared" si="26"/>
        <v>461319967.69</v>
      </c>
      <c r="N83" s="313">
        <f>SUM(N84:N96)</f>
        <v>522366063.69</v>
      </c>
      <c r="O83" s="313">
        <f>SUM(O84:O96)</f>
        <v>597601864.63999999</v>
      </c>
      <c r="P83" s="158"/>
    </row>
    <row r="84" spans="2:16">
      <c r="B84" s="315"/>
      <c r="C84" s="360" t="s">
        <v>222</v>
      </c>
      <c r="D84" s="361"/>
      <c r="E84" s="361"/>
      <c r="F84" s="361"/>
      <c r="G84" s="362">
        <f>6366667+74000+1014778+121741+1014508+504572+1852000+191000+1466004+122201</f>
        <v>12727471</v>
      </c>
      <c r="H84" s="361">
        <f>+G84+22562884</f>
        <v>35290355</v>
      </c>
      <c r="I84" s="361">
        <f>+H84+25879107</f>
        <v>61169462</v>
      </c>
      <c r="J84" s="361">
        <v>84639735</v>
      </c>
      <c r="K84" s="361">
        <f>106927668+3998538.5198711</f>
        <v>110926206.5198711</v>
      </c>
      <c r="L84" s="361">
        <v>138232694.26715299</v>
      </c>
      <c r="M84" s="361">
        <v>166717921</v>
      </c>
      <c r="N84" s="361">
        <v>191762978</v>
      </c>
      <c r="O84" s="361">
        <v>214109778.96000001</v>
      </c>
    </row>
    <row r="85" spans="2:16">
      <c r="B85" s="315"/>
      <c r="C85" s="318" t="s">
        <v>220</v>
      </c>
      <c r="D85" s="319"/>
      <c r="E85" s="319"/>
      <c r="F85" s="319"/>
      <c r="G85" s="313">
        <v>5944888</v>
      </c>
      <c r="H85" s="126">
        <f>+G85+11148132</f>
        <v>17093020</v>
      </c>
      <c r="I85" s="126">
        <f>+H85+10867773</f>
        <v>27960793</v>
      </c>
      <c r="J85" s="126">
        <v>38026547.420000002</v>
      </c>
      <c r="K85" s="126">
        <f>45553589.42+1350379.4801289</f>
        <v>46903968.900128901</v>
      </c>
      <c r="L85" s="126">
        <v>54195620.7328467</v>
      </c>
      <c r="M85" s="126">
        <v>61368552</v>
      </c>
      <c r="N85" s="126">
        <v>74255567</v>
      </c>
      <c r="O85" s="126">
        <v>83264914.040000007</v>
      </c>
    </row>
    <row r="86" spans="2:16">
      <c r="B86" s="315"/>
      <c r="C86" s="318" t="s">
        <v>223</v>
      </c>
      <c r="D86" s="319"/>
      <c r="E86" s="319"/>
      <c r="F86" s="319"/>
      <c r="G86" s="313">
        <v>1850034</v>
      </c>
      <c r="H86" s="126">
        <f>+G86+7653326</f>
        <v>9503360</v>
      </c>
      <c r="I86" s="126">
        <f>+H86+6465286+112000</f>
        <v>16080646</v>
      </c>
      <c r="J86" s="126">
        <v>19602400</v>
      </c>
      <c r="K86" s="126">
        <f>+J86+6877503</f>
        <v>26479903</v>
      </c>
      <c r="L86" s="126">
        <v>33260295</v>
      </c>
      <c r="M86" s="126">
        <v>39752709</v>
      </c>
      <c r="N86" s="126">
        <v>46769283</v>
      </c>
      <c r="O86" s="126">
        <v>54539528</v>
      </c>
    </row>
    <row r="87" spans="2:16">
      <c r="B87" s="315"/>
      <c r="C87" s="318" t="s">
        <v>225</v>
      </c>
      <c r="D87" s="319"/>
      <c r="E87" s="319"/>
      <c r="F87" s="319"/>
      <c r="G87" s="313">
        <v>0</v>
      </c>
      <c r="H87" s="126">
        <v>1000000</v>
      </c>
      <c r="I87" s="126">
        <f>+H87+1000000</f>
        <v>2000000</v>
      </c>
      <c r="J87" s="126">
        <v>3000000</v>
      </c>
      <c r="K87" s="126">
        <v>4000000</v>
      </c>
      <c r="L87" s="126">
        <v>5000000</v>
      </c>
      <c r="M87" s="126">
        <v>6088534</v>
      </c>
      <c r="N87" s="126">
        <v>7305464</v>
      </c>
      <c r="O87" s="126">
        <v>8491755</v>
      </c>
    </row>
    <row r="88" spans="2:16">
      <c r="B88" s="315"/>
      <c r="C88" s="318" t="s">
        <v>271</v>
      </c>
      <c r="D88" s="319"/>
      <c r="E88" s="319"/>
      <c r="F88" s="319"/>
      <c r="G88" s="313">
        <v>0</v>
      </c>
      <c r="H88" s="126">
        <v>0</v>
      </c>
      <c r="I88" s="126">
        <v>12000000</v>
      </c>
      <c r="J88" s="126">
        <v>16400000</v>
      </c>
      <c r="K88" s="126">
        <v>21900000</v>
      </c>
      <c r="L88" s="126">
        <v>25500000</v>
      </c>
      <c r="M88" s="126">
        <v>30000000</v>
      </c>
      <c r="N88" s="126">
        <v>34500000</v>
      </c>
      <c r="O88" s="126">
        <v>38500000</v>
      </c>
    </row>
    <row r="89" spans="2:16">
      <c r="B89" s="315"/>
      <c r="C89" s="318" t="s">
        <v>226</v>
      </c>
      <c r="D89" s="319"/>
      <c r="E89" s="319"/>
      <c r="F89" s="319"/>
      <c r="G89" s="313">
        <v>0</v>
      </c>
      <c r="H89" s="126">
        <v>2100000</v>
      </c>
      <c r="I89" s="126">
        <f>+H89+1055555</f>
        <v>3155555</v>
      </c>
      <c r="J89" s="126">
        <v>3155555</v>
      </c>
      <c r="K89" s="126">
        <f>+J89</f>
        <v>3155555</v>
      </c>
      <c r="L89" s="126">
        <v>5284222</v>
      </c>
      <c r="M89" s="126">
        <v>7017555</v>
      </c>
      <c r="N89" s="126">
        <v>8350888</v>
      </c>
      <c r="O89" s="126">
        <v>10084222</v>
      </c>
    </row>
    <row r="90" spans="2:16">
      <c r="B90" s="315"/>
      <c r="C90" s="318" t="s">
        <v>244</v>
      </c>
      <c r="D90" s="319"/>
      <c r="E90" s="319"/>
      <c r="F90" s="319"/>
      <c r="G90" s="126">
        <v>1306106</v>
      </c>
      <c r="H90" s="126">
        <v>2139656</v>
      </c>
      <c r="I90" s="126">
        <f>3218786+602056+25000</f>
        <v>3845842</v>
      </c>
      <c r="J90" s="126">
        <v>5277604</v>
      </c>
      <c r="K90" s="126">
        <v>5693021</v>
      </c>
      <c r="L90" s="126">
        <v>7763967</v>
      </c>
      <c r="M90" s="126">
        <v>9322432</v>
      </c>
      <c r="N90" s="126">
        <v>10782229</v>
      </c>
      <c r="O90" s="126">
        <v>11988652</v>
      </c>
      <c r="P90" s="322"/>
    </row>
    <row r="91" spans="2:16">
      <c r="B91" s="315"/>
      <c r="C91" s="118" t="s">
        <v>245</v>
      </c>
      <c r="D91" s="308"/>
      <c r="E91" s="308"/>
      <c r="F91" s="308"/>
      <c r="G91" s="126">
        <v>3947283</v>
      </c>
      <c r="H91" s="126">
        <v>4683853</v>
      </c>
      <c r="I91" s="126">
        <v>6445495</v>
      </c>
      <c r="J91" s="126">
        <v>6319347</v>
      </c>
      <c r="K91" s="126">
        <v>8474265</v>
      </c>
      <c r="L91" s="126">
        <v>10385607</v>
      </c>
      <c r="M91" s="126">
        <v>10930712</v>
      </c>
      <c r="N91" s="126">
        <v>11497374</v>
      </c>
      <c r="O91" s="126">
        <v>19263936</v>
      </c>
      <c r="P91" s="323"/>
    </row>
    <row r="92" spans="2:16">
      <c r="B92" s="315"/>
      <c r="C92" s="118" t="s">
        <v>221</v>
      </c>
      <c r="D92" s="308"/>
      <c r="E92" s="308"/>
      <c r="F92" s="308"/>
      <c r="G92" s="126">
        <v>11383094.810000001</v>
      </c>
      <c r="H92" s="126">
        <v>18422372.18</v>
      </c>
      <c r="I92" s="126">
        <f>34190705.46-30180</f>
        <v>34160525.460000001</v>
      </c>
      <c r="J92" s="126">
        <v>52551084</v>
      </c>
      <c r="K92" s="126">
        <v>76095642</v>
      </c>
      <c r="L92" s="126">
        <v>84741752.609999999</v>
      </c>
      <c r="M92" s="126">
        <v>88685273</v>
      </c>
      <c r="N92" s="126">
        <v>91402325</v>
      </c>
      <c r="O92" s="126">
        <v>99542689</v>
      </c>
      <c r="P92" s="158">
        <f>+P91-P90</f>
        <v>0</v>
      </c>
    </row>
    <row r="93" spans="2:16">
      <c r="B93" s="315"/>
      <c r="C93" s="318" t="s">
        <v>216</v>
      </c>
      <c r="D93" s="308"/>
      <c r="E93" s="308"/>
      <c r="F93" s="308"/>
      <c r="G93" s="126">
        <v>0</v>
      </c>
      <c r="H93" s="126">
        <v>0</v>
      </c>
      <c r="I93" s="126" t="s">
        <v>272</v>
      </c>
      <c r="J93" s="126">
        <v>0</v>
      </c>
      <c r="K93" s="126"/>
      <c r="L93" s="126"/>
      <c r="M93" s="313">
        <v>0</v>
      </c>
      <c r="N93" s="313">
        <v>0</v>
      </c>
      <c r="O93" s="313">
        <v>0</v>
      </c>
    </row>
    <row r="94" spans="2:16">
      <c r="B94" s="315"/>
      <c r="C94" s="118" t="s">
        <v>215</v>
      </c>
      <c r="D94" s="308"/>
      <c r="E94" s="308"/>
      <c r="F94" s="308"/>
      <c r="G94" s="126">
        <v>0</v>
      </c>
      <c r="H94" s="126">
        <v>40000</v>
      </c>
      <c r="I94" s="126">
        <v>898000</v>
      </c>
      <c r="J94" s="126">
        <v>1048500</v>
      </c>
      <c r="K94" s="126">
        <v>1251325.05</v>
      </c>
      <c r="L94" s="126">
        <v>1810325.05</v>
      </c>
      <c r="M94" s="126">
        <v>2412325.0499999998</v>
      </c>
      <c r="N94" s="126">
        <v>3014325.05</v>
      </c>
      <c r="O94" s="126">
        <v>3719325</v>
      </c>
    </row>
    <row r="95" spans="2:16">
      <c r="B95" s="315"/>
      <c r="C95" s="318" t="s">
        <v>218</v>
      </c>
      <c r="D95" s="319"/>
      <c r="E95" s="319"/>
      <c r="F95" s="319"/>
      <c r="G95" s="126">
        <v>914031</v>
      </c>
      <c r="H95" s="126">
        <v>6161175</v>
      </c>
      <c r="I95" s="126">
        <v>10552348</v>
      </c>
      <c r="J95" s="126">
        <v>11843216</v>
      </c>
      <c r="K95" s="126">
        <v>15220596</v>
      </c>
      <c r="L95" s="126">
        <v>17874103</v>
      </c>
      <c r="M95" s="126">
        <v>21228182</v>
      </c>
      <c r="N95" s="126">
        <v>24654578</v>
      </c>
      <c r="O95" s="126">
        <v>34699361</v>
      </c>
    </row>
    <row r="96" spans="2:16">
      <c r="B96" s="315"/>
      <c r="C96" s="318" t="s">
        <v>219</v>
      </c>
      <c r="D96" s="319"/>
      <c r="E96" s="319"/>
      <c r="F96" s="319"/>
      <c r="G96" s="126">
        <v>2010714</v>
      </c>
      <c r="H96" s="126">
        <v>9549124</v>
      </c>
      <c r="I96" s="126">
        <v>12994499.640000001</v>
      </c>
      <c r="J96" s="126">
        <v>13507491.640000001</v>
      </c>
      <c r="K96" s="126">
        <v>14702441.640000001</v>
      </c>
      <c r="L96" s="126">
        <v>16979008</v>
      </c>
      <c r="M96" s="126">
        <v>17795772.640000001</v>
      </c>
      <c r="N96" s="126">
        <v>18071052.640000001</v>
      </c>
      <c r="O96" s="126">
        <v>19397703.640000001</v>
      </c>
    </row>
    <row r="97" spans="2:16">
      <c r="B97" s="324"/>
      <c r="C97" s="324"/>
      <c r="D97" s="325"/>
      <c r="E97" s="325"/>
      <c r="F97" s="325"/>
      <c r="G97" s="126"/>
      <c r="H97" s="126"/>
      <c r="I97" s="126"/>
      <c r="J97" s="126"/>
      <c r="K97" s="126"/>
      <c r="L97" s="126"/>
      <c r="M97" s="365"/>
      <c r="N97" s="365"/>
      <c r="O97" s="365"/>
    </row>
    <row r="98" spans="2:16">
      <c r="B98" s="326" t="s">
        <v>32</v>
      </c>
      <c r="C98" s="326"/>
      <c r="D98" s="327">
        <f t="shared" ref="D98:N98" si="28">+D69+D83</f>
        <v>36003092.439999998</v>
      </c>
      <c r="E98" s="327">
        <f t="shared" si="28"/>
        <v>81150983.900000006</v>
      </c>
      <c r="F98" s="327">
        <f t="shared" si="28"/>
        <v>133198667.38999999</v>
      </c>
      <c r="G98" s="313">
        <f t="shared" si="28"/>
        <v>53710674.810000002</v>
      </c>
      <c r="H98" s="313">
        <f t="shared" si="28"/>
        <v>136071027.18000001</v>
      </c>
      <c r="I98" s="313">
        <f t="shared" si="28"/>
        <v>236033610.10000002</v>
      </c>
      <c r="J98" s="313">
        <f t="shared" si="28"/>
        <v>312263998.06</v>
      </c>
      <c r="K98" s="313">
        <f t="shared" si="28"/>
        <v>405665416.30000001</v>
      </c>
      <c r="L98" s="313">
        <f t="shared" si="28"/>
        <v>485865303.81999969</v>
      </c>
      <c r="M98" s="313">
        <f t="shared" si="28"/>
        <v>560094062.03999996</v>
      </c>
      <c r="N98" s="313">
        <f t="shared" si="28"/>
        <v>636483300.23000002</v>
      </c>
      <c r="O98" s="313">
        <f t="shared" ref="O98" si="29">+O69+O83</f>
        <v>729511737.63999999</v>
      </c>
    </row>
    <row r="99" spans="2:16">
      <c r="B99" s="324"/>
      <c r="C99" s="324"/>
      <c r="D99" s="328"/>
      <c r="E99" s="328"/>
      <c r="F99" s="328"/>
      <c r="G99" s="126"/>
      <c r="H99" s="126"/>
      <c r="I99" s="126"/>
      <c r="J99" s="126"/>
      <c r="K99" s="126"/>
      <c r="L99" s="126"/>
      <c r="M99" s="126"/>
      <c r="N99" s="126"/>
      <c r="O99" s="126"/>
    </row>
    <row r="100" spans="2:16">
      <c r="B100" s="314" t="s">
        <v>29</v>
      </c>
      <c r="C100" s="314"/>
      <c r="D100" s="329">
        <f t="shared" ref="D100:N100" si="30">+D65-D98</f>
        <v>14286627.409999996</v>
      </c>
      <c r="E100" s="329">
        <f t="shared" si="30"/>
        <v>56076334.769999981</v>
      </c>
      <c r="F100" s="329">
        <f t="shared" si="30"/>
        <v>56372517.850000083</v>
      </c>
      <c r="G100" s="313">
        <f t="shared" si="30"/>
        <v>3180001.7300000042</v>
      </c>
      <c r="H100" s="313">
        <f t="shared" si="30"/>
        <v>-62012856.390000001</v>
      </c>
      <c r="I100" s="313">
        <f t="shared" si="30"/>
        <v>-49938430.620000005</v>
      </c>
      <c r="J100" s="313">
        <f t="shared" si="30"/>
        <v>-18301457.399999976</v>
      </c>
      <c r="K100" s="313">
        <f t="shared" si="30"/>
        <v>-46566198.610000014</v>
      </c>
      <c r="L100" s="313">
        <f t="shared" si="30"/>
        <v>-49444778.739999652</v>
      </c>
      <c r="M100" s="313">
        <f t="shared" si="30"/>
        <v>-37922665.039999962</v>
      </c>
      <c r="N100" s="313">
        <f t="shared" si="30"/>
        <v>-5560301.2699999809</v>
      </c>
      <c r="O100" s="313">
        <f t="shared" ref="O100" si="31">+O65-O98</f>
        <v>30850985.360000014</v>
      </c>
    </row>
    <row r="101" spans="2:16">
      <c r="B101" s="315"/>
      <c r="C101" s="315"/>
      <c r="D101" s="330"/>
      <c r="E101" s="330"/>
      <c r="F101" s="330"/>
      <c r="G101" s="313"/>
      <c r="H101" s="313"/>
      <c r="I101" s="313"/>
      <c r="J101" s="313"/>
      <c r="K101" s="313"/>
      <c r="L101" s="365"/>
      <c r="M101" s="365"/>
      <c r="N101" s="365"/>
      <c r="O101" s="365"/>
    </row>
    <row r="102" spans="2:16">
      <c r="B102" s="314" t="s">
        <v>39</v>
      </c>
      <c r="C102" s="314"/>
      <c r="D102" s="327">
        <v>0</v>
      </c>
      <c r="E102" s="327">
        <v>12</v>
      </c>
      <c r="F102" s="327">
        <v>499.16</v>
      </c>
      <c r="G102" s="126">
        <v>3376158</v>
      </c>
      <c r="H102" s="126">
        <f>4353474.1+12000</f>
        <v>4365474.0999999996</v>
      </c>
      <c r="I102" s="126">
        <v>7989730.0999999996</v>
      </c>
      <c r="J102" s="126">
        <v>10345559.1</v>
      </c>
      <c r="K102" s="126">
        <v>12469879.9</v>
      </c>
      <c r="L102" s="126">
        <v>19249357</v>
      </c>
      <c r="M102" s="295">
        <v>21233818.899999999</v>
      </c>
      <c r="N102" s="295">
        <v>23004603</v>
      </c>
      <c r="O102" s="295">
        <v>24557678</v>
      </c>
    </row>
    <row r="103" spans="2:16">
      <c r="B103" s="315"/>
      <c r="C103" s="315"/>
      <c r="D103" s="330"/>
      <c r="E103" s="330"/>
      <c r="F103" s="330"/>
      <c r="G103" s="126"/>
      <c r="H103" s="126"/>
      <c r="I103" s="126"/>
      <c r="J103" s="126"/>
      <c r="K103" s="126"/>
      <c r="L103" s="126"/>
      <c r="M103" s="126"/>
      <c r="N103" s="126"/>
      <c r="O103" s="126"/>
    </row>
    <row r="104" spans="2:16">
      <c r="B104" s="314" t="s">
        <v>33</v>
      </c>
      <c r="C104" s="314"/>
      <c r="D104" s="327">
        <v>585601</v>
      </c>
      <c r="E104" s="327">
        <v>1423641.76</v>
      </c>
      <c r="F104" s="327">
        <v>2525674.4900000002</v>
      </c>
      <c r="G104" s="126">
        <v>895207</v>
      </c>
      <c r="H104" s="126">
        <v>2123282</v>
      </c>
      <c r="I104" s="126">
        <v>3828081</v>
      </c>
      <c r="J104" s="126">
        <v>4662952</v>
      </c>
      <c r="K104" s="126">
        <v>6284473</v>
      </c>
      <c r="L104" s="126">
        <v>7558640</v>
      </c>
      <c r="M104" s="295">
        <v>9446715</v>
      </c>
      <c r="N104" s="295">
        <v>10533197</v>
      </c>
      <c r="O104" s="295">
        <v>13083658</v>
      </c>
    </row>
    <row r="105" spans="2:16">
      <c r="B105" s="315"/>
      <c r="C105" s="315"/>
      <c r="D105" s="330"/>
      <c r="E105" s="330"/>
      <c r="F105" s="330"/>
      <c r="G105" s="313"/>
      <c r="H105" s="313"/>
      <c r="I105" s="313"/>
      <c r="J105" s="313"/>
      <c r="K105" s="313"/>
      <c r="L105" s="365"/>
      <c r="M105" s="365"/>
      <c r="N105" s="365"/>
      <c r="O105" s="365"/>
    </row>
    <row r="106" spans="2:16">
      <c r="B106" s="314" t="s">
        <v>34</v>
      </c>
      <c r="C106" s="314"/>
      <c r="D106" s="327">
        <f>+D104</f>
        <v>585601</v>
      </c>
      <c r="E106" s="327">
        <f t="shared" ref="E106:F106" si="32">+E104</f>
        <v>1423641.76</v>
      </c>
      <c r="F106" s="327">
        <f t="shared" si="32"/>
        <v>2525674.4900000002</v>
      </c>
      <c r="G106" s="313">
        <f>+G104</f>
        <v>895207</v>
      </c>
      <c r="H106" s="313">
        <f>+H104</f>
        <v>2123282</v>
      </c>
      <c r="I106" s="313">
        <f>+I104</f>
        <v>3828081</v>
      </c>
      <c r="J106" s="313">
        <f>+J104</f>
        <v>4662952</v>
      </c>
      <c r="K106" s="313">
        <f>+K104</f>
        <v>6284473</v>
      </c>
      <c r="L106" s="313">
        <f t="shared" ref="L106:N106" si="33">+L104</f>
        <v>7558640</v>
      </c>
      <c r="M106" s="313">
        <f t="shared" si="33"/>
        <v>9446715</v>
      </c>
      <c r="N106" s="313">
        <f t="shared" si="33"/>
        <v>10533197</v>
      </c>
      <c r="O106" s="313">
        <f t="shared" ref="O106" si="34">+O104</f>
        <v>13083658</v>
      </c>
    </row>
    <row r="107" spans="2:16">
      <c r="B107" s="318"/>
      <c r="C107" s="318"/>
      <c r="D107" s="331"/>
      <c r="E107" s="331"/>
      <c r="F107" s="331"/>
      <c r="G107" s="126"/>
      <c r="H107" s="126"/>
      <c r="I107" s="126"/>
      <c r="J107" s="126"/>
      <c r="K107" s="126"/>
      <c r="L107" s="126"/>
      <c r="M107" s="126"/>
      <c r="N107" s="126"/>
      <c r="O107" s="126"/>
    </row>
    <row r="108" spans="2:16">
      <c r="B108" s="314" t="s">
        <v>45</v>
      </c>
      <c r="C108" s="314"/>
      <c r="D108" s="329">
        <f>+D100-D106+D102</f>
        <v>13701026.409999996</v>
      </c>
      <c r="E108" s="329">
        <f t="shared" ref="E108:F108" si="35">+E100-E106+E102</f>
        <v>54652705.009999983</v>
      </c>
      <c r="F108" s="329">
        <f t="shared" si="35"/>
        <v>53847342.520000078</v>
      </c>
      <c r="G108" s="313">
        <f>+G100-G106+G102</f>
        <v>5660952.7300000042</v>
      </c>
      <c r="H108" s="313">
        <f>+H100-H106+H102</f>
        <v>-59770664.289999999</v>
      </c>
      <c r="I108" s="313">
        <f>+I100-I106+I102</f>
        <v>-45776781.520000003</v>
      </c>
      <c r="J108" s="313">
        <f>+J100-J106+J102</f>
        <v>-12618850.299999977</v>
      </c>
      <c r="K108" s="313">
        <f t="shared" ref="K108" si="36">+K100-K106+K102</f>
        <v>-40380791.710000016</v>
      </c>
      <c r="L108" s="313">
        <f>+L100-L106+L102</f>
        <v>-37754061.739999652</v>
      </c>
      <c r="M108" s="313">
        <f t="shared" ref="M108" si="37">+M100-M106+M102</f>
        <v>-26135561.139999963</v>
      </c>
      <c r="N108" s="313">
        <f>+N100-N106+N102</f>
        <v>6911104.7300000191</v>
      </c>
      <c r="O108" s="313">
        <f>+O100-O106+O102</f>
        <v>42325005.360000014</v>
      </c>
    </row>
    <row r="109" spans="2:16">
      <c r="B109" s="1"/>
      <c r="C109" s="1"/>
      <c r="D109" s="1"/>
      <c r="E109" s="1"/>
      <c r="F109" s="1"/>
      <c r="G109" s="371"/>
      <c r="H109" s="371"/>
      <c r="I109" s="371"/>
      <c r="J109" s="371"/>
      <c r="K109" s="371"/>
      <c r="L109" s="371"/>
      <c r="M109" s="371"/>
      <c r="N109" s="371"/>
      <c r="O109" s="371"/>
    </row>
    <row r="110" spans="2:16">
      <c r="B110" s="314" t="s">
        <v>46</v>
      </c>
      <c r="C110" s="314"/>
      <c r="D110" s="314">
        <v>0</v>
      </c>
      <c r="E110" s="314">
        <v>0</v>
      </c>
      <c r="F110" s="314">
        <v>0</v>
      </c>
      <c r="G110" s="126">
        <v>0</v>
      </c>
      <c r="H110" s="126">
        <v>0</v>
      </c>
      <c r="I110" s="126">
        <v>0</v>
      </c>
      <c r="J110" s="126">
        <v>695000</v>
      </c>
      <c r="K110" s="126">
        <v>695000</v>
      </c>
      <c r="L110" s="126">
        <v>695000</v>
      </c>
      <c r="M110" s="295">
        <v>695000</v>
      </c>
      <c r="N110" s="295">
        <f>+M110</f>
        <v>695000</v>
      </c>
      <c r="O110" s="295">
        <f>+N110</f>
        <v>695000</v>
      </c>
    </row>
    <row r="111" spans="2:16">
      <c r="B111" s="318"/>
      <c r="C111" s="318"/>
      <c r="D111" s="318"/>
      <c r="E111" s="318"/>
      <c r="F111" s="318"/>
      <c r="G111" s="126"/>
      <c r="H111" s="126"/>
      <c r="I111" s="126"/>
      <c r="J111" s="126"/>
      <c r="K111" s="126"/>
      <c r="L111" s="126"/>
      <c r="M111" s="126"/>
      <c r="N111" s="126"/>
      <c r="O111" s="126"/>
    </row>
    <row r="112" spans="2:16">
      <c r="B112" s="314" t="s">
        <v>6</v>
      </c>
      <c r="C112" s="314"/>
      <c r="D112" s="329">
        <f t="shared" ref="D112:F112" si="38">+D108-D110</f>
        <v>13701026.409999996</v>
      </c>
      <c r="E112" s="329">
        <f>+E108-E110</f>
        <v>54652705.009999983</v>
      </c>
      <c r="F112" s="329">
        <f t="shared" si="38"/>
        <v>53847342.520000078</v>
      </c>
      <c r="G112" s="313">
        <f>+G108-G110</f>
        <v>5660952.7300000042</v>
      </c>
      <c r="H112" s="313">
        <f>+H108-H110</f>
        <v>-59770664.289999999</v>
      </c>
      <c r="I112" s="313">
        <f t="shared" ref="I112:K112" si="39">+I108-I110</f>
        <v>-45776781.520000003</v>
      </c>
      <c r="J112" s="313">
        <f t="shared" si="39"/>
        <v>-13313850.299999977</v>
      </c>
      <c r="K112" s="313">
        <f t="shared" si="39"/>
        <v>-41075791.710000016</v>
      </c>
      <c r="L112" s="313">
        <f>+L108-L110</f>
        <v>-38449061.739999652</v>
      </c>
      <c r="M112" s="313">
        <f>+M108-M110</f>
        <v>-26830561.139999963</v>
      </c>
      <c r="N112" s="313">
        <f>+N108-N110</f>
        <v>6216104.7300000191</v>
      </c>
      <c r="O112" s="313">
        <f>+O108-O110</f>
        <v>41630005.360000014</v>
      </c>
      <c r="P112" s="158"/>
    </row>
    <row r="113" spans="4:15">
      <c r="J113" s="332"/>
    </row>
    <row r="114" spans="4:15">
      <c r="D114" s="55"/>
      <c r="E114" s="333"/>
      <c r="F114" s="333"/>
      <c r="G114" s="332"/>
      <c r="H114" s="332"/>
      <c r="I114" s="332"/>
      <c r="J114" s="332"/>
      <c r="K114" s="332"/>
      <c r="L114" s="332"/>
      <c r="M114" s="332"/>
      <c r="N114" s="332"/>
      <c r="O114" s="332"/>
    </row>
    <row r="115" spans="4:15">
      <c r="D115" s="334"/>
      <c r="H115" s="332"/>
      <c r="K115" s="332"/>
    </row>
    <row r="116" spans="4:15">
      <c r="K116" s="332"/>
      <c r="L116" s="332"/>
      <c r="M116" s="332"/>
      <c r="N116" s="332"/>
      <c r="O116" s="332"/>
    </row>
    <row r="117" spans="4:15">
      <c r="L117" s="332"/>
    </row>
  </sheetData>
  <phoneticPr fontId="3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V283"/>
  <sheetViews>
    <sheetView workbookViewId="0">
      <pane xSplit="4" ySplit="6" topLeftCell="L203" activePane="bottomRight" state="frozen"/>
      <selection activeCell="A4" sqref="A4"/>
      <selection pane="topRight" activeCell="E4" sqref="E4"/>
      <selection pane="bottomLeft" activeCell="A7" sqref="A7"/>
      <selection pane="bottomRight" activeCell="V224" sqref="V224"/>
    </sheetView>
  </sheetViews>
  <sheetFormatPr baseColWidth="10" defaultColWidth="11.42578125" defaultRowHeight="15" customHeight="1"/>
  <cols>
    <col min="1" max="1" width="1.85546875" style="167" customWidth="1"/>
    <col min="2" max="2" width="8" style="167" hidden="1" customWidth="1"/>
    <col min="3" max="3" width="1.42578125" style="167" hidden="1" customWidth="1"/>
    <col min="4" max="4" width="36.140625" style="270" customWidth="1"/>
    <col min="5" max="5" width="1.85546875" style="168" customWidth="1"/>
    <col min="6" max="6" width="18.140625" style="167" hidden="1" customWidth="1"/>
    <col min="7" max="7" width="17.7109375" style="167" hidden="1" customWidth="1"/>
    <col min="8" max="9" width="15.42578125" style="167" hidden="1" customWidth="1"/>
    <col min="10" max="10" width="16.5703125" style="271" bestFit="1" customWidth="1"/>
    <col min="11" max="11" width="17.28515625" style="167" bestFit="1" customWidth="1"/>
    <col min="12" max="12" width="16.5703125" style="167" bestFit="1" customWidth="1"/>
    <col min="13" max="14" width="15.42578125" style="167" bestFit="1" customWidth="1"/>
    <col min="15" max="15" width="15.42578125" style="167" customWidth="1"/>
    <col min="16" max="16" width="15.85546875" style="167" customWidth="1"/>
    <col min="17" max="18" width="17.28515625" style="167" customWidth="1"/>
    <col min="19" max="19" width="14.7109375" style="167" hidden="1" customWidth="1"/>
    <col min="20" max="20" width="17.28515625" style="167" hidden="1" customWidth="1"/>
    <col min="21" max="21" width="3.7109375" style="167" hidden="1" customWidth="1"/>
    <col min="22" max="22" width="1.85546875" style="168" customWidth="1"/>
    <col min="23" max="23" width="14.7109375" style="167" hidden="1" customWidth="1"/>
    <col min="24" max="24" width="6.28515625" style="168" customWidth="1"/>
    <col min="25" max="25" width="15.7109375" style="167" hidden="1" customWidth="1"/>
    <col min="26" max="26" width="11.42578125" style="166" hidden="1" customWidth="1"/>
    <col min="27" max="32" width="11.42578125" style="167" customWidth="1"/>
    <col min="33" max="16384" width="11.42578125" style="167"/>
  </cols>
  <sheetData>
    <row r="1" spans="4:26" ht="15" hidden="1" customHeight="1">
      <c r="D1" s="380" t="s">
        <v>47</v>
      </c>
      <c r="E1" s="161"/>
      <c r="F1" s="162">
        <v>1</v>
      </c>
      <c r="G1" s="162">
        <v>2</v>
      </c>
      <c r="H1" s="162">
        <v>3</v>
      </c>
      <c r="I1" s="163">
        <v>4</v>
      </c>
      <c r="J1" s="164">
        <v>1</v>
      </c>
      <c r="K1" s="162">
        <f t="shared" ref="K1:U1" si="0">1+J1</f>
        <v>2</v>
      </c>
      <c r="L1" s="162">
        <f t="shared" si="0"/>
        <v>3</v>
      </c>
      <c r="M1" s="162">
        <f t="shared" si="0"/>
        <v>4</v>
      </c>
      <c r="N1" s="162">
        <f t="shared" si="0"/>
        <v>5</v>
      </c>
      <c r="O1" s="162">
        <f t="shared" si="0"/>
        <v>6</v>
      </c>
      <c r="P1" s="162">
        <f t="shared" si="0"/>
        <v>7</v>
      </c>
      <c r="Q1" s="162">
        <f t="shared" si="0"/>
        <v>8</v>
      </c>
      <c r="R1" s="162">
        <f t="shared" si="0"/>
        <v>9</v>
      </c>
      <c r="S1" s="162">
        <f t="shared" si="0"/>
        <v>10</v>
      </c>
      <c r="T1" s="162">
        <f t="shared" si="0"/>
        <v>11</v>
      </c>
      <c r="U1" s="163">
        <f t="shared" si="0"/>
        <v>12</v>
      </c>
      <c r="V1" s="161"/>
      <c r="W1" s="162" t="e">
        <f>#REF!</f>
        <v>#REF!</v>
      </c>
      <c r="X1" s="161"/>
      <c r="Y1" s="165">
        <f>N1</f>
        <v>5</v>
      </c>
    </row>
    <row r="2" spans="4:26" ht="15" hidden="1" customHeight="1">
      <c r="D2" s="381"/>
      <c r="F2" s="162">
        <v>30</v>
      </c>
      <c r="G2" s="162">
        <v>31</v>
      </c>
      <c r="H2" s="162">
        <v>30</v>
      </c>
      <c r="I2" s="163">
        <v>31</v>
      </c>
      <c r="J2" s="164">
        <v>31</v>
      </c>
      <c r="K2" s="162">
        <v>28</v>
      </c>
      <c r="L2" s="162">
        <v>31</v>
      </c>
      <c r="M2" s="162">
        <v>30</v>
      </c>
      <c r="N2" s="162">
        <v>31</v>
      </c>
      <c r="O2" s="162">
        <v>30</v>
      </c>
      <c r="P2" s="162">
        <v>31</v>
      </c>
      <c r="Q2" s="162">
        <v>31</v>
      </c>
      <c r="R2" s="162">
        <v>30</v>
      </c>
      <c r="S2" s="162">
        <v>31</v>
      </c>
      <c r="T2" s="162">
        <v>30</v>
      </c>
      <c r="U2" s="163">
        <v>31</v>
      </c>
      <c r="W2" s="162" t="e">
        <f>#REF!</f>
        <v>#REF!</v>
      </c>
      <c r="Y2" s="165">
        <f>N2</f>
        <v>31</v>
      </c>
    </row>
    <row r="3" spans="4:26" ht="15" hidden="1" customHeight="1">
      <c r="D3" s="382"/>
      <c r="F3" s="162">
        <f>F2</f>
        <v>30</v>
      </c>
      <c r="G3" s="162">
        <f t="shared" ref="G3:I3" si="1">F3+G2</f>
        <v>61</v>
      </c>
      <c r="H3" s="162">
        <f t="shared" si="1"/>
        <v>91</v>
      </c>
      <c r="I3" s="163">
        <f t="shared" si="1"/>
        <v>122</v>
      </c>
      <c r="J3" s="164">
        <f>J2</f>
        <v>31</v>
      </c>
      <c r="K3" s="162">
        <f>J3+K2</f>
        <v>59</v>
      </c>
      <c r="L3" s="162">
        <f t="shared" ref="L3:U3" si="2">K3+L2</f>
        <v>90</v>
      </c>
      <c r="M3" s="162">
        <f t="shared" si="2"/>
        <v>120</v>
      </c>
      <c r="N3" s="162">
        <f t="shared" si="2"/>
        <v>151</v>
      </c>
      <c r="O3" s="162">
        <f t="shared" si="2"/>
        <v>181</v>
      </c>
      <c r="P3" s="162">
        <f t="shared" si="2"/>
        <v>212</v>
      </c>
      <c r="Q3" s="162">
        <f t="shared" si="2"/>
        <v>243</v>
      </c>
      <c r="R3" s="162">
        <f t="shared" si="2"/>
        <v>273</v>
      </c>
      <c r="S3" s="162">
        <f t="shared" si="2"/>
        <v>304</v>
      </c>
      <c r="T3" s="162">
        <f t="shared" si="2"/>
        <v>334</v>
      </c>
      <c r="U3" s="163">
        <f t="shared" si="2"/>
        <v>365</v>
      </c>
      <c r="W3" s="162" t="e">
        <f>#REF!</f>
        <v>#REF!</v>
      </c>
      <c r="Y3" s="165">
        <f>N3</f>
        <v>151</v>
      </c>
    </row>
    <row r="4" spans="4:26" s="173" customFormat="1" ht="15" customHeight="1">
      <c r="D4" s="169"/>
      <c r="E4" s="17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2"/>
      <c r="V4" s="170"/>
      <c r="W4" s="171"/>
      <c r="X4" s="170"/>
      <c r="Y4" s="171"/>
    </row>
    <row r="5" spans="4:26" ht="15" customHeight="1">
      <c r="D5" s="174" t="s">
        <v>180</v>
      </c>
      <c r="F5" s="383" t="s">
        <v>182</v>
      </c>
      <c r="G5" s="383"/>
      <c r="H5" s="383"/>
      <c r="I5" s="383"/>
      <c r="J5" s="384" t="s">
        <v>265</v>
      </c>
      <c r="K5" s="384"/>
      <c r="L5" s="384"/>
      <c r="M5" s="384"/>
      <c r="N5" s="384"/>
      <c r="O5" s="384"/>
      <c r="P5" s="384" t="s">
        <v>265</v>
      </c>
      <c r="Q5" s="384"/>
      <c r="R5" s="384"/>
      <c r="S5" s="384"/>
      <c r="T5" s="384"/>
      <c r="U5" s="384"/>
      <c r="W5" s="175" t="s">
        <v>49</v>
      </c>
      <c r="Y5" s="176" t="s">
        <v>50</v>
      </c>
    </row>
    <row r="6" spans="4:26" ht="15" customHeight="1">
      <c r="D6" s="174" t="s">
        <v>51</v>
      </c>
      <c r="F6" s="177">
        <v>41518</v>
      </c>
      <c r="G6" s="177">
        <v>41548</v>
      </c>
      <c r="H6" s="177">
        <v>41579</v>
      </c>
      <c r="I6" s="177">
        <v>41609</v>
      </c>
      <c r="J6" s="178">
        <v>42005</v>
      </c>
      <c r="K6" s="178">
        <v>42036</v>
      </c>
      <c r="L6" s="178">
        <v>42064</v>
      </c>
      <c r="M6" s="178">
        <v>42095</v>
      </c>
      <c r="N6" s="178">
        <v>42125</v>
      </c>
      <c r="O6" s="178">
        <v>42156</v>
      </c>
      <c r="P6" s="178">
        <v>42186</v>
      </c>
      <c r="Q6" s="178">
        <v>42217</v>
      </c>
      <c r="R6" s="178">
        <v>42248</v>
      </c>
      <c r="S6" s="178">
        <v>42278</v>
      </c>
      <c r="T6" s="178">
        <v>42309</v>
      </c>
      <c r="U6" s="178">
        <v>42339</v>
      </c>
      <c r="V6" s="178">
        <v>42370</v>
      </c>
      <c r="W6" s="177">
        <v>41639</v>
      </c>
      <c r="Y6" s="178">
        <v>41639</v>
      </c>
    </row>
    <row r="7" spans="4:26" s="182" customFormat="1" ht="15" customHeight="1">
      <c r="D7" s="179"/>
      <c r="E7" s="180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0"/>
      <c r="W7" s="181"/>
      <c r="X7" s="180"/>
      <c r="Y7" s="181"/>
    </row>
    <row r="8" spans="4:26" ht="15" customHeight="1">
      <c r="D8" s="183" t="s">
        <v>52</v>
      </c>
      <c r="F8" s="184">
        <f>'CIFRAS EEFF'!D6</f>
        <v>573242</v>
      </c>
      <c r="G8" s="184">
        <f>'CIFRAS EEFF'!E6</f>
        <v>6982548.2000000002</v>
      </c>
      <c r="H8" s="184">
        <f>'CIFRAS EEFF'!F6</f>
        <v>16528738</v>
      </c>
      <c r="I8" s="184" t="e">
        <f>'CIFRAS EEFF'!#REF!</f>
        <v>#REF!</v>
      </c>
      <c r="J8" s="184">
        <f>'CIFRAS EEFF'!G6</f>
        <v>87461479.340000004</v>
      </c>
      <c r="K8" s="184">
        <f>'CIFRAS EEFF'!H6</f>
        <v>98946065.340000004</v>
      </c>
      <c r="L8" s="184">
        <f>'CIFRAS EEFF'!I6</f>
        <v>77506989.340000004</v>
      </c>
      <c r="M8" s="184">
        <f>'CIFRAS EEFF'!J6</f>
        <v>21026092.010000002</v>
      </c>
      <c r="N8" s="184">
        <f>'CIFRAS EEFF'!K6</f>
        <v>22494821</v>
      </c>
      <c r="O8" s="184">
        <f>'CIFRAS EEFF'!L6</f>
        <v>20779401</v>
      </c>
      <c r="P8" s="184">
        <f>'CIFRAS EEFF'!M6</f>
        <v>43224951</v>
      </c>
      <c r="Q8" s="184">
        <f>'CIFRAS EEFF'!N6</f>
        <v>40695911.560000002</v>
      </c>
      <c r="R8" s="184">
        <f>'CIFRAS EEFF'!O6</f>
        <v>33050230</v>
      </c>
      <c r="S8" s="184" t="e">
        <f>'CIFRAS EEFF'!#REF!</f>
        <v>#REF!</v>
      </c>
      <c r="T8" s="184" t="e">
        <f>'CIFRAS EEFF'!#REF!</f>
        <v>#REF!</v>
      </c>
      <c r="U8" s="184" t="e">
        <f>'CIFRAS EEFF'!#REF!</f>
        <v>#REF!</v>
      </c>
      <c r="W8" s="184" t="e">
        <f>I8</f>
        <v>#REF!</v>
      </c>
      <c r="Y8" s="184">
        <f>N8</f>
        <v>22494821</v>
      </c>
    </row>
    <row r="9" spans="4:26" ht="15" customHeight="1">
      <c r="D9" s="183" t="s">
        <v>53</v>
      </c>
      <c r="F9" s="184">
        <f>+'CIFRAS EEFF'!D7</f>
        <v>169275243.46000001</v>
      </c>
      <c r="G9" s="184">
        <f>+'CIFRAS EEFF'!E7</f>
        <v>329829598.18000001</v>
      </c>
      <c r="H9" s="184">
        <f>+'CIFRAS EEFF'!F7</f>
        <v>336518375.01999998</v>
      </c>
      <c r="I9" s="184" t="e">
        <f>+'CIFRAS EEFF'!#REF!</f>
        <v>#REF!</v>
      </c>
      <c r="J9" s="184">
        <f>+'CIFRAS EEFF'!G8+'CIFRAS EEFF'!G9</f>
        <v>481050912.56999999</v>
      </c>
      <c r="K9" s="184">
        <f>+'CIFRAS EEFF'!H8+'CIFRAS EEFF'!H9</f>
        <v>317290981.66999996</v>
      </c>
      <c r="L9" s="184">
        <f>+'CIFRAS EEFF'!I8+'CIFRAS EEFF'!I9</f>
        <v>577065563.67000008</v>
      </c>
      <c r="M9" s="184">
        <f>+'CIFRAS EEFF'!J8+'CIFRAS EEFF'!J9</f>
        <v>638927300.54999995</v>
      </c>
      <c r="N9" s="184">
        <f>+'CIFRAS EEFF'!K8+'CIFRAS EEFF'!K9</f>
        <v>598091821.54999995</v>
      </c>
      <c r="O9" s="184">
        <f>+'CIFRAS EEFF'!L8+'CIFRAS EEFF'!L9</f>
        <v>701839570</v>
      </c>
      <c r="P9" s="184">
        <f>+'CIFRAS EEFF'!M8+'CIFRAS EEFF'!M9</f>
        <v>601006556</v>
      </c>
      <c r="Q9" s="184">
        <f>+'CIFRAS EEFF'!N8+'CIFRAS EEFF'!N9</f>
        <v>820478973</v>
      </c>
      <c r="R9" s="184">
        <f>+'CIFRAS EEFF'!O8+'CIFRAS EEFF'!O9</f>
        <v>722568502</v>
      </c>
      <c r="S9" s="184" t="e">
        <f>+'CIFRAS EEFF'!#REF!+'CIFRAS EEFF'!#REF!</f>
        <v>#REF!</v>
      </c>
      <c r="T9" s="184" t="e">
        <f>+'CIFRAS EEFF'!#REF!+'CIFRAS EEFF'!#REF!</f>
        <v>#REF!</v>
      </c>
      <c r="U9" s="184" t="e">
        <f>+'CIFRAS EEFF'!#REF!+'CIFRAS EEFF'!#REF!</f>
        <v>#REF!</v>
      </c>
      <c r="W9" s="184" t="e">
        <f>I9</f>
        <v>#REF!</v>
      </c>
      <c r="Y9" s="184">
        <f>N9</f>
        <v>598091821.54999995</v>
      </c>
    </row>
    <row r="10" spans="4:26" ht="15" customHeight="1">
      <c r="D10" s="183" t="s">
        <v>200</v>
      </c>
      <c r="F10" s="184">
        <v>0</v>
      </c>
      <c r="G10" s="184">
        <v>0</v>
      </c>
      <c r="H10" s="184">
        <v>0</v>
      </c>
      <c r="I10" s="184">
        <v>0</v>
      </c>
      <c r="J10" s="184">
        <f>+'CIFRAS EEFF'!G13+'CIFRAS EEFF'!G12+'CIFRAS EEFF'!G11+'CIFRAS EEFF'!G10</f>
        <v>19695679.620000001</v>
      </c>
      <c r="K10" s="184">
        <f>+'CIFRAS EEFF'!H13+'CIFRAS EEFF'!H12+'CIFRAS EEFF'!H11+'CIFRAS EEFF'!H10</f>
        <v>36099958.620000005</v>
      </c>
      <c r="L10" s="184">
        <f>+'CIFRAS EEFF'!I13+'CIFRAS EEFF'!I12+'CIFRAS EEFF'!I11+'CIFRAS EEFF'!I10</f>
        <v>40405702.620000005</v>
      </c>
      <c r="M10" s="184">
        <f>+'CIFRAS EEFF'!J13+'CIFRAS EEFF'!J12+'CIFRAS EEFF'!J11+'CIFRAS EEFF'!J10</f>
        <v>28460205.710000001</v>
      </c>
      <c r="N10" s="184">
        <f>+'CIFRAS EEFF'!K13+'CIFRAS EEFF'!K12+'CIFRAS EEFF'!K11+'CIFRAS EEFF'!K10</f>
        <v>17299872.710000001</v>
      </c>
      <c r="O10" s="184">
        <f>+'CIFRAS EEFF'!L13+'CIFRAS EEFF'!L12+'CIFRAS EEFF'!L11+'CIFRAS EEFF'!L10</f>
        <v>19647874.870000001</v>
      </c>
      <c r="P10" s="184">
        <f>+'CIFRAS EEFF'!M13+'CIFRAS EEFF'!M12+'CIFRAS EEFF'!M11+'CIFRAS EEFF'!M10</f>
        <v>29029257.199999999</v>
      </c>
      <c r="Q10" s="184">
        <f>+'CIFRAS EEFF'!N13+'CIFRAS EEFF'!N12+'CIFRAS EEFF'!N11+'CIFRAS EEFF'!N10</f>
        <v>24983799.170000002</v>
      </c>
      <c r="R10" s="184">
        <f>+'CIFRAS EEFF'!O13+'CIFRAS EEFF'!O12+'CIFRAS EEFF'!O11+'CIFRAS EEFF'!O10</f>
        <v>23328308</v>
      </c>
      <c r="S10" s="184" t="e">
        <f>+'CIFRAS EEFF'!#REF!+'CIFRAS EEFF'!#REF!+'CIFRAS EEFF'!#REF!+'CIFRAS EEFF'!#REF!</f>
        <v>#REF!</v>
      </c>
      <c r="T10" s="184" t="e">
        <f>+'CIFRAS EEFF'!#REF!+'CIFRAS EEFF'!#REF!+'CIFRAS EEFF'!#REF!+'CIFRAS EEFF'!#REF!</f>
        <v>#REF!</v>
      </c>
      <c r="U10" s="184" t="e">
        <f>+'CIFRAS EEFF'!#REF!+'CIFRAS EEFF'!#REF!+'CIFRAS EEFF'!#REF!+'CIFRAS EEFF'!#REF!</f>
        <v>#REF!</v>
      </c>
      <c r="W10" s="184">
        <f>I10</f>
        <v>0</v>
      </c>
      <c r="Y10" s="184">
        <f>N10</f>
        <v>17299872.710000001</v>
      </c>
    </row>
    <row r="11" spans="4:26" s="189" customFormat="1" ht="15" customHeight="1">
      <c r="D11" s="185" t="s">
        <v>54</v>
      </c>
      <c r="E11" s="186"/>
      <c r="F11" s="187">
        <f t="shared" ref="F11:I11" si="3">(F91/(F9+F17))*$U$1/F1</f>
        <v>10.340158491123992</v>
      </c>
      <c r="G11" s="187">
        <f t="shared" si="3"/>
        <v>4.2649442310884123</v>
      </c>
      <c r="H11" s="187">
        <f t="shared" si="3"/>
        <v>3.0918620736183069</v>
      </c>
      <c r="I11" s="187" t="e">
        <f t="shared" si="3"/>
        <v>#REF!</v>
      </c>
      <c r="J11" s="187">
        <f>(J91/(J9+J17))*$U$1/J1</f>
        <v>3.2017414285143428</v>
      </c>
      <c r="K11" s="187">
        <f t="shared" ref="K11:V11" si="4">(K91/(K9+K17))*$U$1/K1</f>
        <v>0.87853861629738272</v>
      </c>
      <c r="L11" s="187">
        <f t="shared" si="4"/>
        <v>2.1817241631835942</v>
      </c>
      <c r="M11" s="187">
        <f t="shared" si="4"/>
        <v>0.82638215419107919</v>
      </c>
      <c r="N11" s="187">
        <f t="shared" si="4"/>
        <v>0.78392200111501431</v>
      </c>
      <c r="O11" s="187">
        <f t="shared" si="4"/>
        <v>0.72552265185047915</v>
      </c>
      <c r="P11" s="187">
        <f t="shared" si="4"/>
        <v>0.7432938694456247</v>
      </c>
      <c r="Q11" s="187">
        <f>(Q91/(Q9+Q17))*$U$1/Q1</f>
        <v>0.6695144465329278</v>
      </c>
      <c r="R11" s="187">
        <f>(R91/(R9+R17))*$U$1/R1</f>
        <v>0.52311555276365107</v>
      </c>
      <c r="S11" s="187" t="e">
        <f t="shared" si="4"/>
        <v>#REF!</v>
      </c>
      <c r="T11" s="187" t="e">
        <f t="shared" si="4"/>
        <v>#REF!</v>
      </c>
      <c r="U11" s="187" t="e">
        <f t="shared" si="4"/>
        <v>#REF!</v>
      </c>
      <c r="V11" s="187" t="e">
        <f t="shared" si="4"/>
        <v>#DIV/0!</v>
      </c>
      <c r="W11" s="187" t="e">
        <f>(W91/(W9+W17))*$U$1/W1</f>
        <v>#REF!</v>
      </c>
      <c r="X11" s="186"/>
      <c r="Y11" s="187">
        <f>(Y91/(Y9+Y10+Y17))*$U$1/Y1</f>
        <v>0.76188440951221226</v>
      </c>
      <c r="Z11" s="188"/>
    </row>
    <row r="12" spans="4:26" s="189" customFormat="1" ht="15" customHeight="1">
      <c r="D12" s="185" t="s">
        <v>55</v>
      </c>
      <c r="E12" s="186"/>
      <c r="F12" s="187">
        <f t="shared" ref="F12:I12" si="5">(F9+F10+F17)/F94</f>
        <v>34.815713928275329</v>
      </c>
      <c r="G12" s="187">
        <f t="shared" si="5"/>
        <v>85.815893519103994</v>
      </c>
      <c r="H12" s="187">
        <f t="shared" si="5"/>
        <v>117.72840810263651</v>
      </c>
      <c r="I12" s="187" t="e">
        <f t="shared" si="5"/>
        <v>#REF!</v>
      </c>
      <c r="J12" s="187">
        <f>(J9+J17)/J94</f>
        <v>116.18677157593382</v>
      </c>
      <c r="K12" s="187">
        <f t="shared" ref="K12:U12" si="6">(K9+K17)/K94</f>
        <v>402.94187806102315</v>
      </c>
      <c r="L12" s="187">
        <f t="shared" si="6"/>
        <v>165.00711046564399</v>
      </c>
      <c r="M12" s="187">
        <f t="shared" si="6"/>
        <v>435.63380232042073</v>
      </c>
      <c r="N12" s="187">
        <f t="shared" si="6"/>
        <v>462.29089052806148</v>
      </c>
      <c r="O12" s="187">
        <f t="shared" si="6"/>
        <v>498.95065174974513</v>
      </c>
      <c r="P12" s="187">
        <f t="shared" si="6"/>
        <v>488.94331887821096</v>
      </c>
      <c r="Q12" s="187">
        <f>(Q9+Q17)/Q94</f>
        <v>544.42439873785952</v>
      </c>
      <c r="R12" s="187">
        <f>(R9+R17)/R94</f>
        <v>695.8309652178491</v>
      </c>
      <c r="S12" s="187" t="e">
        <f t="shared" si="6"/>
        <v>#REF!</v>
      </c>
      <c r="T12" s="187" t="e">
        <f t="shared" si="6"/>
        <v>#REF!</v>
      </c>
      <c r="U12" s="187" t="e">
        <f t="shared" si="6"/>
        <v>#REF!</v>
      </c>
      <c r="V12" s="186"/>
      <c r="W12" s="187" t="e">
        <f>(W9+W10+W17)/W94</f>
        <v>#REF!</v>
      </c>
      <c r="X12" s="186"/>
      <c r="Y12" s="187">
        <f>(Y9+Y10+Y17)/Y94</f>
        <v>475.66270614727813</v>
      </c>
      <c r="Z12" s="188"/>
    </row>
    <row r="13" spans="4:26" s="189" customFormat="1" ht="15" customHeight="1">
      <c r="D13" s="185" t="s">
        <v>56</v>
      </c>
      <c r="E13" s="186"/>
      <c r="F13" s="190">
        <f t="shared" ref="F13:U13" si="7">(F9+F10)/F$44</f>
        <v>0.39881671326987717</v>
      </c>
      <c r="G13" s="190">
        <f t="shared" si="7"/>
        <v>0.48193330613912988</v>
      </c>
      <c r="H13" s="190">
        <f t="shared" si="7"/>
        <v>0.52421621553542108</v>
      </c>
      <c r="I13" s="190" t="e">
        <f t="shared" si="7"/>
        <v>#REF!</v>
      </c>
      <c r="J13" s="190">
        <f>(J9+J10)/J$44</f>
        <v>0.69311569998461275</v>
      </c>
      <c r="K13" s="190">
        <f t="shared" si="7"/>
        <v>0.60336409970741001</v>
      </c>
      <c r="L13" s="190">
        <f t="shared" si="7"/>
        <v>0.72583714847116332</v>
      </c>
      <c r="M13" s="190">
        <f t="shared" si="7"/>
        <v>0.79143984411804147</v>
      </c>
      <c r="N13" s="190">
        <f t="shared" si="7"/>
        <v>0.76444790837926602</v>
      </c>
      <c r="O13" s="190">
        <f>(O9+O10)/O$44</f>
        <v>0.77761797396681842</v>
      </c>
      <c r="P13" s="190">
        <f t="shared" si="7"/>
        <v>0.74769702956821793</v>
      </c>
      <c r="Q13" s="190">
        <f>(Q9+Q10)/Q$44</f>
        <v>0.80603579234169387</v>
      </c>
      <c r="R13" s="190">
        <f>(R9+R10)/R$44</f>
        <v>0.79636974999831944</v>
      </c>
      <c r="S13" s="190" t="e">
        <f>(S9+S10)/S$44</f>
        <v>#REF!</v>
      </c>
      <c r="T13" s="190" t="e">
        <f t="shared" si="7"/>
        <v>#REF!</v>
      </c>
      <c r="U13" s="190" t="e">
        <f t="shared" si="7"/>
        <v>#REF!</v>
      </c>
      <c r="V13" s="186"/>
      <c r="W13" s="190" t="e">
        <f>(W9+W10)/W$44</f>
        <v>#REF!</v>
      </c>
      <c r="X13" s="186"/>
      <c r="Y13" s="190">
        <f>(Y9+Y10)/Y$44</f>
        <v>0.76444790837926602</v>
      </c>
      <c r="Z13" s="188"/>
    </row>
    <row r="14" spans="4:26" s="189" customFormat="1" ht="15" customHeight="1">
      <c r="D14" s="185" t="s">
        <v>57</v>
      </c>
      <c r="E14" s="186"/>
      <c r="F14" s="190">
        <f t="shared" ref="F14:U14" si="8">(F9+F10+F17)/F$45</f>
        <v>-108.24463108201509</v>
      </c>
      <c r="G14" s="190">
        <f t="shared" si="8"/>
        <v>3.0556187727829474</v>
      </c>
      <c r="H14" s="190">
        <f t="shared" si="8"/>
        <v>3.596580417370411</v>
      </c>
      <c r="I14" s="190" t="e">
        <f t="shared" si="8"/>
        <v>#REF!</v>
      </c>
      <c r="J14" s="190">
        <f>(J9+J17)/J$45</f>
        <v>0.9561672192171432</v>
      </c>
      <c r="K14" s="190">
        <f t="shared" si="8"/>
        <v>0.8683968864347088</v>
      </c>
      <c r="L14" s="190">
        <f t="shared" si="8"/>
        <v>1.1202959945055224</v>
      </c>
      <c r="M14" s="190">
        <f t="shared" si="8"/>
        <v>1.294530541942114</v>
      </c>
      <c r="N14" s="190">
        <f t="shared" si="8"/>
        <v>1.3795198085775038</v>
      </c>
      <c r="O14" s="190">
        <f t="shared" si="8"/>
        <v>1.7401030809236653</v>
      </c>
      <c r="P14" s="190">
        <f t="shared" si="8"/>
        <v>1.2676006426107502</v>
      </c>
      <c r="Q14" s="190">
        <f>(Q9+Q10+Q17)/Q$45</f>
        <v>1.6936607047246151</v>
      </c>
      <c r="R14" s="190">
        <f>(R9+R10+R17)/R$45</f>
        <v>1.4331252747655765</v>
      </c>
      <c r="S14" s="190" t="e">
        <f t="shared" ref="S14" si="9">(S9+S10+S17)/S$45</f>
        <v>#REF!</v>
      </c>
      <c r="T14" s="190" t="e">
        <f>(T9+T10+T17)/T$45</f>
        <v>#REF!</v>
      </c>
      <c r="U14" s="190" t="e">
        <f t="shared" si="8"/>
        <v>#REF!</v>
      </c>
      <c r="V14" s="186"/>
      <c r="W14" s="190" t="e">
        <f>(W9+W10+W17)/W$45</f>
        <v>#REF!</v>
      </c>
      <c r="X14" s="186"/>
      <c r="Y14" s="190">
        <f>(Y9+Y10+Y17)/Y$45</f>
        <v>1.3795198085775038</v>
      </c>
      <c r="Z14" s="188"/>
    </row>
    <row r="15" spans="4:26" s="189" customFormat="1" ht="15" customHeight="1">
      <c r="D15" s="185" t="s">
        <v>58</v>
      </c>
      <c r="E15" s="186"/>
      <c r="F15" s="190">
        <f>(F9+F10)/(F$91*$I$1/F1)</f>
        <v>0.29013094940229445</v>
      </c>
      <c r="G15" s="190">
        <f>(G9+G10)/(G$91*$I$1/G1)</f>
        <v>0.70340896327134417</v>
      </c>
      <c r="H15" s="190">
        <f>(H9+H10)/(H$91*$I$1/H1)</f>
        <v>0.97028907776898232</v>
      </c>
      <c r="I15" s="190" t="e">
        <f>(I9+I10)/(I$91*$I$1/I1)</f>
        <v>#REF!</v>
      </c>
      <c r="J15" s="190">
        <f>(J9)/(J$91*$U$1/J1)</f>
        <v>0.3123300311181017</v>
      </c>
      <c r="K15" s="190">
        <f t="shared" ref="K15:U15" si="10">(K9+K10)/(K$91*$U$1/K1)</f>
        <v>1.2677593651038961</v>
      </c>
      <c r="L15" s="190">
        <f t="shared" si="10"/>
        <v>0.49044662754175056</v>
      </c>
      <c r="M15" s="190">
        <f t="shared" si="10"/>
        <v>1.2639959921145099</v>
      </c>
      <c r="N15" s="190">
        <f t="shared" si="10"/>
        <v>1.3125350611127984</v>
      </c>
      <c r="O15" s="190">
        <f t="shared" si="10"/>
        <v>1.4169024507410839</v>
      </c>
      <c r="P15" s="190">
        <f t="shared" si="10"/>
        <v>1.4103453679353444</v>
      </c>
      <c r="Q15" s="190">
        <f>(Q9+Q10)/(Q$91*$U$1/Q1)</f>
        <v>1.5391008613754724</v>
      </c>
      <c r="R15" s="190">
        <f>(R9+R10)/(R$91*$U$1/R1)</f>
        <v>1.9733407830698408</v>
      </c>
      <c r="S15" s="190" t="e">
        <f t="shared" si="10"/>
        <v>#REF!</v>
      </c>
      <c r="T15" s="190" t="e">
        <f t="shared" si="10"/>
        <v>#REF!</v>
      </c>
      <c r="U15" s="190" t="e">
        <f t="shared" si="10"/>
        <v>#REF!</v>
      </c>
      <c r="V15" s="186"/>
      <c r="W15" s="190" t="e">
        <f>(W9+W10)/(W$91*$U$1/W1)</f>
        <v>#REF!</v>
      </c>
      <c r="X15" s="186"/>
      <c r="Y15" s="190">
        <f>(Y9+Y10)/(Y$91*$U$1/Y1)</f>
        <v>1.3125350611127984</v>
      </c>
      <c r="Z15" s="188"/>
    </row>
    <row r="16" spans="4:26" s="195" customFormat="1" ht="15" customHeight="1">
      <c r="D16" s="191" t="s">
        <v>59</v>
      </c>
      <c r="E16" s="192"/>
      <c r="F16" s="193">
        <f>F8+F9+F10</f>
        <v>169848485.46000001</v>
      </c>
      <c r="G16" s="193">
        <f t="shared" ref="G16:U16" si="11">G8+G9+G10</f>
        <v>336812146.38</v>
      </c>
      <c r="H16" s="193">
        <f t="shared" si="11"/>
        <v>353047113.01999998</v>
      </c>
      <c r="I16" s="193" t="e">
        <f t="shared" si="11"/>
        <v>#REF!</v>
      </c>
      <c r="J16" s="193">
        <f t="shared" si="11"/>
        <v>588208071.52999997</v>
      </c>
      <c r="K16" s="193">
        <f t="shared" si="11"/>
        <v>452337005.63</v>
      </c>
      <c r="L16" s="193">
        <f t="shared" si="11"/>
        <v>694978255.63000011</v>
      </c>
      <c r="M16" s="193">
        <f t="shared" si="11"/>
        <v>688413598.26999998</v>
      </c>
      <c r="N16" s="193">
        <f t="shared" si="11"/>
        <v>637886515.25999999</v>
      </c>
      <c r="O16" s="193">
        <f t="shared" si="11"/>
        <v>742266845.87</v>
      </c>
      <c r="P16" s="193">
        <f t="shared" si="11"/>
        <v>673260764.20000005</v>
      </c>
      <c r="Q16" s="193">
        <f>Q8+Q9+Q10</f>
        <v>886158683.7299999</v>
      </c>
      <c r="R16" s="193">
        <f>R8+R9+R10</f>
        <v>778947040</v>
      </c>
      <c r="S16" s="193" t="e">
        <f t="shared" si="11"/>
        <v>#REF!</v>
      </c>
      <c r="T16" s="193" t="e">
        <f t="shared" si="11"/>
        <v>#REF!</v>
      </c>
      <c r="U16" s="193" t="e">
        <f t="shared" si="11"/>
        <v>#REF!</v>
      </c>
      <c r="V16" s="192"/>
      <c r="W16" s="193" t="e">
        <f t="shared" ref="W16:Y16" si="12">W8+W9+W10</f>
        <v>#REF!</v>
      </c>
      <c r="X16" s="192"/>
      <c r="Y16" s="193">
        <f t="shared" si="12"/>
        <v>637886515.25999999</v>
      </c>
      <c r="Z16" s="194"/>
    </row>
    <row r="17" spans="4:26" s="195" customFormat="1" ht="15" customHeight="1">
      <c r="D17" s="183" t="s">
        <v>60</v>
      </c>
      <c r="E17" s="192"/>
      <c r="F17" s="184">
        <v>0</v>
      </c>
      <c r="G17" s="184">
        <v>0</v>
      </c>
      <c r="H17" s="184">
        <v>0</v>
      </c>
      <c r="I17" s="184">
        <v>0</v>
      </c>
      <c r="J17" s="184">
        <v>0</v>
      </c>
      <c r="K17" s="184">
        <v>0</v>
      </c>
      <c r="L17" s="184">
        <v>0</v>
      </c>
      <c r="M17" s="184">
        <v>0</v>
      </c>
      <c r="N17" s="184">
        <v>0</v>
      </c>
      <c r="O17" s="184">
        <v>0</v>
      </c>
      <c r="P17" s="184">
        <v>0</v>
      </c>
      <c r="Q17" s="184">
        <v>0</v>
      </c>
      <c r="R17" s="184">
        <v>0</v>
      </c>
      <c r="S17" s="184">
        <v>0</v>
      </c>
      <c r="T17" s="184">
        <v>0</v>
      </c>
      <c r="U17" s="184">
        <v>0</v>
      </c>
      <c r="V17" s="192"/>
      <c r="W17" s="184">
        <f>I17</f>
        <v>0</v>
      </c>
      <c r="X17" s="192"/>
      <c r="Y17" s="184">
        <f>N17</f>
        <v>0</v>
      </c>
      <c r="Z17" s="194"/>
    </row>
    <row r="18" spans="4:26" s="195" customFormat="1" ht="15" customHeight="1">
      <c r="D18" s="183" t="s">
        <v>177</v>
      </c>
      <c r="E18" s="192"/>
      <c r="F18" s="184">
        <f>'CIFRAS EEFF'!D14</f>
        <v>87596094.140000001</v>
      </c>
      <c r="G18" s="184">
        <f>'CIFRAS EEFF'!E14</f>
        <v>180884543.81</v>
      </c>
      <c r="H18" s="184">
        <f>'CIFRAS EEFF'!F14</f>
        <v>125388900.73999999</v>
      </c>
      <c r="I18" s="184" t="e">
        <f>'CIFRAS EEFF'!#REF!</f>
        <v>#REF!</v>
      </c>
      <c r="J18" s="184">
        <f>'CIFRAS EEFF'!G14</f>
        <v>105783915.42</v>
      </c>
      <c r="K18" s="184">
        <f>'CIFRAS EEFF'!H14</f>
        <v>104748463.3</v>
      </c>
      <c r="L18" s="184">
        <f>'CIFRAS EEFF'!I14</f>
        <v>126428079.25</v>
      </c>
      <c r="M18" s="184">
        <f>'CIFRAS EEFF'!J14</f>
        <v>125046701.34</v>
      </c>
      <c r="N18" s="184">
        <f>'CIFRAS EEFF'!K14</f>
        <v>123052360.14</v>
      </c>
      <c r="O18" s="184">
        <f>'CIFRAS EEFF'!L14</f>
        <v>126366146.87</v>
      </c>
      <c r="P18" s="184">
        <f>'CIFRAS EEFF'!M14</f>
        <v>111074071</v>
      </c>
      <c r="Q18" s="184">
        <f>'CIFRAS EEFF'!N14</f>
        <v>104908236.28</v>
      </c>
      <c r="R18" s="184">
        <f>'CIFRAS EEFF'!O14</f>
        <v>100681779</v>
      </c>
      <c r="S18" s="184" t="e">
        <f>'CIFRAS EEFF'!#REF!</f>
        <v>#REF!</v>
      </c>
      <c r="T18" s="184" t="e">
        <f>'CIFRAS EEFF'!#REF!</f>
        <v>#REF!</v>
      </c>
      <c r="U18" s="184" t="e">
        <f>'CIFRAS EEFF'!#REF!</f>
        <v>#REF!</v>
      </c>
      <c r="V18" s="192"/>
      <c r="W18" s="184" t="e">
        <f>I18</f>
        <v>#REF!</v>
      </c>
      <c r="X18" s="192"/>
      <c r="Y18" s="184">
        <f>N18</f>
        <v>123052360.14</v>
      </c>
      <c r="Z18" s="194"/>
    </row>
    <row r="19" spans="4:26" s="189" customFormat="1" ht="15" customHeight="1">
      <c r="D19" s="185" t="s">
        <v>61</v>
      </c>
      <c r="E19" s="186"/>
      <c r="F19" s="187">
        <f t="shared" ref="F19:U19" si="13">F18/F$94</f>
        <v>18.016341270441998</v>
      </c>
      <c r="G19" s="187">
        <f t="shared" si="13"/>
        <v>47.062995063224506</v>
      </c>
      <c r="H19" s="187">
        <f t="shared" si="13"/>
        <v>43.866358492258776</v>
      </c>
      <c r="I19" s="187" t="e">
        <f t="shared" si="13"/>
        <v>#REF!</v>
      </c>
      <c r="J19" s="187">
        <f>J18/J$94</f>
        <v>25.549669060284689</v>
      </c>
      <c r="K19" s="187">
        <f t="shared" si="13"/>
        <v>133.02471536996384</v>
      </c>
      <c r="L19" s="187">
        <f t="shared" si="13"/>
        <v>36.151060385737708</v>
      </c>
      <c r="M19" s="187">
        <f t="shared" si="13"/>
        <v>85.259418286677644</v>
      </c>
      <c r="N19" s="187">
        <f t="shared" si="13"/>
        <v>95.112461165705341</v>
      </c>
      <c r="O19" s="187">
        <f t="shared" si="13"/>
        <v>89.836016712324337</v>
      </c>
      <c r="P19" s="187">
        <f t="shared" si="13"/>
        <v>90.363282020594198</v>
      </c>
      <c r="Q19" s="187">
        <f>Q18/Q$94</f>
        <v>69.611294547323268</v>
      </c>
      <c r="R19" s="187">
        <f>R18/R$94</f>
        <v>96.956204522488534</v>
      </c>
      <c r="S19" s="187" t="e">
        <f t="shared" si="13"/>
        <v>#REF!</v>
      </c>
      <c r="T19" s="187" t="e">
        <f t="shared" si="13"/>
        <v>#REF!</v>
      </c>
      <c r="U19" s="187" t="e">
        <f t="shared" si="13"/>
        <v>#REF!</v>
      </c>
      <c r="V19" s="186"/>
      <c r="W19" s="187" t="e">
        <f>W18/W$94</f>
        <v>#REF!</v>
      </c>
      <c r="X19" s="186"/>
      <c r="Y19" s="187">
        <f>Y18/Y$94</f>
        <v>95.112461165705341</v>
      </c>
      <c r="Z19" s="188"/>
    </row>
    <row r="20" spans="4:26" s="189" customFormat="1" ht="15" customHeight="1">
      <c r="D20" s="185" t="s">
        <v>62</v>
      </c>
      <c r="E20" s="186"/>
      <c r="F20" s="190">
        <f>F18/(F91*(12/9))</f>
        <v>0.45040853176105</v>
      </c>
      <c r="G20" s="190">
        <f>G18/(G91*(12/10))</f>
        <v>0.64293709102765717</v>
      </c>
      <c r="H20" s="190">
        <f>H18/(H91*(12/11))</f>
        <v>0.44187723755938335</v>
      </c>
      <c r="I20" s="190" t="e">
        <f>I18/I91</f>
        <v>#REF!</v>
      </c>
      <c r="J20" s="190">
        <f>J18/(J91*12)</f>
        <v>6.868190607603411E-2</v>
      </c>
      <c r="K20" s="190">
        <f>K18/(K91*(12/2))</f>
        <v>0.37577603211854188</v>
      </c>
      <c r="L20" s="190">
        <f>L18/(L91*(12/3))</f>
        <v>0.10041961218260474</v>
      </c>
      <c r="M20" s="190">
        <f>M18/(M91*(12/4))</f>
        <v>0.23683171746299347</v>
      </c>
      <c r="N20" s="190">
        <f>N18/(N91*(12/5))</f>
        <v>0.26245160365812736</v>
      </c>
      <c r="O20" s="190">
        <f>O18/(O91*(12/6))</f>
        <v>0.24816579202299538</v>
      </c>
      <c r="P20" s="190">
        <f>P18/(P91*(12/7))</f>
        <v>0.24864110618874194</v>
      </c>
      <c r="Q20" s="190">
        <f>Q18/(Q91*(12/8))</f>
        <v>0.19097748847002269</v>
      </c>
      <c r="R20" s="190">
        <f>R18/(R91*(12/8))</f>
        <v>0.23676728821120521</v>
      </c>
      <c r="S20" s="190" t="e">
        <f>S18/(S91*(12/10))</f>
        <v>#REF!</v>
      </c>
      <c r="T20" s="190" t="e">
        <f>T18/(T91*(12/11))</f>
        <v>#REF!</v>
      </c>
      <c r="U20" s="190" t="e">
        <f>U18/(U91*(12/11))</f>
        <v>#REF!</v>
      </c>
      <c r="V20" s="186"/>
      <c r="W20" s="190" t="e">
        <f>W18/W91</f>
        <v>#REF!</v>
      </c>
      <c r="X20" s="186"/>
      <c r="Y20" s="190">
        <f>Y18/Y91</f>
        <v>0.62988384877950554</v>
      </c>
      <c r="Z20" s="188"/>
    </row>
    <row r="21" spans="4:26" s="195" customFormat="1" ht="15" customHeight="1">
      <c r="D21" s="191" t="s">
        <v>63</v>
      </c>
      <c r="E21" s="192"/>
      <c r="F21" s="193">
        <f t="shared" ref="F21:U21" si="14">F16+F17+F18</f>
        <v>257444579.60000002</v>
      </c>
      <c r="G21" s="193">
        <f t="shared" si="14"/>
        <v>517696690.19</v>
      </c>
      <c r="H21" s="193">
        <f t="shared" si="14"/>
        <v>478436013.75999999</v>
      </c>
      <c r="I21" s="193" t="e">
        <f t="shared" si="14"/>
        <v>#REF!</v>
      </c>
      <c r="J21" s="193">
        <f t="shared" si="14"/>
        <v>693991986.94999993</v>
      </c>
      <c r="K21" s="193">
        <f t="shared" si="14"/>
        <v>557085468.92999995</v>
      </c>
      <c r="L21" s="193">
        <f t="shared" si="14"/>
        <v>821406334.88000011</v>
      </c>
      <c r="M21" s="193">
        <f t="shared" si="14"/>
        <v>813460299.61000001</v>
      </c>
      <c r="N21" s="193">
        <f t="shared" si="14"/>
        <v>760938875.39999998</v>
      </c>
      <c r="O21" s="193">
        <f t="shared" si="14"/>
        <v>868632992.74000001</v>
      </c>
      <c r="P21" s="193">
        <f t="shared" si="14"/>
        <v>784334835.20000005</v>
      </c>
      <c r="Q21" s="193">
        <f>Q16+Q17+Q18</f>
        <v>991066920.00999987</v>
      </c>
      <c r="R21" s="193">
        <f>R16+R17+R18</f>
        <v>879628819</v>
      </c>
      <c r="S21" s="193" t="e">
        <f>S16+S17+S18</f>
        <v>#REF!</v>
      </c>
      <c r="T21" s="193" t="e">
        <f t="shared" si="14"/>
        <v>#REF!</v>
      </c>
      <c r="U21" s="193" t="e">
        <f t="shared" si="14"/>
        <v>#REF!</v>
      </c>
      <c r="V21" s="192"/>
      <c r="W21" s="193" t="e">
        <f>W16+W17+W18</f>
        <v>#REF!</v>
      </c>
      <c r="X21" s="192"/>
      <c r="Y21" s="193">
        <f>Y16+Y17+Y18</f>
        <v>760938875.39999998</v>
      </c>
      <c r="Z21" s="194"/>
    </row>
    <row r="22" spans="4:26" s="189" customFormat="1" ht="15" customHeight="1">
      <c r="D22" s="185" t="s">
        <v>64</v>
      </c>
      <c r="E22" s="186"/>
      <c r="F22" s="190">
        <f t="shared" ref="F22:U22" si="15">F21/F$44</f>
        <v>0.60654587751031119</v>
      </c>
      <c r="G22" s="190">
        <f t="shared" si="15"/>
        <v>0.75643689607381115</v>
      </c>
      <c r="H22" s="190">
        <f t="shared" si="15"/>
        <v>0.74529040648735467</v>
      </c>
      <c r="I22" s="190" t="e">
        <f t="shared" si="15"/>
        <v>#REF!</v>
      </c>
      <c r="J22" s="190">
        <f t="shared" si="15"/>
        <v>0.96059913201775238</v>
      </c>
      <c r="K22" s="190">
        <f t="shared" si="15"/>
        <v>0.95114315082666878</v>
      </c>
      <c r="L22" s="190">
        <f t="shared" si="15"/>
        <v>0.96556271424205098</v>
      </c>
      <c r="M22" s="190">
        <f t="shared" si="15"/>
        <v>0.96466428676107252</v>
      </c>
      <c r="N22" s="190">
        <f t="shared" si="15"/>
        <v>0.94524859066140765</v>
      </c>
      <c r="O22" s="190">
        <f t="shared" si="15"/>
        <v>0.93621120192454677</v>
      </c>
      <c r="P22" s="190">
        <f t="shared" si="15"/>
        <v>0.93081189065637349</v>
      </c>
      <c r="Q22" s="190">
        <f t="shared" si="15"/>
        <v>0.94484989337091463</v>
      </c>
      <c r="R22" s="190">
        <f t="shared" ref="R22" si="16">R21/R$44</f>
        <v>0.93915106390969416</v>
      </c>
      <c r="S22" s="190" t="e">
        <f t="shared" si="15"/>
        <v>#REF!</v>
      </c>
      <c r="T22" s="190" t="e">
        <f t="shared" si="15"/>
        <v>#REF!</v>
      </c>
      <c r="U22" s="190" t="e">
        <f t="shared" si="15"/>
        <v>#REF!</v>
      </c>
      <c r="V22" s="186"/>
      <c r="W22" s="190" t="e">
        <f>W21/W$44</f>
        <v>#REF!</v>
      </c>
      <c r="X22" s="186"/>
      <c r="Y22" s="190">
        <f>Y21/Y$44</f>
        <v>0.94524859066140765</v>
      </c>
      <c r="Z22" s="188"/>
    </row>
    <row r="23" spans="4:26" s="182" customFormat="1" ht="15" customHeight="1">
      <c r="D23" s="179"/>
      <c r="E23" s="180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0"/>
      <c r="W23" s="181"/>
      <c r="X23" s="180"/>
      <c r="Y23" s="181"/>
    </row>
    <row r="24" spans="4:26" ht="15" customHeight="1">
      <c r="D24" s="183" t="s">
        <v>65</v>
      </c>
      <c r="F24" s="184"/>
      <c r="G24" s="184"/>
      <c r="H24" s="184"/>
      <c r="I24" s="184"/>
      <c r="J24" s="184">
        <v>0</v>
      </c>
      <c r="K24" s="184">
        <v>0</v>
      </c>
      <c r="L24" s="184">
        <v>0</v>
      </c>
      <c r="M24" s="184">
        <v>0</v>
      </c>
      <c r="N24" s="184">
        <v>0</v>
      </c>
      <c r="O24" s="184">
        <v>0</v>
      </c>
      <c r="P24" s="184">
        <v>0</v>
      </c>
      <c r="Q24" s="184">
        <v>0</v>
      </c>
      <c r="R24" s="184">
        <v>0</v>
      </c>
      <c r="S24" s="184">
        <v>0</v>
      </c>
      <c r="T24" s="184">
        <v>0</v>
      </c>
      <c r="U24" s="184">
        <v>0</v>
      </c>
      <c r="W24" s="184">
        <f t="shared" ref="W24:W30" si="17">I24</f>
        <v>0</v>
      </c>
      <c r="Y24" s="184">
        <f t="shared" ref="Y24:Y30" si="18">N24</f>
        <v>0</v>
      </c>
    </row>
    <row r="25" spans="4:26" s="195" customFormat="1" ht="15" customHeight="1">
      <c r="D25" s="183" t="s">
        <v>66</v>
      </c>
      <c r="E25" s="192"/>
      <c r="F25" s="184"/>
      <c r="G25" s="184"/>
      <c r="H25" s="184"/>
      <c r="I25" s="184"/>
      <c r="J25" s="184">
        <v>0</v>
      </c>
      <c r="K25" s="184">
        <v>0</v>
      </c>
      <c r="L25" s="184">
        <v>0</v>
      </c>
      <c r="M25" s="184">
        <v>0</v>
      </c>
      <c r="N25" s="184">
        <v>0</v>
      </c>
      <c r="O25" s="184">
        <v>0</v>
      </c>
      <c r="P25" s="184">
        <v>0</v>
      </c>
      <c r="Q25" s="184">
        <v>0</v>
      </c>
      <c r="R25" s="184">
        <v>0</v>
      </c>
      <c r="S25" s="184">
        <v>0</v>
      </c>
      <c r="T25" s="184">
        <v>0</v>
      </c>
      <c r="U25" s="184">
        <v>0</v>
      </c>
      <c r="V25" s="192"/>
      <c r="W25" s="184">
        <f t="shared" si="17"/>
        <v>0</v>
      </c>
      <c r="X25" s="192"/>
      <c r="Y25" s="184">
        <f t="shared" si="18"/>
        <v>0</v>
      </c>
      <c r="Z25" s="166"/>
    </row>
    <row r="26" spans="4:26" s="195" customFormat="1" ht="15" customHeight="1">
      <c r="D26" s="183" t="s">
        <v>67</v>
      </c>
      <c r="E26" s="192"/>
      <c r="F26" s="184"/>
      <c r="G26" s="184"/>
      <c r="H26" s="184"/>
      <c r="I26" s="184"/>
      <c r="J26" s="184">
        <v>0</v>
      </c>
      <c r="K26" s="184">
        <v>0</v>
      </c>
      <c r="L26" s="184">
        <v>0</v>
      </c>
      <c r="M26" s="184">
        <v>0</v>
      </c>
      <c r="N26" s="184">
        <v>0</v>
      </c>
      <c r="O26" s="184">
        <v>0</v>
      </c>
      <c r="P26" s="184">
        <v>0</v>
      </c>
      <c r="Q26" s="184">
        <v>0</v>
      </c>
      <c r="R26" s="184">
        <v>0</v>
      </c>
      <c r="S26" s="184">
        <v>0</v>
      </c>
      <c r="T26" s="184">
        <v>0</v>
      </c>
      <c r="U26" s="184">
        <v>0</v>
      </c>
      <c r="V26" s="192"/>
      <c r="W26" s="184">
        <f t="shared" si="17"/>
        <v>0</v>
      </c>
      <c r="X26" s="192"/>
      <c r="Y26" s="184">
        <f t="shared" si="18"/>
        <v>0</v>
      </c>
      <c r="Z26" s="166"/>
    </row>
    <row r="27" spans="4:26" s="197" customFormat="1" ht="15" customHeight="1">
      <c r="D27" s="183" t="s">
        <v>68</v>
      </c>
      <c r="E27" s="196"/>
      <c r="F27" s="184"/>
      <c r="G27" s="184"/>
      <c r="H27" s="184"/>
      <c r="I27" s="184"/>
      <c r="J27" s="184">
        <f>+'CIFRAS EEFF'!G19</f>
        <v>13488003.619999999</v>
      </c>
      <c r="K27" s="184">
        <f>+'CIFRAS EEFF'!H19</f>
        <v>13488003.619999999</v>
      </c>
      <c r="L27" s="184">
        <f>+'CIFRAS EEFF'!I19</f>
        <v>13488004</v>
      </c>
      <c r="M27" s="184">
        <f>+'CIFRAS EEFF'!J19</f>
        <v>13488003.619999999</v>
      </c>
      <c r="N27" s="184">
        <f>+'CIFRAS EEFF'!K19</f>
        <v>13979523.619999999</v>
      </c>
      <c r="O27" s="184">
        <f>+'CIFRAS EEFF'!L19</f>
        <v>28037894.620000001</v>
      </c>
      <c r="P27" s="184">
        <f>+'CIFRAS EEFF'!M19</f>
        <v>28037894.620000001</v>
      </c>
      <c r="Q27" s="184">
        <f>+'CIFRAS EEFF'!N19</f>
        <v>28037894.620000001</v>
      </c>
      <c r="R27" s="184">
        <f>+'CIFRAS EEFF'!O19</f>
        <v>28037895</v>
      </c>
      <c r="S27" s="184" t="e">
        <f>+'CIFRAS EEFF'!#REF!</f>
        <v>#REF!</v>
      </c>
      <c r="T27" s="184" t="e">
        <f>+'CIFRAS EEFF'!#REF!</f>
        <v>#REF!</v>
      </c>
      <c r="U27" s="184" t="e">
        <f>+'CIFRAS EEFF'!#REF!</f>
        <v>#REF!</v>
      </c>
      <c r="V27" s="196"/>
      <c r="W27" s="184">
        <f t="shared" si="17"/>
        <v>0</v>
      </c>
      <c r="X27" s="196"/>
      <c r="Y27" s="184">
        <f t="shared" si="18"/>
        <v>13979523.619999999</v>
      </c>
      <c r="Z27" s="166"/>
    </row>
    <row r="28" spans="4:26" s="197" customFormat="1" ht="15" customHeight="1">
      <c r="D28" s="183" t="s">
        <v>69</v>
      </c>
      <c r="E28" s="196"/>
      <c r="F28" s="184">
        <f>'CIFRAS EEFF'!D18</f>
        <v>10598400.560000001</v>
      </c>
      <c r="G28" s="184">
        <f>'CIFRAS EEFF'!E18</f>
        <v>14455175.119999999</v>
      </c>
      <c r="H28" s="184">
        <f>'CIFRAS EEFF'!F18</f>
        <v>14170749.68</v>
      </c>
      <c r="I28" s="184" t="e">
        <f>'CIFRAS EEFF'!#REF!</f>
        <v>#REF!</v>
      </c>
      <c r="J28" s="184">
        <f>+'CIFRAS EEFF'!G20</f>
        <v>20774542</v>
      </c>
      <c r="K28" s="184">
        <f>+'CIFRAS EEFF'!H20</f>
        <v>21482142</v>
      </c>
      <c r="L28" s="184">
        <f>+'CIFRAS EEFF'!I20</f>
        <v>22790816.620000001</v>
      </c>
      <c r="M28" s="184">
        <f>+'CIFRAS EEFF'!J20</f>
        <v>23216304.620000001</v>
      </c>
      <c r="N28" s="184">
        <f>+'CIFRAS EEFF'!K20</f>
        <v>37460483.619999997</v>
      </c>
      <c r="O28" s="184">
        <f>+'CIFRAS EEFF'!L20</f>
        <v>38967903.619999997</v>
      </c>
      <c r="P28" s="184">
        <f>+'CIFRAS EEFF'!M20</f>
        <v>38782223.619999997</v>
      </c>
      <c r="Q28" s="184">
        <f>+'CIFRAS EEFF'!N20</f>
        <v>39028623.619999997</v>
      </c>
      <c r="R28" s="184">
        <f>+'CIFRAS EEFF'!O20</f>
        <v>38972944</v>
      </c>
      <c r="S28" s="184" t="e">
        <f>+'CIFRAS EEFF'!#REF!</f>
        <v>#REF!</v>
      </c>
      <c r="T28" s="184" t="e">
        <f>+'CIFRAS EEFF'!#REF!</f>
        <v>#REF!</v>
      </c>
      <c r="U28" s="184" t="e">
        <f>+'CIFRAS EEFF'!#REF!</f>
        <v>#REF!</v>
      </c>
      <c r="V28" s="196"/>
      <c r="W28" s="184" t="e">
        <f t="shared" si="17"/>
        <v>#REF!</v>
      </c>
      <c r="X28" s="196"/>
      <c r="Y28" s="184">
        <f t="shared" si="18"/>
        <v>37460483.619999997</v>
      </c>
      <c r="Z28" s="166"/>
    </row>
    <row r="29" spans="4:26" s="197" customFormat="1" ht="15" customHeight="1">
      <c r="D29" s="183" t="s">
        <v>70</v>
      </c>
      <c r="E29" s="196"/>
      <c r="F29" s="184"/>
      <c r="G29" s="184"/>
      <c r="H29" s="184"/>
      <c r="I29" s="184"/>
      <c r="J29" s="184">
        <f>+'CIFRAS EEFF'!G21</f>
        <v>18103916</v>
      </c>
      <c r="K29" s="184">
        <f>+'CIFRAS EEFF'!H21</f>
        <v>18103916</v>
      </c>
      <c r="L29" s="184">
        <f>+'CIFRAS EEFF'!I21</f>
        <v>18103916</v>
      </c>
      <c r="M29" s="184">
        <f>+'CIFRAS EEFF'!J21</f>
        <v>18103916</v>
      </c>
      <c r="N29" s="184">
        <f>+'CIFRAS EEFF'!K21</f>
        <v>18103916</v>
      </c>
      <c r="O29" s="184">
        <f>+'CIFRAS EEFF'!L21</f>
        <v>18103916</v>
      </c>
      <c r="P29" s="184">
        <f>+'CIFRAS EEFF'!M21</f>
        <v>18103916</v>
      </c>
      <c r="Q29" s="184">
        <f>+'CIFRAS EEFF'!N21</f>
        <v>18103916</v>
      </c>
      <c r="R29" s="184">
        <f>+'CIFRAS EEFF'!O21</f>
        <v>18103916</v>
      </c>
      <c r="S29" s="184" t="e">
        <f>+'CIFRAS EEFF'!#REF!</f>
        <v>#REF!</v>
      </c>
      <c r="T29" s="184" t="e">
        <f>+'CIFRAS EEFF'!#REF!</f>
        <v>#REF!</v>
      </c>
      <c r="U29" s="184" t="e">
        <f>+'CIFRAS EEFF'!#REF!</f>
        <v>#REF!</v>
      </c>
      <c r="V29" s="196"/>
      <c r="W29" s="184">
        <f t="shared" si="17"/>
        <v>0</v>
      </c>
      <c r="X29" s="196"/>
      <c r="Y29" s="184">
        <f t="shared" si="18"/>
        <v>18103916</v>
      </c>
      <c r="Z29" s="166"/>
    </row>
    <row r="30" spans="4:26" s="197" customFormat="1" ht="15" customHeight="1">
      <c r="D30" s="183" t="s">
        <v>71</v>
      </c>
      <c r="E30" s="196"/>
      <c r="F30" s="184"/>
      <c r="G30" s="184"/>
      <c r="H30" s="184"/>
      <c r="I30" s="184"/>
      <c r="J30" s="184">
        <v>0</v>
      </c>
      <c r="K30" s="184">
        <v>0</v>
      </c>
      <c r="L30" s="184">
        <v>0</v>
      </c>
      <c r="M30" s="184">
        <v>0</v>
      </c>
      <c r="N30" s="184">
        <v>0</v>
      </c>
      <c r="O30" s="184">
        <v>0</v>
      </c>
      <c r="P30" s="184">
        <v>0</v>
      </c>
      <c r="Q30" s="184">
        <v>0</v>
      </c>
      <c r="R30" s="184">
        <v>0</v>
      </c>
      <c r="S30" s="184">
        <v>0</v>
      </c>
      <c r="T30" s="184">
        <v>0</v>
      </c>
      <c r="U30" s="184">
        <v>0</v>
      </c>
      <c r="V30" s="196"/>
      <c r="W30" s="184">
        <f t="shared" si="17"/>
        <v>0</v>
      </c>
      <c r="X30" s="196"/>
      <c r="Y30" s="184">
        <f t="shared" si="18"/>
        <v>0</v>
      </c>
      <c r="Z30" s="166"/>
    </row>
    <row r="31" spans="4:26" ht="15" customHeight="1">
      <c r="D31" s="198" t="s">
        <v>72</v>
      </c>
      <c r="F31" s="193">
        <f>F24+F25+F26+F27+F28+F29+F30</f>
        <v>10598400.560000001</v>
      </c>
      <c r="G31" s="193">
        <f t="shared" ref="G31:U31" si="19">G24+G25+G26+G27+G28+G29+G30</f>
        <v>14455175.119999999</v>
      </c>
      <c r="H31" s="193">
        <f t="shared" si="19"/>
        <v>14170749.68</v>
      </c>
      <c r="I31" s="193" t="e">
        <f t="shared" si="19"/>
        <v>#REF!</v>
      </c>
      <c r="J31" s="193">
        <f t="shared" si="19"/>
        <v>52366461.619999997</v>
      </c>
      <c r="K31" s="193">
        <f t="shared" si="19"/>
        <v>53074061.619999997</v>
      </c>
      <c r="L31" s="193">
        <f t="shared" si="19"/>
        <v>54382736.620000005</v>
      </c>
      <c r="M31" s="193">
        <f t="shared" si="19"/>
        <v>54808224.240000002</v>
      </c>
      <c r="N31" s="193">
        <f t="shared" si="19"/>
        <v>69543923.239999995</v>
      </c>
      <c r="O31" s="193">
        <f t="shared" si="19"/>
        <v>85109714.239999995</v>
      </c>
      <c r="P31" s="193">
        <f t="shared" si="19"/>
        <v>84924034.239999995</v>
      </c>
      <c r="Q31" s="193">
        <f t="shared" si="19"/>
        <v>85170434.239999995</v>
      </c>
      <c r="R31" s="193">
        <f t="shared" si="19"/>
        <v>85114755</v>
      </c>
      <c r="S31" s="193" t="e">
        <f t="shared" si="19"/>
        <v>#REF!</v>
      </c>
      <c r="T31" s="193" t="e">
        <f t="shared" si="19"/>
        <v>#REF!</v>
      </c>
      <c r="U31" s="193" t="e">
        <f t="shared" si="19"/>
        <v>#REF!</v>
      </c>
      <c r="W31" s="193" t="e">
        <f t="shared" ref="W31" si="20">W24+W25+W26+W27+W28+W29+W30</f>
        <v>#REF!</v>
      </c>
      <c r="Y31" s="193">
        <f t="shared" ref="Y31" si="21">Y24+Y25+Y26+Y27+Y28+Y29+Y30</f>
        <v>69543923.239999995</v>
      </c>
    </row>
    <row r="32" spans="4:26" ht="15" customHeight="1">
      <c r="D32" s="183" t="s">
        <v>73</v>
      </c>
      <c r="F32" s="184">
        <v>0</v>
      </c>
      <c r="G32" s="184">
        <v>0</v>
      </c>
      <c r="H32" s="184">
        <v>0</v>
      </c>
      <c r="I32" s="184">
        <v>0</v>
      </c>
      <c r="J32" s="184">
        <f>+'CIFRAS EEFF'!G22</f>
        <v>-23901011.52</v>
      </c>
      <c r="K32" s="184">
        <f>+'CIFRAS EEFF'!H22</f>
        <v>-24458557.52</v>
      </c>
      <c r="L32" s="184">
        <f>+'CIFRAS EEFF'!I22</f>
        <v>-25086861.52</v>
      </c>
      <c r="M32" s="184">
        <f>+'CIFRAS EEFF'!J22</f>
        <v>-25011122.52</v>
      </c>
      <c r="N32" s="184">
        <f>+'CIFRAS EEFF'!K22</f>
        <v>-25468241.710000001</v>
      </c>
      <c r="O32" s="184">
        <f>+'CIFRAS EEFF'!L22</f>
        <v>-25925360.899999999</v>
      </c>
      <c r="P32" s="184">
        <f>+'CIFRAS EEFF'!M22</f>
        <v>-26623700</v>
      </c>
      <c r="Q32" s="184">
        <f>+'CIFRAS EEFF'!N22</f>
        <v>-27322678</v>
      </c>
      <c r="R32" s="184">
        <f>+'CIFRAS EEFF'!O22</f>
        <v>-28122350</v>
      </c>
      <c r="S32" s="184" t="e">
        <f>+'CIFRAS EEFF'!#REF!</f>
        <v>#REF!</v>
      </c>
      <c r="T32" s="184" t="e">
        <f>+'CIFRAS EEFF'!#REF!</f>
        <v>#REF!</v>
      </c>
      <c r="U32" s="184" t="e">
        <f>+'CIFRAS EEFF'!#REF!</f>
        <v>#REF!</v>
      </c>
      <c r="W32" s="184">
        <f>I32</f>
        <v>0</v>
      </c>
      <c r="Y32" s="184">
        <f>N32</f>
        <v>-25468241.710000001</v>
      </c>
    </row>
    <row r="33" spans="4:26" ht="15" customHeight="1">
      <c r="D33" s="198" t="s">
        <v>74</v>
      </c>
      <c r="F33" s="193">
        <f>F31+F32</f>
        <v>10598400.560000001</v>
      </c>
      <c r="G33" s="193">
        <f t="shared" ref="G33:U33" si="22">G31+G32</f>
        <v>14455175.119999999</v>
      </c>
      <c r="H33" s="193">
        <f t="shared" si="22"/>
        <v>14170749.68</v>
      </c>
      <c r="I33" s="193" t="e">
        <f t="shared" si="22"/>
        <v>#REF!</v>
      </c>
      <c r="J33" s="193">
        <f t="shared" si="22"/>
        <v>28465450.099999998</v>
      </c>
      <c r="K33" s="193">
        <f t="shared" si="22"/>
        <v>28615504.099999998</v>
      </c>
      <c r="L33" s="193">
        <f t="shared" si="22"/>
        <v>29295875.100000005</v>
      </c>
      <c r="M33" s="193">
        <f t="shared" si="22"/>
        <v>29797101.720000003</v>
      </c>
      <c r="N33" s="193">
        <f t="shared" si="22"/>
        <v>44075681.529999994</v>
      </c>
      <c r="O33" s="193">
        <f t="shared" si="22"/>
        <v>59184353.339999996</v>
      </c>
      <c r="P33" s="193">
        <f t="shared" si="22"/>
        <v>58300334.239999995</v>
      </c>
      <c r="Q33" s="193">
        <f t="shared" si="22"/>
        <v>57847756.239999995</v>
      </c>
      <c r="R33" s="193">
        <f t="shared" si="22"/>
        <v>56992405</v>
      </c>
      <c r="S33" s="193" t="e">
        <f t="shared" si="22"/>
        <v>#REF!</v>
      </c>
      <c r="T33" s="193" t="e">
        <f t="shared" si="22"/>
        <v>#REF!</v>
      </c>
      <c r="U33" s="193" t="e">
        <f t="shared" si="22"/>
        <v>#REF!</v>
      </c>
      <c r="W33" s="193" t="e">
        <f t="shared" ref="W33" si="23">W31+W32</f>
        <v>#REF!</v>
      </c>
      <c r="Y33" s="193">
        <f t="shared" ref="Y33" si="24">Y31+Y32</f>
        <v>44075681.529999994</v>
      </c>
    </row>
    <row r="34" spans="4:26" s="189" customFormat="1" ht="15" customHeight="1">
      <c r="D34" s="185" t="s">
        <v>75</v>
      </c>
      <c r="E34" s="186"/>
      <c r="F34" s="190">
        <f t="shared" ref="F34:U34" si="25">F33/F$44</f>
        <v>2.4970097167549662E-2</v>
      </c>
      <c r="G34" s="190">
        <f t="shared" si="25"/>
        <v>2.1121301347248583E-2</v>
      </c>
      <c r="H34" s="190">
        <f t="shared" si="25"/>
        <v>2.2074683939942018E-2</v>
      </c>
      <c r="I34" s="190" t="e">
        <f t="shared" si="25"/>
        <v>#REF!</v>
      </c>
      <c r="J34" s="190">
        <f t="shared" si="25"/>
        <v>3.9400867982247588E-2</v>
      </c>
      <c r="K34" s="190">
        <f t="shared" si="25"/>
        <v>4.8856849173331142E-2</v>
      </c>
      <c r="L34" s="190">
        <f t="shared" si="25"/>
        <v>3.4437285757949007E-2</v>
      </c>
      <c r="M34" s="190">
        <f t="shared" si="25"/>
        <v>3.5335713238927403E-2</v>
      </c>
      <c r="N34" s="190">
        <f t="shared" si="25"/>
        <v>5.4751409338592363E-2</v>
      </c>
      <c r="O34" s="190">
        <f t="shared" si="25"/>
        <v>6.3788798075453193E-2</v>
      </c>
      <c r="P34" s="190">
        <f t="shared" si="25"/>
        <v>6.9188109343626528E-2</v>
      </c>
      <c r="Q34" s="190">
        <f t="shared" si="25"/>
        <v>5.5150106629085316E-2</v>
      </c>
      <c r="R34" s="190">
        <f t="shared" si="25"/>
        <v>6.0848936090305811E-2</v>
      </c>
      <c r="S34" s="190" t="e">
        <f t="shared" si="25"/>
        <v>#REF!</v>
      </c>
      <c r="T34" s="190" t="e">
        <f t="shared" si="25"/>
        <v>#REF!</v>
      </c>
      <c r="U34" s="190" t="e">
        <f t="shared" si="25"/>
        <v>#REF!</v>
      </c>
      <c r="V34" s="186"/>
      <c r="W34" s="190" t="e">
        <f>W33/W$44</f>
        <v>#REF!</v>
      </c>
      <c r="X34" s="186"/>
      <c r="Y34" s="190">
        <f>Y33/Y$44</f>
        <v>5.4751409338592363E-2</v>
      </c>
      <c r="Z34" s="166"/>
    </row>
    <row r="35" spans="4:26" s="182" customFormat="1" ht="15" customHeight="1">
      <c r="D35" s="179"/>
      <c r="E35" s="180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0"/>
      <c r="W35" s="181"/>
      <c r="X35" s="180"/>
      <c r="Y35" s="181"/>
    </row>
    <row r="36" spans="4:26" s="195" customFormat="1" ht="15" customHeight="1">
      <c r="D36" s="183" t="s">
        <v>76</v>
      </c>
      <c r="E36" s="192"/>
      <c r="F36" s="184">
        <v>0</v>
      </c>
      <c r="G36" s="184">
        <v>0</v>
      </c>
      <c r="H36" s="184">
        <v>0</v>
      </c>
      <c r="I36" s="184">
        <v>0</v>
      </c>
      <c r="J36" s="184">
        <v>0</v>
      </c>
      <c r="K36" s="184">
        <v>0</v>
      </c>
      <c r="L36" s="184">
        <v>0</v>
      </c>
      <c r="M36" s="184">
        <v>0</v>
      </c>
      <c r="N36" s="184">
        <v>0</v>
      </c>
      <c r="O36" s="184">
        <v>0</v>
      </c>
      <c r="P36" s="184">
        <v>0</v>
      </c>
      <c r="Q36" s="184">
        <v>0</v>
      </c>
      <c r="R36" s="184">
        <v>0</v>
      </c>
      <c r="S36" s="184">
        <v>0</v>
      </c>
      <c r="T36" s="184">
        <v>0</v>
      </c>
      <c r="U36" s="184">
        <v>0</v>
      </c>
      <c r="V36" s="192"/>
      <c r="W36" s="184">
        <f>I36</f>
        <v>0</v>
      </c>
      <c r="X36" s="192"/>
      <c r="Y36" s="184">
        <f>N36</f>
        <v>0</v>
      </c>
      <c r="Z36" s="194"/>
    </row>
    <row r="37" spans="4:26" s="195" customFormat="1" ht="15" customHeight="1">
      <c r="D37" s="183" t="s">
        <v>77</v>
      </c>
      <c r="E37" s="192"/>
      <c r="F37" s="184">
        <v>0</v>
      </c>
      <c r="G37" s="184">
        <v>0</v>
      </c>
      <c r="H37" s="184">
        <v>0</v>
      </c>
      <c r="I37" s="184">
        <v>0</v>
      </c>
      <c r="J37" s="184">
        <v>0</v>
      </c>
      <c r="K37" s="184">
        <v>0</v>
      </c>
      <c r="L37" s="184">
        <v>0</v>
      </c>
      <c r="M37" s="184">
        <v>0</v>
      </c>
      <c r="N37" s="184">
        <v>0</v>
      </c>
      <c r="O37" s="184">
        <v>0</v>
      </c>
      <c r="P37" s="184">
        <v>0</v>
      </c>
      <c r="Q37" s="184">
        <v>0</v>
      </c>
      <c r="R37" s="184">
        <v>0</v>
      </c>
      <c r="S37" s="184">
        <v>0</v>
      </c>
      <c r="T37" s="184">
        <v>0</v>
      </c>
      <c r="U37" s="184">
        <v>0</v>
      </c>
      <c r="V37" s="192"/>
      <c r="W37" s="184">
        <f>I37</f>
        <v>0</v>
      </c>
      <c r="X37" s="192"/>
      <c r="Y37" s="184">
        <f>N37</f>
        <v>0</v>
      </c>
      <c r="Z37" s="194"/>
    </row>
    <row r="38" spans="4:26" s="195" customFormat="1" ht="15" customHeight="1">
      <c r="D38" s="183" t="s">
        <v>205</v>
      </c>
      <c r="E38" s="192"/>
      <c r="F38" s="184">
        <f>'CIFRAS EEFF'!D23</f>
        <v>156400725</v>
      </c>
      <c r="G38" s="184">
        <f>'CIFRAS EEFF'!E23</f>
        <v>152236605</v>
      </c>
      <c r="H38" s="184">
        <f>'CIFRAS EEFF'!F23</f>
        <v>149338993</v>
      </c>
      <c r="I38" s="184" t="e">
        <f>'CIFRAS EEFF'!#REF!</f>
        <v>#REF!</v>
      </c>
      <c r="J38" s="184">
        <f>'CIFRAS EEFF'!G23</f>
        <v>0</v>
      </c>
      <c r="K38" s="184">
        <f>'CIFRAS EEFF'!H23</f>
        <v>0</v>
      </c>
      <c r="L38" s="184">
        <f>'CIFRAS EEFF'!I23</f>
        <v>0</v>
      </c>
      <c r="M38" s="184">
        <f>'CIFRAS EEFF'!J23</f>
        <v>0</v>
      </c>
      <c r="N38" s="184">
        <f>'CIFRAS EEFF'!K23</f>
        <v>0</v>
      </c>
      <c r="O38" s="184">
        <f>'CIFRAS EEFF'!L23</f>
        <v>0</v>
      </c>
      <c r="P38" s="184">
        <f>'CIFRAS EEFF'!M23</f>
        <v>0</v>
      </c>
      <c r="Q38" s="184">
        <f>'CIFRAS EEFF'!N23</f>
        <v>0</v>
      </c>
      <c r="R38" s="184">
        <f>'CIFRAS EEFF'!O23</f>
        <v>0</v>
      </c>
      <c r="S38" s="184" t="e">
        <f>'CIFRAS EEFF'!#REF!</f>
        <v>#REF!</v>
      </c>
      <c r="T38" s="184" t="e">
        <f>'CIFRAS EEFF'!#REF!</f>
        <v>#REF!</v>
      </c>
      <c r="U38" s="184" t="e">
        <f>+'CIFRAS EEFF'!#REF!</f>
        <v>#REF!</v>
      </c>
      <c r="V38" s="192"/>
      <c r="W38" s="184" t="e">
        <f>I38</f>
        <v>#REF!</v>
      </c>
      <c r="X38" s="192"/>
      <c r="Y38" s="184">
        <f>N38</f>
        <v>0</v>
      </c>
      <c r="Z38" s="194"/>
    </row>
    <row r="39" spans="4:26" s="195" customFormat="1" ht="15" customHeight="1">
      <c r="D39" s="183" t="s">
        <v>78</v>
      </c>
      <c r="E39" s="192"/>
      <c r="F39" s="184">
        <v>0</v>
      </c>
      <c r="G39" s="184">
        <v>0</v>
      </c>
      <c r="H39" s="184">
        <v>0</v>
      </c>
      <c r="I39" s="184">
        <v>0</v>
      </c>
      <c r="J39" s="184">
        <v>0</v>
      </c>
      <c r="K39" s="184">
        <v>0</v>
      </c>
      <c r="L39" s="184">
        <v>0</v>
      </c>
      <c r="M39" s="184">
        <v>0</v>
      </c>
      <c r="N39" s="184">
        <v>0</v>
      </c>
      <c r="O39" s="184">
        <v>0</v>
      </c>
      <c r="P39" s="184">
        <v>0</v>
      </c>
      <c r="Q39" s="184">
        <v>0</v>
      </c>
      <c r="R39" s="184">
        <v>0</v>
      </c>
      <c r="S39" s="184">
        <v>0</v>
      </c>
      <c r="T39" s="184">
        <v>0</v>
      </c>
      <c r="U39" s="184">
        <v>0</v>
      </c>
      <c r="V39" s="192"/>
      <c r="W39" s="184">
        <f>I39</f>
        <v>0</v>
      </c>
      <c r="X39" s="192"/>
      <c r="Y39" s="184">
        <f>N39</f>
        <v>0</v>
      </c>
      <c r="Z39" s="194"/>
    </row>
    <row r="40" spans="4:26" s="195" customFormat="1" ht="15" customHeight="1">
      <c r="D40" s="183" t="s">
        <v>79</v>
      </c>
      <c r="E40" s="192"/>
      <c r="F40" s="184">
        <v>0</v>
      </c>
      <c r="G40" s="184">
        <v>0</v>
      </c>
      <c r="H40" s="184">
        <v>0</v>
      </c>
      <c r="I40" s="184">
        <v>0</v>
      </c>
      <c r="J40" s="184">
        <v>0</v>
      </c>
      <c r="K40" s="184">
        <v>0</v>
      </c>
      <c r="L40" s="184">
        <v>0</v>
      </c>
      <c r="M40" s="184">
        <v>0</v>
      </c>
      <c r="N40" s="184">
        <v>0</v>
      </c>
      <c r="O40" s="184">
        <v>0</v>
      </c>
      <c r="P40" s="184">
        <v>0</v>
      </c>
      <c r="Q40" s="184">
        <v>0</v>
      </c>
      <c r="R40" s="184">
        <v>0</v>
      </c>
      <c r="S40" s="184">
        <v>0</v>
      </c>
      <c r="T40" s="184">
        <v>0</v>
      </c>
      <c r="U40" s="184">
        <v>0</v>
      </c>
      <c r="V40" s="192"/>
      <c r="W40" s="184">
        <f>I40</f>
        <v>0</v>
      </c>
      <c r="X40" s="192"/>
      <c r="Y40" s="184">
        <f>N40</f>
        <v>0</v>
      </c>
      <c r="Z40" s="194"/>
    </row>
    <row r="41" spans="4:26" s="197" customFormat="1" ht="15" customHeight="1">
      <c r="D41" s="198" t="s">
        <v>80</v>
      </c>
      <c r="E41" s="196"/>
      <c r="F41" s="193">
        <f>F36+F37+F38+F39+F40</f>
        <v>156400725</v>
      </c>
      <c r="G41" s="193">
        <f t="shared" ref="G41:U41" si="26">G36+G37+G38+G39+G40</f>
        <v>152236605</v>
      </c>
      <c r="H41" s="193">
        <f t="shared" si="26"/>
        <v>149338993</v>
      </c>
      <c r="I41" s="193" t="e">
        <f t="shared" si="26"/>
        <v>#REF!</v>
      </c>
      <c r="J41" s="193">
        <f t="shared" si="26"/>
        <v>0</v>
      </c>
      <c r="K41" s="193">
        <f t="shared" si="26"/>
        <v>0</v>
      </c>
      <c r="L41" s="193">
        <f t="shared" si="26"/>
        <v>0</v>
      </c>
      <c r="M41" s="193">
        <f t="shared" si="26"/>
        <v>0</v>
      </c>
      <c r="N41" s="193">
        <f t="shared" si="26"/>
        <v>0</v>
      </c>
      <c r="O41" s="193">
        <f t="shared" si="26"/>
        <v>0</v>
      </c>
      <c r="P41" s="193">
        <f t="shared" si="26"/>
        <v>0</v>
      </c>
      <c r="Q41" s="193">
        <f t="shared" si="26"/>
        <v>0</v>
      </c>
      <c r="R41" s="193">
        <f t="shared" si="26"/>
        <v>0</v>
      </c>
      <c r="S41" s="193" t="e">
        <f t="shared" si="26"/>
        <v>#REF!</v>
      </c>
      <c r="T41" s="193" t="e">
        <f t="shared" si="26"/>
        <v>#REF!</v>
      </c>
      <c r="U41" s="193" t="e">
        <f t="shared" si="26"/>
        <v>#REF!</v>
      </c>
      <c r="V41" s="196"/>
      <c r="W41" s="193" t="e">
        <f t="shared" ref="W41" si="27">W36+W37+W38+W39+W40</f>
        <v>#REF!</v>
      </c>
      <c r="X41" s="196"/>
      <c r="Y41" s="193">
        <f t="shared" ref="Y41" si="28">Y36+Y37+Y38+Y39+Y40</f>
        <v>0</v>
      </c>
      <c r="Z41" s="199"/>
    </row>
    <row r="42" spans="4:26" s="189" customFormat="1" ht="15" customHeight="1">
      <c r="D42" s="185" t="s">
        <v>81</v>
      </c>
      <c r="E42" s="186"/>
      <c r="F42" s="190">
        <f t="shared" ref="F42:U42" si="29">F41/F$44</f>
        <v>0.36848402532213914</v>
      </c>
      <c r="G42" s="190">
        <f t="shared" si="29"/>
        <v>0.22244180257894036</v>
      </c>
      <c r="H42" s="190">
        <f t="shared" si="29"/>
        <v>0.23263490957270325</v>
      </c>
      <c r="I42" s="190" t="e">
        <f t="shared" si="29"/>
        <v>#REF!</v>
      </c>
      <c r="J42" s="190">
        <f t="shared" si="29"/>
        <v>0</v>
      </c>
      <c r="K42" s="190">
        <f t="shared" si="29"/>
        <v>0</v>
      </c>
      <c r="L42" s="190">
        <f t="shared" si="29"/>
        <v>0</v>
      </c>
      <c r="M42" s="190">
        <f t="shared" si="29"/>
        <v>0</v>
      </c>
      <c r="N42" s="190">
        <f t="shared" si="29"/>
        <v>0</v>
      </c>
      <c r="O42" s="190">
        <f t="shared" si="29"/>
        <v>0</v>
      </c>
      <c r="P42" s="190">
        <f t="shared" si="29"/>
        <v>0</v>
      </c>
      <c r="Q42" s="190">
        <f t="shared" si="29"/>
        <v>0</v>
      </c>
      <c r="R42" s="190">
        <f t="shared" si="29"/>
        <v>0</v>
      </c>
      <c r="S42" s="190" t="e">
        <f t="shared" si="29"/>
        <v>#REF!</v>
      </c>
      <c r="T42" s="190" t="e">
        <f t="shared" si="29"/>
        <v>#REF!</v>
      </c>
      <c r="U42" s="190" t="e">
        <f t="shared" si="29"/>
        <v>#REF!</v>
      </c>
      <c r="V42" s="186"/>
      <c r="W42" s="190" t="e">
        <f t="shared" ref="W42" si="30">W41/W$44</f>
        <v>#REF!</v>
      </c>
      <c r="X42" s="186"/>
      <c r="Y42" s="190">
        <f t="shared" ref="Y42" si="31">Y41/Y$44</f>
        <v>0</v>
      </c>
      <c r="Z42" s="188"/>
    </row>
    <row r="43" spans="4:26" s="182" customFormat="1" ht="15" customHeight="1">
      <c r="D43" s="179"/>
      <c r="E43" s="180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0"/>
      <c r="W43" s="181"/>
      <c r="X43" s="180"/>
      <c r="Y43" s="181"/>
    </row>
    <row r="44" spans="4:26" s="197" customFormat="1" ht="15" customHeight="1">
      <c r="D44" s="198" t="s">
        <v>82</v>
      </c>
      <c r="E44" s="196"/>
      <c r="F44" s="193">
        <f t="shared" ref="F44:U44" si="32">(F21+F33+F41)</f>
        <v>424443705.16000003</v>
      </c>
      <c r="G44" s="193">
        <f t="shared" si="32"/>
        <v>684388470.30999994</v>
      </c>
      <c r="H44" s="193">
        <f t="shared" si="32"/>
        <v>641945756.44000006</v>
      </c>
      <c r="I44" s="193" t="e">
        <f t="shared" si="32"/>
        <v>#REF!</v>
      </c>
      <c r="J44" s="193">
        <f t="shared" si="32"/>
        <v>722457437.04999995</v>
      </c>
      <c r="K44" s="193">
        <f t="shared" si="32"/>
        <v>585700973.02999997</v>
      </c>
      <c r="L44" s="193">
        <f t="shared" si="32"/>
        <v>850702209.98000014</v>
      </c>
      <c r="M44" s="193">
        <f t="shared" si="32"/>
        <v>843257401.33000004</v>
      </c>
      <c r="N44" s="193">
        <f t="shared" si="32"/>
        <v>805014556.92999995</v>
      </c>
      <c r="O44" s="193">
        <f t="shared" si="32"/>
        <v>927817346.08000004</v>
      </c>
      <c r="P44" s="193">
        <f>(P21+P33+P41)</f>
        <v>842635169.44000006</v>
      </c>
      <c r="Q44" s="193">
        <f t="shared" si="32"/>
        <v>1048914676.2499999</v>
      </c>
      <c r="R44" s="193">
        <f t="shared" si="32"/>
        <v>936621224</v>
      </c>
      <c r="S44" s="193" t="e">
        <f>(S21+S33+S41)</f>
        <v>#REF!</v>
      </c>
      <c r="T44" s="193" t="e">
        <f t="shared" si="32"/>
        <v>#REF!</v>
      </c>
      <c r="U44" s="193" t="e">
        <f t="shared" si="32"/>
        <v>#REF!</v>
      </c>
      <c r="V44" s="196"/>
      <c r="W44" s="193" t="e">
        <f>(W21+W33+W41)</f>
        <v>#REF!</v>
      </c>
      <c r="X44" s="196"/>
      <c r="Y44" s="193">
        <f>(Y21+Y33+Y41)</f>
        <v>805014556.92999995</v>
      </c>
      <c r="Z44" s="199"/>
    </row>
    <row r="45" spans="4:26" s="173" customFormat="1" ht="15" customHeight="1">
      <c r="D45" s="200" t="s">
        <v>83</v>
      </c>
      <c r="E45" s="170"/>
      <c r="F45" s="201">
        <f>F21-F60</f>
        <v>-1563821.1499999762</v>
      </c>
      <c r="G45" s="201">
        <f t="shared" ref="G45:U45" si="33">G21-G60</f>
        <v>107941998.88999999</v>
      </c>
      <c r="H45" s="201">
        <f t="shared" si="33"/>
        <v>93566203.439999998</v>
      </c>
      <c r="I45" s="201" t="e">
        <f t="shared" si="33"/>
        <v>#REF!</v>
      </c>
      <c r="J45" s="201">
        <f t="shared" si="33"/>
        <v>503103330.56999993</v>
      </c>
      <c r="K45" s="201">
        <f t="shared" si="33"/>
        <v>406946346.54999995</v>
      </c>
      <c r="L45" s="201">
        <f t="shared" si="33"/>
        <v>551167967.50000012</v>
      </c>
      <c r="M45" s="201">
        <f t="shared" si="33"/>
        <v>515544040.59000003</v>
      </c>
      <c r="N45" s="201">
        <f t="shared" si="33"/>
        <v>446091234.38</v>
      </c>
      <c r="O45" s="201">
        <f t="shared" si="33"/>
        <v>414623393.74000001</v>
      </c>
      <c r="P45" s="201">
        <f>P21-P60</f>
        <v>497030209.69000006</v>
      </c>
      <c r="Q45" s="201">
        <f t="shared" si="33"/>
        <v>499192530.00999987</v>
      </c>
      <c r="R45" s="201">
        <f t="shared" si="33"/>
        <v>520468673</v>
      </c>
      <c r="S45" s="201" t="e">
        <f>S21-S60</f>
        <v>#REF!</v>
      </c>
      <c r="T45" s="201" t="e">
        <f>T21-T60</f>
        <v>#REF!</v>
      </c>
      <c r="U45" s="201" t="e">
        <f t="shared" si="33"/>
        <v>#REF!</v>
      </c>
      <c r="V45" s="170"/>
      <c r="W45" s="201" t="e">
        <f>W21-W60</f>
        <v>#REF!</v>
      </c>
      <c r="X45" s="170"/>
      <c r="Y45" s="201">
        <f>Y21-Y60</f>
        <v>446091234.38</v>
      </c>
    </row>
    <row r="46" spans="4:26" s="188" customFormat="1" ht="15" customHeight="1">
      <c r="D46" s="185" t="s">
        <v>84</v>
      </c>
      <c r="E46" s="186"/>
      <c r="F46" s="202">
        <f t="shared" ref="F46:U46" si="34">F45/F$44</f>
        <v>-3.6844017969602629E-3</v>
      </c>
      <c r="G46" s="202">
        <f t="shared" si="34"/>
        <v>0.15772036434381584</v>
      </c>
      <c r="H46" s="202">
        <f t="shared" si="34"/>
        <v>0.14575406488997522</v>
      </c>
      <c r="I46" s="202" t="e">
        <f t="shared" si="34"/>
        <v>#REF!</v>
      </c>
      <c r="J46" s="202">
        <f t="shared" si="34"/>
        <v>0.69637781379109964</v>
      </c>
      <c r="K46" s="202">
        <f t="shared" si="34"/>
        <v>0.6948022374706827</v>
      </c>
      <c r="L46" s="202">
        <f t="shared" si="34"/>
        <v>0.64789765564727753</v>
      </c>
      <c r="M46" s="202">
        <f t="shared" si="34"/>
        <v>0.61137209086676869</v>
      </c>
      <c r="N46" s="202">
        <f t="shared" si="34"/>
        <v>0.55414058111099462</v>
      </c>
      <c r="O46" s="202">
        <f t="shared" si="34"/>
        <v>0.44688040754117303</v>
      </c>
      <c r="P46" s="202">
        <f t="shared" si="34"/>
        <v>0.58985220142225636</v>
      </c>
      <c r="Q46" s="202">
        <f t="shared" si="34"/>
        <v>0.47591338105276121</v>
      </c>
      <c r="R46" s="202">
        <f t="shared" si="34"/>
        <v>0.55568746432762872</v>
      </c>
      <c r="S46" s="202" t="e">
        <f t="shared" si="34"/>
        <v>#REF!</v>
      </c>
      <c r="T46" s="202" t="e">
        <f t="shared" si="34"/>
        <v>#REF!</v>
      </c>
      <c r="U46" s="202" t="e">
        <f t="shared" si="34"/>
        <v>#REF!</v>
      </c>
      <c r="V46" s="186"/>
      <c r="W46" s="202" t="e">
        <f t="shared" ref="W46" si="35">W45/W$44</f>
        <v>#REF!</v>
      </c>
      <c r="X46" s="186"/>
      <c r="Y46" s="202">
        <f t="shared" ref="Y46" si="36">Y45/Y$44</f>
        <v>0.55414058111099462</v>
      </c>
    </row>
    <row r="47" spans="4:26" s="173" customFormat="1" ht="15" customHeight="1">
      <c r="D47" s="203"/>
      <c r="E47" s="170"/>
      <c r="V47" s="170"/>
      <c r="X47" s="170"/>
    </row>
    <row r="48" spans="4:26" s="189" customFormat="1" ht="15" customHeight="1">
      <c r="D48" s="185" t="s">
        <v>57</v>
      </c>
      <c r="E48" s="186"/>
      <c r="F48" s="187">
        <f t="shared" ref="F48:U48" si="37">(F9+F10)/F45</f>
        <v>-108.24463108201509</v>
      </c>
      <c r="G48" s="187">
        <f t="shared" si="37"/>
        <v>3.0556187727829474</v>
      </c>
      <c r="H48" s="187">
        <f t="shared" si="37"/>
        <v>3.596580417370411</v>
      </c>
      <c r="I48" s="187" t="e">
        <f t="shared" si="37"/>
        <v>#REF!</v>
      </c>
      <c r="J48" s="187">
        <f t="shared" si="37"/>
        <v>0.99531559773748701</v>
      </c>
      <c r="K48" s="187">
        <f t="shared" si="37"/>
        <v>0.8683968864347088</v>
      </c>
      <c r="L48" s="187">
        <f t="shared" si="37"/>
        <v>1.1202959945055224</v>
      </c>
      <c r="M48" s="187">
        <f t="shared" si="37"/>
        <v>1.294530541942114</v>
      </c>
      <c r="N48" s="187">
        <f t="shared" si="37"/>
        <v>1.3795198085775038</v>
      </c>
      <c r="O48" s="187">
        <f t="shared" si="37"/>
        <v>1.7401030809236653</v>
      </c>
      <c r="P48" s="187">
        <f t="shared" si="37"/>
        <v>1.2676006426107502</v>
      </c>
      <c r="Q48" s="187">
        <f t="shared" si="37"/>
        <v>1.6936607047246151</v>
      </c>
      <c r="R48" s="187">
        <f t="shared" si="37"/>
        <v>1.4331252747655765</v>
      </c>
      <c r="S48" s="187" t="e">
        <f t="shared" si="37"/>
        <v>#REF!</v>
      </c>
      <c r="T48" s="187" t="e">
        <f t="shared" si="37"/>
        <v>#REF!</v>
      </c>
      <c r="U48" s="187" t="e">
        <f t="shared" si="37"/>
        <v>#REF!</v>
      </c>
      <c r="V48" s="186"/>
      <c r="W48" s="187" t="e">
        <f>(W9+W10)/W45</f>
        <v>#REF!</v>
      </c>
      <c r="X48" s="186"/>
      <c r="Y48" s="187">
        <f>(Y9+Y10)/Y45</f>
        <v>1.3795198085775038</v>
      </c>
      <c r="Z48" s="188"/>
    </row>
    <row r="49" spans="4:48" s="189" customFormat="1" ht="15" customHeight="1">
      <c r="D49" s="185" t="s">
        <v>85</v>
      </c>
      <c r="E49" s="186"/>
      <c r="F49" s="187">
        <f t="shared" ref="F49:U49" si="38">F21/F60</f>
        <v>0.99396227633747913</v>
      </c>
      <c r="G49" s="187">
        <f t="shared" si="38"/>
        <v>1.2634307823237849</v>
      </c>
      <c r="H49" s="187">
        <f t="shared" si="38"/>
        <v>1.2431113091520594</v>
      </c>
      <c r="I49" s="187" t="e">
        <f t="shared" si="38"/>
        <v>#REF!</v>
      </c>
      <c r="J49" s="187">
        <f t="shared" si="38"/>
        <v>3.6355852679295806</v>
      </c>
      <c r="K49" s="187">
        <f t="shared" si="38"/>
        <v>3.7104617377476372</v>
      </c>
      <c r="L49" s="187">
        <f t="shared" si="38"/>
        <v>3.0395622310912147</v>
      </c>
      <c r="M49" s="187">
        <f t="shared" si="38"/>
        <v>2.730499846788792</v>
      </c>
      <c r="N49" s="187">
        <f t="shared" si="38"/>
        <v>2.4168479488517529</v>
      </c>
      <c r="O49" s="187">
        <f t="shared" si="38"/>
        <v>1.9132480781314936</v>
      </c>
      <c r="P49" s="187">
        <f t="shared" si="38"/>
        <v>2.7299763580475327</v>
      </c>
      <c r="Q49" s="187">
        <f t="shared" si="38"/>
        <v>2.0148780667560264</v>
      </c>
      <c r="R49" s="187">
        <f t="shared" si="38"/>
        <v>2.4491270225733786</v>
      </c>
      <c r="S49" s="187" t="e">
        <f t="shared" si="38"/>
        <v>#REF!</v>
      </c>
      <c r="T49" s="187" t="e">
        <f t="shared" si="38"/>
        <v>#REF!</v>
      </c>
      <c r="U49" s="187" t="e">
        <f t="shared" si="38"/>
        <v>#REF!</v>
      </c>
      <c r="V49" s="186"/>
      <c r="W49" s="187" t="e">
        <f>W21/W60</f>
        <v>#REF!</v>
      </c>
      <c r="X49" s="186"/>
      <c r="Y49" s="187">
        <f>Y21/Y60</f>
        <v>2.4168479488517529</v>
      </c>
      <c r="Z49" s="188"/>
    </row>
    <row r="50" spans="4:48" s="189" customFormat="1" ht="15" customHeight="1">
      <c r="D50" s="185" t="s">
        <v>86</v>
      </c>
      <c r="E50" s="186"/>
      <c r="F50" s="187">
        <f>F16/F60</f>
        <v>0.65576438821357419</v>
      </c>
      <c r="G50" s="187">
        <f t="shared" ref="G50:U50" si="39">G16/G60</f>
        <v>0.82198484491152424</v>
      </c>
      <c r="H50" s="187">
        <f t="shared" si="39"/>
        <v>0.91731568326042245</v>
      </c>
      <c r="I50" s="187" t="e">
        <f t="shared" si="39"/>
        <v>#REF!</v>
      </c>
      <c r="J50" s="187">
        <f t="shared" si="39"/>
        <v>3.0814197275246178</v>
      </c>
      <c r="K50" s="187">
        <f t="shared" si="39"/>
        <v>3.0127857313907924</v>
      </c>
      <c r="L50" s="187">
        <f t="shared" si="39"/>
        <v>2.5717231138121308</v>
      </c>
      <c r="M50" s="187">
        <f t="shared" si="39"/>
        <v>2.3107620931282731</v>
      </c>
      <c r="N50" s="187">
        <f t="shared" si="39"/>
        <v>2.0260164986260123</v>
      </c>
      <c r="O50" s="187">
        <f t="shared" si="39"/>
        <v>1.6349144324369229</v>
      </c>
      <c r="P50" s="187">
        <f t="shared" si="39"/>
        <v>2.3433690390639619</v>
      </c>
      <c r="Q50" s="187">
        <f t="shared" si="39"/>
        <v>1.8015954921540027</v>
      </c>
      <c r="R50" s="187">
        <f t="shared" si="39"/>
        <v>2.1688014348897164</v>
      </c>
      <c r="S50" s="187" t="e">
        <f t="shared" si="39"/>
        <v>#REF!</v>
      </c>
      <c r="T50" s="187" t="e">
        <f t="shared" si="39"/>
        <v>#REF!</v>
      </c>
      <c r="U50" s="187" t="e">
        <f t="shared" si="39"/>
        <v>#REF!</v>
      </c>
      <c r="V50" s="186"/>
      <c r="W50" s="187" t="e">
        <f>W16/W60</f>
        <v>#REF!</v>
      </c>
      <c r="X50" s="186"/>
      <c r="Y50" s="187">
        <f>Y16/Y60</f>
        <v>2.0260164986260123</v>
      </c>
      <c r="Z50" s="188"/>
    </row>
    <row r="51" spans="4:48" s="173" customFormat="1" ht="15" customHeight="1">
      <c r="D51" s="203"/>
      <c r="E51" s="170"/>
      <c r="V51" s="170"/>
      <c r="X51" s="170"/>
    </row>
    <row r="52" spans="4:48" s="195" customFormat="1" ht="15" customHeight="1">
      <c r="D52" s="174" t="s">
        <v>180</v>
      </c>
      <c r="E52" s="168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8"/>
      <c r="W52" s="166"/>
      <c r="X52" s="168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</row>
    <row r="53" spans="4:48" s="197" customFormat="1" ht="15" customHeight="1">
      <c r="D53" s="204" t="s">
        <v>51</v>
      </c>
      <c r="E53" s="168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168"/>
      <c r="W53" s="205"/>
      <c r="X53" s="168"/>
      <c r="Y53" s="205"/>
      <c r="Z53" s="166"/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05"/>
      <c r="AR53" s="205"/>
      <c r="AS53" s="205"/>
      <c r="AT53" s="205"/>
      <c r="AU53" s="205"/>
      <c r="AV53" s="205"/>
    </row>
    <row r="54" spans="4:48" ht="15" customHeight="1">
      <c r="D54" s="183" t="s">
        <v>87</v>
      </c>
      <c r="F54" s="184">
        <v>0</v>
      </c>
      <c r="G54" s="184">
        <v>0</v>
      </c>
      <c r="H54" s="184">
        <v>0</v>
      </c>
      <c r="I54" s="184">
        <v>0</v>
      </c>
      <c r="J54" s="184">
        <v>0</v>
      </c>
      <c r="K54" s="184">
        <v>0</v>
      </c>
      <c r="L54" s="184">
        <v>0</v>
      </c>
      <c r="M54" s="184">
        <v>0</v>
      </c>
      <c r="N54" s="184">
        <v>0</v>
      </c>
      <c r="O54" s="184">
        <v>0</v>
      </c>
      <c r="P54" s="184">
        <v>0</v>
      </c>
      <c r="Q54" s="184">
        <v>0</v>
      </c>
      <c r="R54" s="184">
        <v>0</v>
      </c>
      <c r="S54" s="184">
        <v>0</v>
      </c>
      <c r="T54" s="184">
        <v>0</v>
      </c>
      <c r="U54" s="184">
        <v>0</v>
      </c>
      <c r="W54" s="184">
        <f t="shared" ref="W54:W59" si="40">I54</f>
        <v>0</v>
      </c>
      <c r="Y54" s="184">
        <f t="shared" ref="Y54:Y59" si="41">N54</f>
        <v>0</v>
      </c>
    </row>
    <row r="55" spans="4:48" s="197" customFormat="1" ht="15" customHeight="1">
      <c r="D55" s="183" t="s">
        <v>88</v>
      </c>
      <c r="E55" s="196"/>
      <c r="F55" s="184">
        <f>'CIFRAS EEFF'!D35</f>
        <v>178672729.06999999</v>
      </c>
      <c r="G55" s="184">
        <f>'CIFRAS EEFF'!E35</f>
        <v>297405714.66000003</v>
      </c>
      <c r="H55" s="184">
        <f>'CIFRAS EEFF'!F35</f>
        <v>321473108.27999997</v>
      </c>
      <c r="I55" s="184" t="e">
        <f>'CIFRAS EEFF'!#REF!</f>
        <v>#REF!</v>
      </c>
      <c r="J55" s="184">
        <f>'CIFRAS EEFF'!G35</f>
        <v>130111776</v>
      </c>
      <c r="K55" s="184">
        <f>'CIFRAS EEFF'!H35</f>
        <v>109320038</v>
      </c>
      <c r="L55" s="184">
        <f>'CIFRAS EEFF'!I35</f>
        <v>190969397</v>
      </c>
      <c r="M55" s="184">
        <f>'CIFRAS EEFF'!J35</f>
        <v>188336511</v>
      </c>
      <c r="N55" s="184">
        <f>'CIFRAS EEFF'!K35</f>
        <v>244505252</v>
      </c>
      <c r="O55" s="184">
        <f>'CIFRAS EEFF'!L35</f>
        <v>363400350</v>
      </c>
      <c r="P55" s="184">
        <f>'CIFRAS EEFF'!M35</f>
        <v>195606484</v>
      </c>
      <c r="Q55" s="184">
        <f>'CIFRAS EEFF'!N35</f>
        <v>375965174</v>
      </c>
      <c r="R55" s="184">
        <f>'CIFRAS EEFF'!O35</f>
        <v>290214402</v>
      </c>
      <c r="S55" s="184" t="e">
        <f>'CIFRAS EEFF'!#REF!</f>
        <v>#REF!</v>
      </c>
      <c r="T55" s="184" t="e">
        <f>'CIFRAS EEFF'!#REF!</f>
        <v>#REF!</v>
      </c>
      <c r="U55" s="184" t="e">
        <f>'CIFRAS EEFF'!#REF!</f>
        <v>#REF!</v>
      </c>
      <c r="V55" s="196"/>
      <c r="W55" s="184" t="e">
        <f t="shared" si="40"/>
        <v>#REF!</v>
      </c>
      <c r="X55" s="196"/>
      <c r="Y55" s="184">
        <f t="shared" si="41"/>
        <v>244505252</v>
      </c>
      <c r="Z55" s="199"/>
    </row>
    <row r="56" spans="4:48" s="197" customFormat="1" ht="15" customHeight="1">
      <c r="D56" s="183" t="s">
        <v>89</v>
      </c>
      <c r="E56" s="196"/>
      <c r="F56" s="184">
        <f>'CIFRAS EEFF'!D36</f>
        <v>71765640</v>
      </c>
      <c r="G56" s="184">
        <f>'CIFRAS EEFF'!E36</f>
        <v>81820458.959999993</v>
      </c>
      <c r="H56" s="184">
        <f>'CIFRAS EEFF'!F36</f>
        <v>27631326</v>
      </c>
      <c r="I56" s="184" t="e">
        <f>'CIFRAS EEFF'!#REF!</f>
        <v>#REF!</v>
      </c>
      <c r="J56" s="184">
        <f>'CIFRAS EEFF'!G36</f>
        <v>27585406.739999998</v>
      </c>
      <c r="K56" s="184">
        <f>'CIFRAS EEFF'!H36</f>
        <v>24399516.739999998</v>
      </c>
      <c r="L56" s="184">
        <f>'CIFRAS EEFF'!I36</f>
        <v>32437323.739999998</v>
      </c>
      <c r="M56" s="184">
        <f>'CIFRAS EEFF'!J36</f>
        <v>41308953.380000003</v>
      </c>
      <c r="N56" s="184">
        <f>'CIFRAS EEFF'!K36</f>
        <v>49842328.380000003</v>
      </c>
      <c r="O56" s="184">
        <f>'CIFRAS EEFF'!L36</f>
        <v>50184857</v>
      </c>
      <c r="P56" s="184">
        <f>'CIFRAS EEFF'!M36</f>
        <v>20999282.870000001</v>
      </c>
      <c r="Q56" s="184">
        <f>'CIFRAS EEFF'!N36</f>
        <v>24911521</v>
      </c>
      <c r="R56" s="184">
        <f>'CIFRAS EEFF'!O36</f>
        <v>46776916</v>
      </c>
      <c r="S56" s="184" t="e">
        <f>'CIFRAS EEFF'!#REF!</f>
        <v>#REF!</v>
      </c>
      <c r="T56" s="184" t="e">
        <f>'CIFRAS EEFF'!#REF!</f>
        <v>#REF!</v>
      </c>
      <c r="U56" s="184" t="e">
        <f>'CIFRAS EEFF'!#REF!</f>
        <v>#REF!</v>
      </c>
      <c r="V56" s="196"/>
      <c r="W56" s="184" t="e">
        <f t="shared" si="40"/>
        <v>#REF!</v>
      </c>
      <c r="X56" s="196"/>
      <c r="Y56" s="184">
        <f t="shared" si="41"/>
        <v>49842328.380000003</v>
      </c>
      <c r="Z56" s="199"/>
    </row>
    <row r="57" spans="4:48" s="197" customFormat="1" ht="15" customHeight="1">
      <c r="D57" s="183" t="s">
        <v>90</v>
      </c>
      <c r="E57" s="196"/>
      <c r="F57" s="184">
        <v>0</v>
      </c>
      <c r="G57" s="184">
        <v>0</v>
      </c>
      <c r="H57" s="184">
        <v>0</v>
      </c>
      <c r="I57" s="184">
        <v>0</v>
      </c>
      <c r="J57" s="184">
        <v>0</v>
      </c>
      <c r="K57" s="184">
        <v>0</v>
      </c>
      <c r="L57" s="184">
        <v>0</v>
      </c>
      <c r="M57" s="184">
        <v>0</v>
      </c>
      <c r="N57" s="184">
        <v>0</v>
      </c>
      <c r="O57" s="184">
        <v>0</v>
      </c>
      <c r="P57" s="184">
        <v>0</v>
      </c>
      <c r="Q57" s="184">
        <v>0</v>
      </c>
      <c r="R57" s="184">
        <v>0</v>
      </c>
      <c r="S57" s="184">
        <v>0</v>
      </c>
      <c r="T57" s="184">
        <v>0</v>
      </c>
      <c r="U57" s="184">
        <v>0</v>
      </c>
      <c r="V57" s="196"/>
      <c r="W57" s="184">
        <f t="shared" si="40"/>
        <v>0</v>
      </c>
      <c r="X57" s="196"/>
      <c r="Y57" s="184">
        <f t="shared" si="41"/>
        <v>0</v>
      </c>
      <c r="Z57" s="199"/>
    </row>
    <row r="58" spans="4:48" s="197" customFormat="1" ht="15" customHeight="1">
      <c r="D58" s="183" t="s">
        <v>91</v>
      </c>
      <c r="E58" s="196"/>
      <c r="F58" s="184">
        <f>'CIFRAS EEFF'!D37</f>
        <v>6854031.6799999997</v>
      </c>
      <c r="G58" s="184">
        <f>'CIFRAS EEFF'!E37</f>
        <v>24944615.68</v>
      </c>
      <c r="H58" s="184">
        <f>'CIFRAS EEFF'!F37</f>
        <v>35765376.039999999</v>
      </c>
      <c r="I58" s="184" t="e">
        <f>'CIFRAS EEFF'!#REF!</f>
        <v>#REF!</v>
      </c>
      <c r="J58" s="184">
        <f>'CIFRAS EEFF'!G37</f>
        <v>13823177.640000001</v>
      </c>
      <c r="K58" s="184">
        <f>'CIFRAS EEFF'!H37</f>
        <v>13521015.640000001</v>
      </c>
      <c r="L58" s="184">
        <f>'CIFRAS EEFF'!I37</f>
        <v>44261254.640000001</v>
      </c>
      <c r="M58" s="184">
        <f>'CIFRAS EEFF'!J37</f>
        <v>65140451.640000001</v>
      </c>
      <c r="N58" s="184">
        <f>'CIFRAS EEFF'!K37</f>
        <v>16787114.640000001</v>
      </c>
      <c r="O58" s="184">
        <f>'CIFRAS EEFF'!L37</f>
        <v>38211446</v>
      </c>
      <c r="P58" s="184">
        <f>'CIFRAS EEFF'!M37</f>
        <v>68844835.640000001</v>
      </c>
      <c r="Q58" s="184">
        <f>'CIFRAS EEFF'!N37</f>
        <v>83195045</v>
      </c>
      <c r="R58" s="184">
        <f>'CIFRAS EEFF'!O37</f>
        <v>20314805</v>
      </c>
      <c r="S58" s="184" t="e">
        <f>'CIFRAS EEFF'!#REF!</f>
        <v>#REF!</v>
      </c>
      <c r="T58" s="184" t="e">
        <f>'CIFRAS EEFF'!#REF!</f>
        <v>#REF!</v>
      </c>
      <c r="U58" s="184" t="e">
        <f>'CIFRAS EEFF'!#REF!</f>
        <v>#REF!</v>
      </c>
      <c r="V58" s="196"/>
      <c r="W58" s="184" t="e">
        <f t="shared" si="40"/>
        <v>#REF!</v>
      </c>
      <c r="X58" s="196"/>
      <c r="Y58" s="184">
        <f t="shared" si="41"/>
        <v>16787114.640000001</v>
      </c>
      <c r="Z58" s="199"/>
    </row>
    <row r="59" spans="4:48" s="197" customFormat="1" ht="15" customHeight="1">
      <c r="D59" s="183" t="s">
        <v>178</v>
      </c>
      <c r="E59" s="196"/>
      <c r="F59" s="184">
        <f>'CIFRAS EEFF'!D38</f>
        <v>1716000</v>
      </c>
      <c r="G59" s="184">
        <f>'CIFRAS EEFF'!E38</f>
        <v>5583902</v>
      </c>
      <c r="H59" s="184">
        <f>'CIFRAS EEFF'!F38</f>
        <v>0</v>
      </c>
      <c r="I59" s="184" t="e">
        <f>'CIFRAS EEFF'!#REF!</f>
        <v>#REF!</v>
      </c>
      <c r="J59" s="184">
        <f>'CIFRAS EEFF'!G38</f>
        <v>19368296</v>
      </c>
      <c r="K59" s="184">
        <f>'CIFRAS EEFF'!H38</f>
        <v>2898552</v>
      </c>
      <c r="L59" s="184">
        <f>'CIFRAS EEFF'!I38</f>
        <v>2570392</v>
      </c>
      <c r="M59" s="184">
        <f>'CIFRAS EEFF'!J38</f>
        <v>3130343</v>
      </c>
      <c r="N59" s="184">
        <f>'CIFRAS EEFF'!K38</f>
        <v>3712946</v>
      </c>
      <c r="O59" s="184">
        <f>'CIFRAS EEFF'!L38</f>
        <v>2212946</v>
      </c>
      <c r="P59" s="184">
        <f>'CIFRAS EEFF'!M38</f>
        <v>1854023</v>
      </c>
      <c r="Q59" s="184">
        <f>'CIFRAS EEFF'!N38</f>
        <v>7802650</v>
      </c>
      <c r="R59" s="184">
        <f>'CIFRAS EEFF'!O38</f>
        <v>1854023</v>
      </c>
      <c r="S59" s="184" t="e">
        <f>'CIFRAS EEFF'!#REF!</f>
        <v>#REF!</v>
      </c>
      <c r="T59" s="184" t="e">
        <f>'CIFRAS EEFF'!#REF!</f>
        <v>#REF!</v>
      </c>
      <c r="U59" s="184" t="e">
        <f>'CIFRAS EEFF'!#REF!</f>
        <v>#REF!</v>
      </c>
      <c r="V59" s="196"/>
      <c r="W59" s="184" t="e">
        <f t="shared" si="40"/>
        <v>#REF!</v>
      </c>
      <c r="X59" s="196"/>
      <c r="Y59" s="184">
        <f t="shared" si="41"/>
        <v>3712946</v>
      </c>
      <c r="Z59" s="199"/>
    </row>
    <row r="60" spans="4:48" s="197" customFormat="1" ht="15" customHeight="1">
      <c r="D60" s="198" t="s">
        <v>92</v>
      </c>
      <c r="E60" s="196"/>
      <c r="F60" s="193">
        <f>F54+F55+F56+F57+F58+F59</f>
        <v>259008400.75</v>
      </c>
      <c r="G60" s="193">
        <f t="shared" ref="G60:U60" si="42">G54+G55+G56+G57+G58+G59</f>
        <v>409754691.30000001</v>
      </c>
      <c r="H60" s="193">
        <f t="shared" si="42"/>
        <v>384869810.31999999</v>
      </c>
      <c r="I60" s="193" t="e">
        <f t="shared" si="42"/>
        <v>#REF!</v>
      </c>
      <c r="J60" s="193">
        <f t="shared" si="42"/>
        <v>190888656.38</v>
      </c>
      <c r="K60" s="193">
        <f t="shared" si="42"/>
        <v>150139122.38</v>
      </c>
      <c r="L60" s="193">
        <f t="shared" si="42"/>
        <v>270238367.38</v>
      </c>
      <c r="M60" s="193">
        <f t="shared" si="42"/>
        <v>297916259.01999998</v>
      </c>
      <c r="N60" s="193">
        <f t="shared" si="42"/>
        <v>314847641.01999998</v>
      </c>
      <c r="O60" s="193">
        <f t="shared" si="42"/>
        <v>454009599</v>
      </c>
      <c r="P60" s="193">
        <f>P54+P55+P56+P57+P58+P59</f>
        <v>287304625.50999999</v>
      </c>
      <c r="Q60" s="193">
        <f t="shared" si="42"/>
        <v>491874390</v>
      </c>
      <c r="R60" s="193">
        <f t="shared" ref="R60" si="43">R54+R55+R56+R57+R58+R59</f>
        <v>359160146</v>
      </c>
      <c r="S60" s="193" t="e">
        <f t="shared" si="42"/>
        <v>#REF!</v>
      </c>
      <c r="T60" s="193" t="e">
        <f t="shared" si="42"/>
        <v>#REF!</v>
      </c>
      <c r="U60" s="193" t="e">
        <f t="shared" si="42"/>
        <v>#REF!</v>
      </c>
      <c r="V60" s="196"/>
      <c r="W60" s="193" t="e">
        <f t="shared" ref="W60" si="44">W54+W55+W56+W57+W58+W59</f>
        <v>#REF!</v>
      </c>
      <c r="X60" s="196"/>
      <c r="Y60" s="193">
        <f t="shared" ref="Y60" si="45">Y54+Y55+Y56+Y57+Y58+Y59</f>
        <v>314847641.01999998</v>
      </c>
      <c r="Z60" s="199"/>
    </row>
    <row r="61" spans="4:48" s="197" customFormat="1" ht="15" customHeight="1">
      <c r="D61" s="183" t="str">
        <f>'[3]INFO DE HUGO S'!BP50</f>
        <v>CREDITOS A LARGO PLAZO</v>
      </c>
      <c r="E61" s="196"/>
      <c r="F61" s="184">
        <v>0</v>
      </c>
      <c r="G61" s="184">
        <v>0</v>
      </c>
      <c r="H61" s="184">
        <v>0</v>
      </c>
      <c r="I61" s="184">
        <v>0</v>
      </c>
      <c r="J61" s="184">
        <v>0</v>
      </c>
      <c r="K61" s="184">
        <v>0</v>
      </c>
      <c r="L61" s="184">
        <v>0</v>
      </c>
      <c r="M61" s="184">
        <v>0</v>
      </c>
      <c r="N61" s="184">
        <v>0</v>
      </c>
      <c r="O61" s="184">
        <v>0</v>
      </c>
      <c r="P61" s="184">
        <v>0</v>
      </c>
      <c r="Q61" s="184">
        <v>0</v>
      </c>
      <c r="R61" s="184">
        <v>0</v>
      </c>
      <c r="S61" s="184"/>
      <c r="T61" s="184"/>
      <c r="U61" s="184"/>
      <c r="V61" s="196"/>
      <c r="W61" s="184">
        <f>I61</f>
        <v>0</v>
      </c>
      <c r="X61" s="196"/>
      <c r="Y61" s="184">
        <f>N61</f>
        <v>0</v>
      </c>
      <c r="Z61" s="199"/>
    </row>
    <row r="62" spans="4:48" s="197" customFormat="1" ht="15" customHeight="1">
      <c r="D62" s="183" t="s">
        <v>179</v>
      </c>
      <c r="E62" s="196"/>
      <c r="F62" s="184">
        <f>'CIFRAS EEFF'!D39</f>
        <v>1917784</v>
      </c>
      <c r="G62" s="184">
        <f>'CIFRAS EEFF'!E39</f>
        <v>19981074</v>
      </c>
      <c r="H62" s="184">
        <f>'CIFRAS EEFF'!F39</f>
        <v>3228603</v>
      </c>
      <c r="I62" s="184" t="e">
        <f>'CIFRAS EEFF'!#REF!</f>
        <v>#REF!</v>
      </c>
      <c r="J62" s="184">
        <f>'CIFRAS EEFF'!G39</f>
        <v>40687390</v>
      </c>
      <c r="K62" s="184">
        <f>'CIFRAS EEFF'!H39</f>
        <v>10112078</v>
      </c>
      <c r="L62" s="184">
        <f>'CIFRAS EEFF'!I39</f>
        <v>81533785.799999997</v>
      </c>
      <c r="M62" s="184">
        <f>'CIFRAS EEFF'!J39</f>
        <v>73434554.799999997</v>
      </c>
      <c r="N62" s="184">
        <f>'CIFRAS EEFF'!K39</f>
        <v>46022270</v>
      </c>
      <c r="O62" s="184">
        <f>'CIFRAS EEFF'!L39</f>
        <v>27036371</v>
      </c>
      <c r="P62" s="184">
        <f>'CIFRAS EEFF'!M39</f>
        <v>96940667</v>
      </c>
      <c r="Q62" s="184">
        <f>'CIFRAS EEFF'!N39</f>
        <v>65603744</v>
      </c>
      <c r="R62" s="184">
        <f>'CIFRAS EEFF'!O39</f>
        <v>50610633</v>
      </c>
      <c r="S62" s="184" t="e">
        <f>'CIFRAS EEFF'!#REF!</f>
        <v>#REF!</v>
      </c>
      <c r="T62" s="184" t="e">
        <f>'CIFRAS EEFF'!#REF!</f>
        <v>#REF!</v>
      </c>
      <c r="U62" s="184" t="e">
        <f>'CIFRAS EEFF'!#REF!</f>
        <v>#REF!</v>
      </c>
      <c r="V62" s="196"/>
      <c r="W62" s="184" t="e">
        <f>I62</f>
        <v>#REF!</v>
      </c>
      <c r="X62" s="196"/>
      <c r="Y62" s="184">
        <f>N62</f>
        <v>46022270</v>
      </c>
      <c r="Z62" s="199"/>
    </row>
    <row r="63" spans="4:48" s="197" customFormat="1" ht="15" customHeight="1">
      <c r="D63" s="183" t="s">
        <v>206</v>
      </c>
      <c r="E63" s="196"/>
      <c r="F63" s="184">
        <v>0</v>
      </c>
      <c r="G63" s="184">
        <v>0</v>
      </c>
      <c r="H63" s="184">
        <v>0</v>
      </c>
      <c r="I63" s="184">
        <v>0</v>
      </c>
      <c r="J63" s="184">
        <f>+'CIFRAS EEFF'!G40</f>
        <v>1842160</v>
      </c>
      <c r="K63" s="184">
        <f>+'CIFRAS EEFF'!H40</f>
        <v>1842160</v>
      </c>
      <c r="L63" s="184">
        <f>+'CIFRAS EEFF'!I40</f>
        <v>61316560</v>
      </c>
      <c r="M63" s="184">
        <f>+'CIFRAS EEFF'!J40</f>
        <v>1842160</v>
      </c>
      <c r="N63" s="184">
        <f>+'CIFRAS EEFF'!K40</f>
        <v>1842160</v>
      </c>
      <c r="O63" s="184">
        <f>+'CIFRAS EEFF'!L40</f>
        <v>1842160</v>
      </c>
      <c r="P63" s="184">
        <f>+'CIFRAS EEFF'!M40</f>
        <v>1842160</v>
      </c>
      <c r="Q63" s="184">
        <f>+'CIFRAS EEFF'!N40</f>
        <v>1842160</v>
      </c>
      <c r="R63" s="184">
        <f>+'CIFRAS EEFF'!O40</f>
        <v>1842160</v>
      </c>
      <c r="S63" s="184" t="e">
        <f>+'CIFRAS EEFF'!#REF!</f>
        <v>#REF!</v>
      </c>
      <c r="T63" s="184" t="e">
        <f>+'CIFRAS EEFF'!#REF!</f>
        <v>#REF!</v>
      </c>
      <c r="U63" s="184" t="e">
        <f>'CIFRAS EEFF'!#REF!</f>
        <v>#REF!</v>
      </c>
      <c r="V63" s="196"/>
      <c r="W63" s="184"/>
      <c r="X63" s="196"/>
      <c r="Y63" s="184"/>
      <c r="Z63" s="199"/>
    </row>
    <row r="64" spans="4:48" ht="15" customHeight="1">
      <c r="D64" s="198" t="s">
        <v>93</v>
      </c>
      <c r="F64" s="193">
        <f>F61+F62</f>
        <v>1917784</v>
      </c>
      <c r="G64" s="193">
        <f t="shared" ref="G64:I64" si="46">G61+G62</f>
        <v>19981074</v>
      </c>
      <c r="H64" s="193">
        <f t="shared" si="46"/>
        <v>3228603</v>
      </c>
      <c r="I64" s="193" t="e">
        <f t="shared" si="46"/>
        <v>#REF!</v>
      </c>
      <c r="J64" s="193">
        <f>J61+J62+J63</f>
        <v>42529550</v>
      </c>
      <c r="K64" s="193">
        <f t="shared" ref="K64:U64" si="47">K61+K62+K63</f>
        <v>11954238</v>
      </c>
      <c r="L64" s="193">
        <f t="shared" si="47"/>
        <v>142850345.80000001</v>
      </c>
      <c r="M64" s="193">
        <f t="shared" si="47"/>
        <v>75276714.799999997</v>
      </c>
      <c r="N64" s="193">
        <f t="shared" si="47"/>
        <v>47864430</v>
      </c>
      <c r="O64" s="193">
        <f t="shared" si="47"/>
        <v>28878531</v>
      </c>
      <c r="P64" s="193">
        <f t="shared" si="47"/>
        <v>98782827</v>
      </c>
      <c r="Q64" s="193">
        <f t="shared" si="47"/>
        <v>67445904</v>
      </c>
      <c r="R64" s="193">
        <f t="shared" ref="R64" si="48">R61+R62+R63</f>
        <v>52452793</v>
      </c>
      <c r="S64" s="193" t="e">
        <f t="shared" si="47"/>
        <v>#REF!</v>
      </c>
      <c r="T64" s="193" t="e">
        <f t="shared" si="47"/>
        <v>#REF!</v>
      </c>
      <c r="U64" s="193" t="e">
        <f t="shared" si="47"/>
        <v>#REF!</v>
      </c>
      <c r="W64" s="193" t="e">
        <f t="shared" ref="W64" si="49">W61+W62</f>
        <v>#REF!</v>
      </c>
      <c r="Y64" s="193">
        <f t="shared" ref="Y64" si="50">Y61+Y62</f>
        <v>46022270</v>
      </c>
    </row>
    <row r="65" spans="2:26" ht="15" customHeight="1">
      <c r="D65" s="198" t="s">
        <v>94</v>
      </c>
      <c r="F65" s="193">
        <f>F60+F64</f>
        <v>260926184.75</v>
      </c>
      <c r="G65" s="193">
        <f t="shared" ref="G65:U65" si="51">G60+G64</f>
        <v>429735765.30000001</v>
      </c>
      <c r="H65" s="193">
        <f t="shared" si="51"/>
        <v>388098413.31999999</v>
      </c>
      <c r="I65" s="193" t="e">
        <f t="shared" si="51"/>
        <v>#REF!</v>
      </c>
      <c r="J65" s="193">
        <f t="shared" si="51"/>
        <v>233418206.38</v>
      </c>
      <c r="K65" s="193">
        <f t="shared" si="51"/>
        <v>162093360.38</v>
      </c>
      <c r="L65" s="193">
        <f t="shared" si="51"/>
        <v>413088713.18000001</v>
      </c>
      <c r="M65" s="193">
        <f t="shared" si="51"/>
        <v>373192973.81999999</v>
      </c>
      <c r="N65" s="193">
        <f t="shared" si="51"/>
        <v>362712071.01999998</v>
      </c>
      <c r="O65" s="193">
        <f t="shared" si="51"/>
        <v>482888130</v>
      </c>
      <c r="P65" s="193">
        <f>P60+P64</f>
        <v>386087452.50999999</v>
      </c>
      <c r="Q65" s="193">
        <f>Q60+Q64</f>
        <v>559320294</v>
      </c>
      <c r="R65" s="193">
        <f>R60+R64</f>
        <v>411612939</v>
      </c>
      <c r="S65" s="193" t="e">
        <f>S60+S64</f>
        <v>#REF!</v>
      </c>
      <c r="T65" s="193" t="e">
        <f t="shared" si="51"/>
        <v>#REF!</v>
      </c>
      <c r="U65" s="193" t="e">
        <f t="shared" si="51"/>
        <v>#REF!</v>
      </c>
      <c r="W65" s="193" t="e">
        <f t="shared" ref="W65" si="52">W60+W64</f>
        <v>#REF!</v>
      </c>
      <c r="Y65" s="193">
        <f t="shared" ref="Y65" si="53">Y60+Y64</f>
        <v>360869911.01999998</v>
      </c>
    </row>
    <row r="66" spans="2:26" s="189" customFormat="1" ht="25.5">
      <c r="D66" s="185" t="s">
        <v>95</v>
      </c>
      <c r="E66" s="186"/>
      <c r="F66" s="190">
        <f t="shared" ref="F66:U66" si="54">F65/F$44</f>
        <v>0.61474862644420702</v>
      </c>
      <c r="G66" s="190">
        <f t="shared" si="54"/>
        <v>0.62791204694805469</v>
      </c>
      <c r="H66" s="190">
        <f t="shared" si="54"/>
        <v>0.60456574317471001</v>
      </c>
      <c r="I66" s="190" t="e">
        <f t="shared" si="54"/>
        <v>#REF!</v>
      </c>
      <c r="J66" s="190">
        <f t="shared" si="54"/>
        <v>0.32308921523891176</v>
      </c>
      <c r="K66" s="190">
        <f t="shared" si="54"/>
        <v>0.27675105189162369</v>
      </c>
      <c r="L66" s="190">
        <f t="shared" si="54"/>
        <v>0.48558556488258287</v>
      </c>
      <c r="M66" s="190">
        <f t="shared" si="54"/>
        <v>0.4425611601290349</v>
      </c>
      <c r="N66" s="190">
        <f t="shared" si="54"/>
        <v>0.45056585362038321</v>
      </c>
      <c r="O66" s="190">
        <f t="shared" si="54"/>
        <v>0.52045602729910967</v>
      </c>
      <c r="P66" s="190">
        <f t="shared" si="54"/>
        <v>0.4581905271846019</v>
      </c>
      <c r="Q66" s="190">
        <f t="shared" si="54"/>
        <v>0.53323717044329999</v>
      </c>
      <c r="R66" s="190">
        <f t="shared" ref="R66" si="55">R65/R$44</f>
        <v>0.43946573967450475</v>
      </c>
      <c r="S66" s="190" t="e">
        <f t="shared" ref="S66" si="56">S65/S$44</f>
        <v>#REF!</v>
      </c>
      <c r="T66" s="190" t="e">
        <f t="shared" si="54"/>
        <v>#REF!</v>
      </c>
      <c r="U66" s="190" t="e">
        <f t="shared" si="54"/>
        <v>#REF!</v>
      </c>
      <c r="V66" s="186"/>
      <c r="W66" s="190" t="e">
        <f>W65/W$44</f>
        <v>#REF!</v>
      </c>
      <c r="X66" s="186"/>
      <c r="Y66" s="190">
        <f>Y65/Y$44</f>
        <v>0.44827749748552614</v>
      </c>
      <c r="Z66" s="188"/>
    </row>
    <row r="67" spans="2:26" s="189" customFormat="1" ht="12.75">
      <c r="D67" s="185" t="s">
        <v>96</v>
      </c>
      <c r="E67" s="186"/>
      <c r="F67" s="190">
        <f t="shared" ref="F67:U67" si="57">F65/F$21</f>
        <v>1.0135237073369712</v>
      </c>
      <c r="G67" s="190">
        <f t="shared" si="57"/>
        <v>0.83009177660046962</v>
      </c>
      <c r="H67" s="190">
        <f t="shared" si="57"/>
        <v>0.81118143734615167</v>
      </c>
      <c r="I67" s="190" t="e">
        <f t="shared" si="57"/>
        <v>#REF!</v>
      </c>
      <c r="J67" s="190">
        <f t="shared" si="57"/>
        <v>0.33634135662839731</v>
      </c>
      <c r="K67" s="190">
        <f t="shared" si="57"/>
        <v>0.29096677156439649</v>
      </c>
      <c r="L67" s="190">
        <f t="shared" si="57"/>
        <v>0.5029042212589564</v>
      </c>
      <c r="M67" s="190">
        <f t="shared" si="57"/>
        <v>0.45877220314122413</v>
      </c>
      <c r="N67" s="190">
        <f t="shared" si="57"/>
        <v>0.47666387241594727</v>
      </c>
      <c r="O67" s="190">
        <f t="shared" si="57"/>
        <v>0.5559173253099523</v>
      </c>
      <c r="P67" s="190">
        <f t="shared" si="57"/>
        <v>0.4922482531475863</v>
      </c>
      <c r="Q67" s="190">
        <f t="shared" si="57"/>
        <v>0.56436178295039496</v>
      </c>
      <c r="R67" s="190">
        <f t="shared" ref="R67" si="58">R65/R$21</f>
        <v>0.46793935135951931</v>
      </c>
      <c r="S67" s="190" t="e">
        <f t="shared" ref="S67" si="59">S65/S$21</f>
        <v>#REF!</v>
      </c>
      <c r="T67" s="190" t="e">
        <f t="shared" si="57"/>
        <v>#REF!</v>
      </c>
      <c r="U67" s="190" t="e">
        <f t="shared" si="57"/>
        <v>#REF!</v>
      </c>
      <c r="V67" s="186"/>
      <c r="W67" s="190" t="e">
        <f t="shared" ref="W67" si="60">W65/W$21</f>
        <v>#REF!</v>
      </c>
      <c r="X67" s="186"/>
      <c r="Y67" s="190">
        <f t="shared" ref="Y67" si="61">Y65/Y$21</f>
        <v>0.47424296837285757</v>
      </c>
      <c r="Z67" s="188"/>
    </row>
    <row r="68" spans="2:26" s="189" customFormat="1" ht="15" customHeight="1">
      <c r="D68" s="185" t="s">
        <v>97</v>
      </c>
      <c r="E68" s="186"/>
      <c r="F68" s="190">
        <f>(F54+F61)/F$82</f>
        <v>0</v>
      </c>
      <c r="G68" s="190">
        <f t="shared" ref="G68:U68" si="62">(G54+G61)/G$82</f>
        <v>0</v>
      </c>
      <c r="H68" s="190">
        <f t="shared" si="62"/>
        <v>0</v>
      </c>
      <c r="I68" s="190" t="e">
        <f t="shared" si="62"/>
        <v>#REF!</v>
      </c>
      <c r="J68" s="190">
        <f t="shared" si="62"/>
        <v>0</v>
      </c>
      <c r="K68" s="190">
        <f t="shared" si="62"/>
        <v>0</v>
      </c>
      <c r="L68" s="190">
        <f t="shared" si="62"/>
        <v>0</v>
      </c>
      <c r="M68" s="190">
        <f t="shared" si="62"/>
        <v>0</v>
      </c>
      <c r="N68" s="190">
        <f t="shared" si="62"/>
        <v>0</v>
      </c>
      <c r="O68" s="190">
        <f t="shared" si="62"/>
        <v>0</v>
      </c>
      <c r="P68" s="190">
        <f>(P54+P61)/P$82</f>
        <v>0</v>
      </c>
      <c r="Q68" s="190">
        <f>(Q54+Q61)/Q$82</f>
        <v>0</v>
      </c>
      <c r="R68" s="190">
        <f>(R54+R61)/R$82</f>
        <v>0</v>
      </c>
      <c r="S68" s="190" t="e">
        <f t="shared" ref="S68:T68" si="63">(S54+S61)/S$82</f>
        <v>#REF!</v>
      </c>
      <c r="T68" s="190" t="e">
        <f t="shared" si="63"/>
        <v>#REF!</v>
      </c>
      <c r="U68" s="190" t="e">
        <f t="shared" si="62"/>
        <v>#REF!</v>
      </c>
      <c r="V68" s="186"/>
      <c r="W68" s="190" t="e">
        <f>(W54+W61)/W$82</f>
        <v>#REF!</v>
      </c>
      <c r="X68" s="186"/>
      <c r="Y68" s="190">
        <f>(Y54+Y61)/Y$82</f>
        <v>0</v>
      </c>
      <c r="Z68" s="188"/>
    </row>
    <row r="69" spans="2:26" s="206" customFormat="1" ht="15" customHeight="1">
      <c r="B69" s="189"/>
      <c r="D69" s="207" t="s">
        <v>98</v>
      </c>
      <c r="E69" s="208"/>
      <c r="F69" s="209">
        <f>F98/F$3</f>
        <v>3185711.6883333335</v>
      </c>
      <c r="G69" s="209">
        <f t="shared" ref="G69:U69" si="64">G98/G$3</f>
        <v>2418249.3144262298</v>
      </c>
      <c r="H69" s="209">
        <f t="shared" si="64"/>
        <v>2283222.3475824171</v>
      </c>
      <c r="I69" s="209" t="e">
        <f t="shared" si="64"/>
        <v>#REF!</v>
      </c>
      <c r="J69" s="209">
        <f t="shared" si="64"/>
        <v>2305141.1761290319</v>
      </c>
      <c r="K69" s="209">
        <f t="shared" si="64"/>
        <v>496461.62288135593</v>
      </c>
      <c r="L69" s="209">
        <f t="shared" si="64"/>
        <v>2252360.6923333332</v>
      </c>
      <c r="M69" s="209">
        <f t="shared" si="64"/>
        <v>567766.76516666659</v>
      </c>
      <c r="N69" s="209">
        <f t="shared" si="64"/>
        <v>862387.72827814589</v>
      </c>
      <c r="O69" s="209">
        <f t="shared" si="64"/>
        <v>979441.68845303846</v>
      </c>
      <c r="P69" s="210">
        <f>P98/P$3</f>
        <v>824709.49566037755</v>
      </c>
      <c r="Q69" s="210">
        <f>Q98/Q$3</f>
        <v>1059520.2265020574</v>
      </c>
      <c r="R69" s="210">
        <f>R98/R$3</f>
        <v>564287.15003663022</v>
      </c>
      <c r="S69" s="210" t="e">
        <f>S98/S$3</f>
        <v>#REF!</v>
      </c>
      <c r="T69" s="209" t="e">
        <f t="shared" si="64"/>
        <v>#REF!</v>
      </c>
      <c r="U69" s="209" t="e">
        <f t="shared" si="64"/>
        <v>#REF!</v>
      </c>
      <c r="V69" s="208"/>
      <c r="W69" s="209" t="e">
        <f>W98/W$3</f>
        <v>#REF!</v>
      </c>
      <c r="X69" s="208"/>
      <c r="Y69" s="209">
        <f>Y98/Y$3</f>
        <v>862387.72827814589</v>
      </c>
      <c r="Z69" s="211"/>
    </row>
    <row r="70" spans="2:26" s="206" customFormat="1" ht="15" customHeight="1">
      <c r="B70" s="189"/>
      <c r="D70" s="207" t="s">
        <v>99</v>
      </c>
      <c r="E70" s="208"/>
      <c r="F70" s="187">
        <f>F94/F69</f>
        <v>1.5262007861976365</v>
      </c>
      <c r="G70" s="187">
        <f t="shared" ref="G70:U70" si="65">G94/G69</f>
        <v>1.5893546746940526</v>
      </c>
      <c r="H70" s="187">
        <f t="shared" si="65"/>
        <v>1.2519278621962124</v>
      </c>
      <c r="I70" s="187" t="e">
        <f t="shared" si="65"/>
        <v>#REF!</v>
      </c>
      <c r="J70" s="187">
        <f t="shared" si="65"/>
        <v>1.79612612589539</v>
      </c>
      <c r="K70" s="187">
        <f t="shared" si="65"/>
        <v>1.5860966193616464</v>
      </c>
      <c r="L70" s="187">
        <f t="shared" si="65"/>
        <v>1.5526892989867902</v>
      </c>
      <c r="M70" s="187">
        <f t="shared" si="65"/>
        <v>2.5832111557923465</v>
      </c>
      <c r="N70" s="187">
        <f t="shared" si="65"/>
        <v>1.5002027602065444</v>
      </c>
      <c r="O70" s="187">
        <f t="shared" si="65"/>
        <v>1.4361561781854284</v>
      </c>
      <c r="P70" s="187">
        <f t="shared" si="65"/>
        <v>1.4904578485321949</v>
      </c>
      <c r="Q70" s="187">
        <f t="shared" si="65"/>
        <v>1.4223963313121759</v>
      </c>
      <c r="R70" s="187">
        <f t="shared" ref="R70" si="66">R94/R69</f>
        <v>1.8402427439042779</v>
      </c>
      <c r="S70" s="187" t="e">
        <f t="shared" si="65"/>
        <v>#REF!</v>
      </c>
      <c r="T70" s="187" t="e">
        <f t="shared" si="65"/>
        <v>#REF!</v>
      </c>
      <c r="U70" s="187" t="e">
        <f t="shared" si="65"/>
        <v>#REF!</v>
      </c>
      <c r="V70" s="208"/>
      <c r="W70" s="187" t="e">
        <f>W94/W69</f>
        <v>#REF!</v>
      </c>
      <c r="X70" s="208"/>
      <c r="Y70" s="187">
        <f>Y94/Y69</f>
        <v>1.5002027602065444</v>
      </c>
      <c r="Z70" s="211"/>
    </row>
    <row r="71" spans="2:26" s="189" customFormat="1" ht="15" customHeight="1">
      <c r="D71" s="185" t="s">
        <v>100</v>
      </c>
      <c r="E71" s="186"/>
      <c r="F71" s="212">
        <f>F55/F69</f>
        <v>56.085655749807067</v>
      </c>
      <c r="G71" s="212">
        <f t="shared" ref="G71:U71" si="67">G55/G69</f>
        <v>122.98389288722471</v>
      </c>
      <c r="H71" s="212">
        <f t="shared" si="67"/>
        <v>140.79798606578584</v>
      </c>
      <c r="I71" s="212" t="e">
        <f t="shared" si="67"/>
        <v>#REF!</v>
      </c>
      <c r="J71" s="212">
        <f t="shared" si="67"/>
        <v>56.444168082795507</v>
      </c>
      <c r="K71" s="212">
        <f t="shared" si="67"/>
        <v>220.19836571763619</v>
      </c>
      <c r="L71" s="212">
        <f t="shared" si="67"/>
        <v>84.786330026992815</v>
      </c>
      <c r="M71" s="212">
        <f t="shared" si="67"/>
        <v>331.7145746364958</v>
      </c>
      <c r="N71" s="212">
        <f t="shared" si="67"/>
        <v>283.52125613867702</v>
      </c>
      <c r="O71" s="212">
        <f t="shared" si="67"/>
        <v>371.02806045959318</v>
      </c>
      <c r="P71" s="212">
        <f t="shared" si="67"/>
        <v>237.18228664673023</v>
      </c>
      <c r="Q71" s="212">
        <f t="shared" si="67"/>
        <v>354.84473499975223</v>
      </c>
      <c r="R71" s="212">
        <f t="shared" ref="R71" si="68">R55/R69</f>
        <v>514.30269496861831</v>
      </c>
      <c r="S71" s="212" t="e">
        <f t="shared" si="67"/>
        <v>#REF!</v>
      </c>
      <c r="T71" s="212" t="e">
        <f t="shared" si="67"/>
        <v>#REF!</v>
      </c>
      <c r="U71" s="212" t="e">
        <f t="shared" si="67"/>
        <v>#REF!</v>
      </c>
      <c r="V71" s="186"/>
      <c r="W71" s="212" t="e">
        <f>W55/W69</f>
        <v>#REF!</v>
      </c>
      <c r="X71" s="186"/>
      <c r="Y71" s="212">
        <f>Y55/Y69</f>
        <v>283.52125613867702</v>
      </c>
      <c r="Z71" s="188"/>
    </row>
    <row r="72" spans="2:26" s="189" customFormat="1" ht="15" customHeight="1">
      <c r="D72" s="185" t="s">
        <v>101</v>
      </c>
      <c r="E72" s="186"/>
      <c r="F72" s="213">
        <f>F$65/F$94</f>
        <v>53.666036562511032</v>
      </c>
      <c r="G72" s="213">
        <f t="shared" ref="G72:U72" si="69">G$65/G$94</f>
        <v>111.80973108486678</v>
      </c>
      <c r="H72" s="213">
        <f t="shared" si="69"/>
        <v>135.77329435460157</v>
      </c>
      <c r="I72" s="213" t="e">
        <f t="shared" si="69"/>
        <v>#REF!</v>
      </c>
      <c r="J72" s="213">
        <f t="shared" si="69"/>
        <v>56.376793220178875</v>
      </c>
      <c r="K72" s="213">
        <f t="shared" si="69"/>
        <v>205.84954135466037</v>
      </c>
      <c r="L72" s="213">
        <f t="shared" si="69"/>
        <v>118.11929045688531</v>
      </c>
      <c r="M72" s="213">
        <f t="shared" si="69"/>
        <v>254.4506613577538</v>
      </c>
      <c r="N72" s="213">
        <f t="shared" si="69"/>
        <v>280.35575855654048</v>
      </c>
      <c r="O72" s="213">
        <f t="shared" si="69"/>
        <v>343.29404821919013</v>
      </c>
      <c r="P72" s="213">
        <f t="shared" si="69"/>
        <v>314.09787218273379</v>
      </c>
      <c r="Q72" s="213">
        <f t="shared" si="69"/>
        <v>371.13396538296513</v>
      </c>
      <c r="R72" s="213">
        <f t="shared" si="69"/>
        <v>396.38183486792178</v>
      </c>
      <c r="S72" s="213" t="e">
        <f t="shared" si="69"/>
        <v>#REF!</v>
      </c>
      <c r="T72" s="213" t="e">
        <f t="shared" si="69"/>
        <v>#REF!</v>
      </c>
      <c r="U72" s="213" t="e">
        <f t="shared" si="69"/>
        <v>#REF!</v>
      </c>
      <c r="V72" s="213"/>
      <c r="W72" s="213" t="e">
        <f>W$65/W$94</f>
        <v>#REF!</v>
      </c>
      <c r="X72" s="186"/>
      <c r="Y72" s="213">
        <f>Y$65/Y$94</f>
        <v>278.93187386825275</v>
      </c>
      <c r="Z72" s="188"/>
    </row>
    <row r="73" spans="2:26" s="173" customFormat="1" ht="15" customHeight="1">
      <c r="D73" s="203"/>
      <c r="E73" s="170"/>
      <c r="V73" s="170"/>
      <c r="X73" s="170"/>
    </row>
    <row r="74" spans="2:26" ht="15" customHeight="1">
      <c r="D74" s="183" t="s">
        <v>102</v>
      </c>
      <c r="F74" s="184">
        <f>'CIFRAS EEFF'!D46</f>
        <v>149816494</v>
      </c>
      <c r="G74" s="184">
        <f>'CIFRAS EEFF'!E46</f>
        <v>200000000</v>
      </c>
      <c r="H74" s="184">
        <f>'CIFRAS EEFF'!F46</f>
        <v>200000000</v>
      </c>
      <c r="I74" s="184" t="e">
        <f>'CIFRAS EEFF'!#REF!</f>
        <v>#REF!</v>
      </c>
      <c r="J74" s="184">
        <f>'CIFRAS EEFF'!G46</f>
        <v>750000000</v>
      </c>
      <c r="K74" s="184">
        <f>'CIFRAS EEFF'!H46</f>
        <v>750000000</v>
      </c>
      <c r="L74" s="184">
        <f>'CIFRAS EEFF'!I46</f>
        <v>750000000</v>
      </c>
      <c r="M74" s="184">
        <f>'CIFRAS EEFF'!J46</f>
        <v>750000000</v>
      </c>
      <c r="N74" s="184">
        <f>'CIFRAS EEFF'!K46</f>
        <v>750000000</v>
      </c>
      <c r="O74" s="184">
        <f>'CIFRAS EEFF'!L46</f>
        <v>750000000</v>
      </c>
      <c r="P74" s="184">
        <f>'CIFRAS EEFF'!M46</f>
        <v>750000000</v>
      </c>
      <c r="Q74" s="184">
        <f>'CIFRAS EEFF'!N46</f>
        <v>750000000</v>
      </c>
      <c r="R74" s="184">
        <f>'CIFRAS EEFF'!O46</f>
        <v>750000000</v>
      </c>
      <c r="S74" s="184" t="e">
        <f>'CIFRAS EEFF'!#REF!</f>
        <v>#REF!</v>
      </c>
      <c r="T74" s="184" t="e">
        <f>'CIFRAS EEFF'!#REF!</f>
        <v>#REF!</v>
      </c>
      <c r="U74" s="184" t="e">
        <f>'CIFRAS EEFF'!#REF!</f>
        <v>#REF!</v>
      </c>
      <c r="W74" s="184" t="e">
        <f>I74</f>
        <v>#REF!</v>
      </c>
      <c r="Y74" s="184">
        <f>N74</f>
        <v>750000000</v>
      </c>
    </row>
    <row r="75" spans="2:26" s="195" customFormat="1" ht="15" customHeight="1">
      <c r="D75" s="183" t="s">
        <v>269</v>
      </c>
      <c r="E75" s="192"/>
      <c r="F75" s="184">
        <v>0</v>
      </c>
      <c r="G75" s="184">
        <v>0</v>
      </c>
      <c r="H75" s="184">
        <v>0</v>
      </c>
      <c r="I75" s="184">
        <v>0</v>
      </c>
      <c r="J75" s="184">
        <f>+'CIFRAS EEFF'!G47</f>
        <v>5739011</v>
      </c>
      <c r="K75" s="184">
        <f>+'CIFRAS EEFF'!H47</f>
        <v>5739011</v>
      </c>
      <c r="L75" s="184">
        <f>+'CIFRAS EEFF'!I47</f>
        <v>5739011</v>
      </c>
      <c r="M75" s="184">
        <f>+'CIFRAS EEFF'!J47</f>
        <v>5739011</v>
      </c>
      <c r="N75" s="184">
        <f>+'CIFRAS EEFF'!K47</f>
        <v>5739011</v>
      </c>
      <c r="O75" s="184">
        <f>+'CIFRAS EEFF'!L47</f>
        <v>5739011</v>
      </c>
      <c r="P75" s="184">
        <f>+'CIFRAS EEFF'!M47</f>
        <v>5739011</v>
      </c>
      <c r="Q75" s="184">
        <f>+'CIFRAS EEFF'!N47</f>
        <v>5739011</v>
      </c>
      <c r="R75" s="184">
        <f>+'CIFRAS EEFF'!O47</f>
        <v>5739011</v>
      </c>
      <c r="S75" s="184" t="e">
        <f>+'CIFRAS EEFF'!#REF!</f>
        <v>#REF!</v>
      </c>
      <c r="T75" s="184" t="e">
        <f>+'CIFRAS EEFF'!#REF!</f>
        <v>#REF!</v>
      </c>
      <c r="U75" s="184" t="e">
        <f>+'CIFRAS EEFF'!#REF!</f>
        <v>#REF!</v>
      </c>
      <c r="V75" s="192"/>
      <c r="W75" s="184">
        <f>I75</f>
        <v>0</v>
      </c>
      <c r="X75" s="192"/>
      <c r="Y75" s="184">
        <f>N75</f>
        <v>5739011</v>
      </c>
      <c r="Z75" s="194"/>
    </row>
    <row r="76" spans="2:26" s="197" customFormat="1" ht="15" customHeight="1">
      <c r="D76" s="183" t="s">
        <v>270</v>
      </c>
      <c r="E76" s="196"/>
      <c r="F76" s="184">
        <f>'CIFRAS EEFF'!D49</f>
        <v>0</v>
      </c>
      <c r="G76" s="184">
        <f>'CIFRAS EEFF'!E49</f>
        <v>0</v>
      </c>
      <c r="H76" s="184">
        <f>'CIFRAS EEFF'!F49</f>
        <v>0</v>
      </c>
      <c r="I76" s="184" t="e">
        <f>'CIFRAS EEFF'!#REF!</f>
        <v>#REF!</v>
      </c>
      <c r="J76" s="184">
        <f>'CIFRAS EEFF'!G49</f>
        <v>-272360733.06</v>
      </c>
      <c r="K76" s="184">
        <f>'CIFRAS EEFF'!H49</f>
        <v>-272360733.06</v>
      </c>
      <c r="L76" s="184">
        <f>'CIFRAS EEFF'!I49</f>
        <v>-272360733</v>
      </c>
      <c r="M76" s="184">
        <f>'CIFRAS EEFF'!J49</f>
        <v>-272360733</v>
      </c>
      <c r="N76" s="184">
        <f>'CIFRAS EEFF'!K49</f>
        <v>-272360733</v>
      </c>
      <c r="O76" s="184">
        <f>'CIFRAS EEFF'!L49</f>
        <v>-272360733</v>
      </c>
      <c r="P76" s="184">
        <f>'CIFRAS EEFF'!M49</f>
        <v>-272360733</v>
      </c>
      <c r="Q76" s="184">
        <f>'CIFRAS EEFF'!N49</f>
        <v>-272360733</v>
      </c>
      <c r="R76" s="184">
        <f>'CIFRAS EEFF'!O49</f>
        <v>-272360733</v>
      </c>
      <c r="S76" s="184" t="e">
        <f>'CIFRAS EEFF'!#REF!</f>
        <v>#REF!</v>
      </c>
      <c r="T76" s="184" t="e">
        <f>'CIFRAS EEFF'!#REF!</f>
        <v>#REF!</v>
      </c>
      <c r="U76" s="184" t="e">
        <f>'CIFRAS EEFF'!#REF!</f>
        <v>#REF!</v>
      </c>
      <c r="V76" s="196"/>
      <c r="W76" s="184" t="e">
        <f>I76</f>
        <v>#REF!</v>
      </c>
      <c r="X76" s="196"/>
      <c r="Y76" s="184">
        <f>N76</f>
        <v>-272360733</v>
      </c>
      <c r="Z76" s="199"/>
    </row>
    <row r="77" spans="2:26" s="197" customFormat="1" ht="15" customHeight="1">
      <c r="D77" s="183" t="s">
        <v>103</v>
      </c>
      <c r="E77" s="196"/>
      <c r="F77" s="184">
        <f>'CIFRAS EEFF'!D48</f>
        <v>13701026.41</v>
      </c>
      <c r="G77" s="184">
        <f>'CIFRAS EEFF'!E48</f>
        <v>54652705.009999983</v>
      </c>
      <c r="H77" s="184">
        <f>'CIFRAS EEFF'!F48</f>
        <v>53847342.520000078</v>
      </c>
      <c r="I77" s="184" t="e">
        <f>'CIFRAS EEFF'!#REF!</f>
        <v>#REF!</v>
      </c>
      <c r="J77" s="184">
        <f>'CIFRAS EEFF'!G48</f>
        <v>5660952.7300000042</v>
      </c>
      <c r="K77" s="184">
        <f>'CIFRAS EEFF'!H48</f>
        <v>-59770664.289999999</v>
      </c>
      <c r="L77" s="184">
        <f>'CIFRAS EEFF'!I48</f>
        <v>-45764781</v>
      </c>
      <c r="M77" s="184">
        <f>'CIFRAS EEFF'!J48</f>
        <v>-13313850.299999977</v>
      </c>
      <c r="N77" s="184">
        <f>'CIFRAS EEFF'!K48</f>
        <v>-41075791.710000016</v>
      </c>
      <c r="O77" s="184">
        <f>'CIFRAS EEFF'!L48</f>
        <v>-38449061.739999652</v>
      </c>
      <c r="P77" s="184">
        <f>'CIFRAS EEFF'!M48</f>
        <v>-26830561.139999963</v>
      </c>
      <c r="Q77" s="184">
        <f>'CIFRAS EEFF'!N48</f>
        <v>6216104.7300000191</v>
      </c>
      <c r="R77" s="184">
        <f>'CIFRAS EEFF'!O48</f>
        <v>41630005.360000014</v>
      </c>
      <c r="S77" s="184" t="e">
        <f>'CIFRAS EEFF'!#REF!</f>
        <v>#REF!</v>
      </c>
      <c r="T77" s="184" t="e">
        <f>'CIFRAS EEFF'!#REF!</f>
        <v>#REF!</v>
      </c>
      <c r="U77" s="184" t="e">
        <f>'CIFRAS EEFF'!#REF!</f>
        <v>#REF!</v>
      </c>
      <c r="V77" s="196"/>
      <c r="W77" s="184" t="e">
        <f>I77</f>
        <v>#REF!</v>
      </c>
      <c r="X77" s="196"/>
      <c r="Y77" s="184">
        <f>N77</f>
        <v>-41075791.710000016</v>
      </c>
      <c r="Z77" s="199"/>
    </row>
    <row r="78" spans="2:26" s="197" customFormat="1" ht="15" customHeight="1">
      <c r="D78" s="198" t="s">
        <v>104</v>
      </c>
      <c r="E78" s="196"/>
      <c r="F78" s="193">
        <f>SUM(F74:F77)</f>
        <v>163517520.41</v>
      </c>
      <c r="G78" s="193">
        <f t="shared" ref="G78:U78" si="70">SUM(G74:G77)</f>
        <v>254652705.00999999</v>
      </c>
      <c r="H78" s="193">
        <f t="shared" si="70"/>
        <v>253847342.52000007</v>
      </c>
      <c r="I78" s="193" t="e">
        <f t="shared" si="70"/>
        <v>#REF!</v>
      </c>
      <c r="J78" s="193">
        <f t="shared" si="70"/>
        <v>489039230.67000002</v>
      </c>
      <c r="K78" s="193">
        <f t="shared" si="70"/>
        <v>423607613.64999998</v>
      </c>
      <c r="L78" s="193">
        <f t="shared" si="70"/>
        <v>437613497</v>
      </c>
      <c r="M78" s="193">
        <f t="shared" si="70"/>
        <v>470064427.70000005</v>
      </c>
      <c r="N78" s="193">
        <f t="shared" si="70"/>
        <v>442302486.28999996</v>
      </c>
      <c r="O78" s="193">
        <f t="shared" si="70"/>
        <v>444929216.26000035</v>
      </c>
      <c r="P78" s="193">
        <f t="shared" si="70"/>
        <v>456547716.86000001</v>
      </c>
      <c r="Q78" s="193">
        <f t="shared" si="70"/>
        <v>489594382.73000002</v>
      </c>
      <c r="R78" s="193">
        <f t="shared" ref="R78" si="71">SUM(R74:R77)</f>
        <v>525008283.36000001</v>
      </c>
      <c r="S78" s="193" t="e">
        <f t="shared" si="70"/>
        <v>#REF!</v>
      </c>
      <c r="T78" s="193" t="e">
        <f t="shared" si="70"/>
        <v>#REF!</v>
      </c>
      <c r="U78" s="193" t="e">
        <f t="shared" si="70"/>
        <v>#REF!</v>
      </c>
      <c r="V78" s="196"/>
      <c r="W78" s="193" t="e">
        <f t="shared" ref="W78" si="72">SUM(W74:W77)</f>
        <v>#REF!</v>
      </c>
      <c r="X78" s="196"/>
      <c r="Y78" s="193">
        <f t="shared" ref="Y78" si="73">SUM(Y74:Y77)</f>
        <v>442302486.28999996</v>
      </c>
      <c r="Z78" s="199"/>
    </row>
    <row r="79" spans="2:26" s="189" customFormat="1" ht="15" customHeight="1">
      <c r="D79" s="185" t="s">
        <v>105</v>
      </c>
      <c r="E79" s="186"/>
      <c r="F79" s="190">
        <f t="shared" ref="F79:U79" si="74">F78/F$65</f>
        <v>0.62668114572966405</v>
      </c>
      <c r="G79" s="190">
        <f t="shared" si="74"/>
        <v>0.59257973287893795</v>
      </c>
      <c r="H79" s="190">
        <f t="shared" si="74"/>
        <v>0.65407982565157907</v>
      </c>
      <c r="I79" s="190" t="e">
        <f t="shared" si="74"/>
        <v>#REF!</v>
      </c>
      <c r="J79" s="190">
        <f t="shared" si="74"/>
        <v>2.0951203346745553</v>
      </c>
      <c r="K79" s="190">
        <f t="shared" si="74"/>
        <v>2.6133557392907694</v>
      </c>
      <c r="L79" s="190">
        <f t="shared" si="74"/>
        <v>1.0593692905119718</v>
      </c>
      <c r="M79" s="190">
        <f t="shared" si="74"/>
        <v>1.2595746990850998</v>
      </c>
      <c r="N79" s="190">
        <f t="shared" si="74"/>
        <v>1.2194313937393371</v>
      </c>
      <c r="O79" s="190">
        <f t="shared" si="74"/>
        <v>0.9213919096748151</v>
      </c>
      <c r="P79" s="190">
        <f t="shared" si="74"/>
        <v>1.1824981979909721</v>
      </c>
      <c r="Q79" s="190">
        <f t="shared" si="74"/>
        <v>0.87533813448578357</v>
      </c>
      <c r="R79" s="190">
        <f t="shared" ref="R79" si="75">R78/R$65</f>
        <v>1.275490232730512</v>
      </c>
      <c r="S79" s="190" t="e">
        <f t="shared" si="74"/>
        <v>#REF!</v>
      </c>
      <c r="T79" s="190" t="e">
        <f t="shared" si="74"/>
        <v>#REF!</v>
      </c>
      <c r="U79" s="190" t="e">
        <f t="shared" si="74"/>
        <v>#REF!</v>
      </c>
      <c r="V79" s="186"/>
      <c r="W79" s="190" t="e">
        <f t="shared" ref="W79" si="76">W78/W$65</f>
        <v>#REF!</v>
      </c>
      <c r="X79" s="186"/>
      <c r="Y79" s="190">
        <f t="shared" ref="Y79" si="77">Y78/Y$65</f>
        <v>1.2256563176459643</v>
      </c>
      <c r="Z79" s="188"/>
    </row>
    <row r="80" spans="2:26" s="189" customFormat="1" ht="15" customHeight="1">
      <c r="D80" s="185" t="s">
        <v>106</v>
      </c>
      <c r="E80" s="214"/>
      <c r="F80" s="190">
        <f t="shared" ref="F80:Y80" si="78">F78/F$44</f>
        <v>0.38525137355579292</v>
      </c>
      <c r="G80" s="190">
        <f t="shared" si="78"/>
        <v>0.37208795305194542</v>
      </c>
      <c r="H80" s="190">
        <f t="shared" si="78"/>
        <v>0.39543425589063164</v>
      </c>
      <c r="I80" s="190" t="e">
        <f t="shared" si="78"/>
        <v>#REF!</v>
      </c>
      <c r="J80" s="190">
        <f t="shared" si="78"/>
        <v>0.67691078476108835</v>
      </c>
      <c r="K80" s="190">
        <f t="shared" si="78"/>
        <v>0.72324894981573218</v>
      </c>
      <c r="L80" s="190">
        <f t="shared" si="78"/>
        <v>0.51441443535251685</v>
      </c>
      <c r="M80" s="190">
        <f t="shared" si="78"/>
        <v>0.55743884009628186</v>
      </c>
      <c r="N80" s="190">
        <f t="shared" si="78"/>
        <v>0.54943414685165792</v>
      </c>
      <c r="O80" s="190">
        <f t="shared" si="78"/>
        <v>0.47954397289489437</v>
      </c>
      <c r="P80" s="190">
        <f t="shared" si="78"/>
        <v>0.54180947273232527</v>
      </c>
      <c r="Q80" s="190">
        <f t="shared" si="78"/>
        <v>0.46676283001431601</v>
      </c>
      <c r="R80" s="190">
        <f t="shared" ref="R80" si="79">R78/R$44</f>
        <v>0.56053425857452066</v>
      </c>
      <c r="S80" s="190" t="e">
        <f t="shared" si="78"/>
        <v>#REF!</v>
      </c>
      <c r="T80" s="190" t="e">
        <f t="shared" si="78"/>
        <v>#REF!</v>
      </c>
      <c r="U80" s="190" t="e">
        <f t="shared" si="78"/>
        <v>#REF!</v>
      </c>
      <c r="V80" s="214"/>
      <c r="W80" s="190" t="e">
        <f t="shared" si="78"/>
        <v>#REF!</v>
      </c>
      <c r="X80" s="214"/>
      <c r="Y80" s="190">
        <f t="shared" si="78"/>
        <v>0.54943414685165792</v>
      </c>
      <c r="Z80" s="188"/>
    </row>
    <row r="81" spans="2:26" s="173" customFormat="1" ht="15" customHeight="1">
      <c r="D81" s="203"/>
      <c r="E81" s="170"/>
      <c r="U81" s="215"/>
      <c r="V81" s="170"/>
      <c r="X81" s="170"/>
    </row>
    <row r="82" spans="2:26" s="195" customFormat="1" ht="15" customHeight="1">
      <c r="D82" s="198" t="s">
        <v>107</v>
      </c>
      <c r="E82" s="192"/>
      <c r="F82" s="193">
        <f t="shared" ref="F82:U82" si="80">(F65+F78)</f>
        <v>424443705.15999997</v>
      </c>
      <c r="G82" s="193">
        <f t="shared" si="80"/>
        <v>684388470.30999994</v>
      </c>
      <c r="H82" s="193">
        <f t="shared" si="80"/>
        <v>641945755.84000003</v>
      </c>
      <c r="I82" s="193" t="e">
        <f t="shared" si="80"/>
        <v>#REF!</v>
      </c>
      <c r="J82" s="193">
        <f t="shared" si="80"/>
        <v>722457437.04999995</v>
      </c>
      <c r="K82" s="193">
        <f t="shared" si="80"/>
        <v>585700974.02999997</v>
      </c>
      <c r="L82" s="193">
        <f t="shared" si="80"/>
        <v>850702210.18000007</v>
      </c>
      <c r="M82" s="193">
        <f t="shared" si="80"/>
        <v>843257401.51999998</v>
      </c>
      <c r="N82" s="193">
        <f t="shared" si="80"/>
        <v>805014557.30999994</v>
      </c>
      <c r="O82" s="193">
        <f t="shared" si="80"/>
        <v>927817346.26000035</v>
      </c>
      <c r="P82" s="193">
        <f t="shared" si="80"/>
        <v>842635169.37</v>
      </c>
      <c r="Q82" s="193">
        <f t="shared" si="80"/>
        <v>1048914676.73</v>
      </c>
      <c r="R82" s="193">
        <f t="shared" ref="R82" si="81">(R65+R78)</f>
        <v>936621222.36000001</v>
      </c>
      <c r="S82" s="193" t="e">
        <f t="shared" si="80"/>
        <v>#REF!</v>
      </c>
      <c r="T82" s="193" t="e">
        <f t="shared" si="80"/>
        <v>#REF!</v>
      </c>
      <c r="U82" s="193" t="e">
        <f t="shared" si="80"/>
        <v>#REF!</v>
      </c>
      <c r="V82" s="192"/>
      <c r="W82" s="193" t="e">
        <f>(W65+W78)</f>
        <v>#REF!</v>
      </c>
      <c r="X82" s="192"/>
      <c r="Y82" s="193">
        <f>(Y65+Y78)</f>
        <v>803172397.30999994</v>
      </c>
      <c r="Z82" s="194"/>
    </row>
    <row r="83" spans="2:26" s="216" customFormat="1" ht="15" customHeight="1">
      <c r="D83" s="217"/>
      <c r="E83" s="218"/>
      <c r="F83" s="219">
        <f t="shared" ref="F83:U83" si="82">F44-F82</f>
        <v>0</v>
      </c>
      <c r="G83" s="219">
        <f t="shared" si="82"/>
        <v>0</v>
      </c>
      <c r="H83" s="219">
        <f t="shared" ref="H83:P83" si="83">H44-H82</f>
        <v>0.60000002384185791</v>
      </c>
      <c r="I83" s="219" t="e">
        <f t="shared" si="83"/>
        <v>#REF!</v>
      </c>
      <c r="J83" s="219">
        <f t="shared" si="83"/>
        <v>0</v>
      </c>
      <c r="K83" s="219">
        <f t="shared" si="83"/>
        <v>-1</v>
      </c>
      <c r="L83" s="219">
        <f t="shared" si="83"/>
        <v>-0.19999992847442627</v>
      </c>
      <c r="M83" s="219">
        <f t="shared" si="83"/>
        <v>-0.18999993801116943</v>
      </c>
      <c r="N83" s="219">
        <f t="shared" si="83"/>
        <v>-0.37999999523162842</v>
      </c>
      <c r="O83" s="219">
        <f>O44-O82</f>
        <v>-0.18000030517578125</v>
      </c>
      <c r="P83" s="220">
        <f t="shared" si="83"/>
        <v>7.0000052452087402E-2</v>
      </c>
      <c r="Q83" s="219">
        <f t="shared" si="82"/>
        <v>-0.48000013828277588</v>
      </c>
      <c r="R83" s="219">
        <f t="shared" ref="R83" si="84">R44-R82</f>
        <v>1.6399999856948853</v>
      </c>
      <c r="S83" s="219" t="e">
        <f t="shared" si="82"/>
        <v>#REF!</v>
      </c>
      <c r="T83" s="219" t="e">
        <f t="shared" si="82"/>
        <v>#REF!</v>
      </c>
      <c r="U83" s="219" t="e">
        <f t="shared" si="82"/>
        <v>#REF!</v>
      </c>
      <c r="V83" s="218"/>
      <c r="W83" s="219" t="e">
        <f>W44-W82</f>
        <v>#REF!</v>
      </c>
      <c r="X83" s="218"/>
      <c r="Y83" s="219">
        <f>Y44-Y82</f>
        <v>1842159.6200000048</v>
      </c>
      <c r="Z83" s="221"/>
    </row>
    <row r="84" spans="2:26" s="173" customFormat="1" ht="15" customHeight="1">
      <c r="D84" s="203"/>
      <c r="E84" s="170"/>
      <c r="V84" s="170"/>
      <c r="X84" s="170"/>
    </row>
    <row r="85" spans="2:26" ht="15" customHeight="1">
      <c r="D85" s="174" t="s">
        <v>180</v>
      </c>
      <c r="F85" s="383" t="s">
        <v>188</v>
      </c>
      <c r="G85" s="383"/>
      <c r="H85" s="383"/>
      <c r="I85" s="383"/>
      <c r="J85" s="384" t="s">
        <v>333</v>
      </c>
      <c r="K85" s="384"/>
      <c r="L85" s="384"/>
      <c r="M85" s="384"/>
      <c r="N85" s="384"/>
      <c r="O85" s="384"/>
      <c r="P85" s="384" t="str">
        <f>J85</f>
        <v>ESTADO  DE  RESULTADOS  ACUMULADOS  AÑO  2 0 1 5</v>
      </c>
      <c r="Q85" s="384"/>
      <c r="R85" s="384"/>
      <c r="S85" s="384"/>
      <c r="T85" s="384"/>
      <c r="U85" s="384"/>
      <c r="W85" s="175" t="str">
        <f t="shared" ref="W85:Y85" si="85">W$5</f>
        <v>2 0 1 3</v>
      </c>
      <c r="Y85" s="176" t="str">
        <f t="shared" si="85"/>
        <v>2 0 1 4</v>
      </c>
    </row>
    <row r="86" spans="2:26" ht="15" customHeight="1">
      <c r="D86" s="174" t="s">
        <v>51</v>
      </c>
      <c r="F86" s="177">
        <f t="shared" ref="F86:U86" si="86">F$6</f>
        <v>41518</v>
      </c>
      <c r="G86" s="177">
        <f t="shared" si="86"/>
        <v>41548</v>
      </c>
      <c r="H86" s="177">
        <f t="shared" si="86"/>
        <v>41579</v>
      </c>
      <c r="I86" s="177">
        <f t="shared" si="86"/>
        <v>41609</v>
      </c>
      <c r="J86" s="178">
        <f>J$6</f>
        <v>42005</v>
      </c>
      <c r="K86" s="178">
        <f t="shared" si="86"/>
        <v>42036</v>
      </c>
      <c r="L86" s="178">
        <f t="shared" si="86"/>
        <v>42064</v>
      </c>
      <c r="M86" s="178">
        <f t="shared" si="86"/>
        <v>42095</v>
      </c>
      <c r="N86" s="178">
        <f t="shared" si="86"/>
        <v>42125</v>
      </c>
      <c r="O86" s="178">
        <f t="shared" si="86"/>
        <v>42156</v>
      </c>
      <c r="P86" s="178">
        <f t="shared" si="86"/>
        <v>42186</v>
      </c>
      <c r="Q86" s="178">
        <f t="shared" si="86"/>
        <v>42217</v>
      </c>
      <c r="R86" s="178">
        <f t="shared" si="86"/>
        <v>42248</v>
      </c>
      <c r="S86" s="178">
        <f t="shared" si="86"/>
        <v>42278</v>
      </c>
      <c r="T86" s="178">
        <f t="shared" si="86"/>
        <v>42309</v>
      </c>
      <c r="U86" s="178">
        <f t="shared" si="86"/>
        <v>42339</v>
      </c>
      <c r="W86" s="177">
        <f t="shared" ref="W86:Y86" si="87">W$6</f>
        <v>41639</v>
      </c>
      <c r="Y86" s="178">
        <f t="shared" si="87"/>
        <v>41639</v>
      </c>
    </row>
    <row r="87" spans="2:26" s="173" customFormat="1" ht="15" customHeight="1">
      <c r="D87" s="203"/>
      <c r="E87" s="170"/>
      <c r="V87" s="170"/>
      <c r="X87" s="170"/>
    </row>
    <row r="88" spans="2:26" ht="15" customHeight="1">
      <c r="B88" s="222"/>
      <c r="C88" s="223" t="e">
        <f>#REF!/#REF!</f>
        <v>#REF!</v>
      </c>
      <c r="D88" s="224" t="s">
        <v>108</v>
      </c>
      <c r="F88" s="184">
        <f>ACUMULADO!F89</f>
        <v>145861070.5</v>
      </c>
      <c r="G88" s="184">
        <f>ACUMULADO!G89-ACUMULADO!F89</f>
        <v>234450807</v>
      </c>
      <c r="H88" s="184">
        <f>ACUMULADO!H89-ACUMULADO!G89</f>
        <v>260117100.20000005</v>
      </c>
      <c r="I88" s="184" t="e">
        <f>ACUMULADO!I89-ACUMULADO!H89</f>
        <v>#REF!</v>
      </c>
      <c r="J88" s="184">
        <f>ACUMULADO!J89</f>
        <v>128350053</v>
      </c>
      <c r="K88" s="184">
        <f>ACUMULADO!K89-ACUMULADO!J89</f>
        <v>46458730</v>
      </c>
      <c r="L88" s="184">
        <f>ACUMULADO!L89-ACUMULADO!K89</f>
        <v>314749471</v>
      </c>
      <c r="M88" s="184">
        <f>ACUMULADO!M89-ACUMULADO!L89</f>
        <v>175999373</v>
      </c>
      <c r="N88" s="184">
        <f>ACUMULADO!N89-ACUMULADO!M89</f>
        <v>195357224</v>
      </c>
      <c r="O88" s="184">
        <f>ACUMULADO!O89-ACUMULADO!N89</f>
        <v>254600253</v>
      </c>
      <c r="P88" s="184">
        <f>ACUMULADO!P89-ACUMULADO!O89</f>
        <v>260589285</v>
      </c>
      <c r="Q88" s="184">
        <f>ACUMULADO!Q89-ACUMULADO!P89</f>
        <v>366215017</v>
      </c>
      <c r="R88" s="184">
        <f>ACUMULADO!R89-ACUMULADO!Q89</f>
        <v>283490116</v>
      </c>
      <c r="S88" s="184" t="e">
        <f>ACUMULADO!S89-ACUMULADO!R89</f>
        <v>#REF!</v>
      </c>
      <c r="T88" s="184" t="e">
        <f>ACUMULADO!T89-ACUMULADO!S89</f>
        <v>#REF!</v>
      </c>
      <c r="U88" s="184" t="e">
        <f>ACUMULADO!U89-ACUMULADO!T89</f>
        <v>#REF!</v>
      </c>
      <c r="W88" s="184" t="e">
        <f>I88</f>
        <v>#REF!</v>
      </c>
      <c r="Y88" s="184">
        <f>N88</f>
        <v>195357224</v>
      </c>
    </row>
    <row r="89" spans="2:26" ht="15" customHeight="1">
      <c r="B89" s="222"/>
      <c r="C89" s="225"/>
      <c r="D89" s="224" t="s">
        <v>109</v>
      </c>
      <c r="F89" s="184">
        <f>ACUMULADO!F90</f>
        <v>0</v>
      </c>
      <c r="G89" s="184">
        <f>ACUMULADO!G90-ACUMULADO!F90</f>
        <v>0</v>
      </c>
      <c r="H89" s="184">
        <f>ACUMULADO!H90-ACUMULADO!G90</f>
        <v>0</v>
      </c>
      <c r="I89" s="184">
        <f>ACUMULADO!I90-ACUMULADO!H90</f>
        <v>0</v>
      </c>
      <c r="J89" s="184">
        <f>ACUMULADO!J90</f>
        <v>0</v>
      </c>
      <c r="K89" s="184">
        <f>ACUMULADO!K90-ACUMULADO!J90</f>
        <v>0</v>
      </c>
      <c r="L89" s="184">
        <f>ACUMULADO!L90-ACUMULADO!K90</f>
        <v>0</v>
      </c>
      <c r="M89" s="184">
        <f>ACUMULADO!M90-ACUMULADO!L90</f>
        <v>0</v>
      </c>
      <c r="N89" s="184">
        <f>ACUMULADO!N90-ACUMULADO!M90</f>
        <v>0</v>
      </c>
      <c r="O89" s="184">
        <f>ACUMULADO!O90-ACUMULADO!N90</f>
        <v>0</v>
      </c>
      <c r="P89" s="184">
        <f>ACUMULADO!P90-ACUMULADO!O90</f>
        <v>0</v>
      </c>
      <c r="Q89" s="184">
        <f>ACUMULADO!Q90-ACUMULADO!P90</f>
        <v>0</v>
      </c>
      <c r="R89" s="184">
        <f>ACUMULADO!R90-ACUMULADO!Q90</f>
        <v>0</v>
      </c>
      <c r="S89" s="184">
        <f>ACUMULADO!S90-ACUMULADO!R90</f>
        <v>0</v>
      </c>
      <c r="T89" s="184">
        <f>ACUMULADO!T90-ACUMULADO!S90</f>
        <v>0</v>
      </c>
      <c r="U89" s="184">
        <f>ACUMULADO!U90-ACUMULADO!T90</f>
        <v>0</v>
      </c>
      <c r="W89" s="184">
        <f>I89</f>
        <v>0</v>
      </c>
      <c r="Y89" s="184">
        <f>N89</f>
        <v>0</v>
      </c>
    </row>
    <row r="90" spans="2:26" ht="15" customHeight="1">
      <c r="B90" s="222"/>
      <c r="C90" s="225"/>
      <c r="D90" s="224" t="s">
        <v>110</v>
      </c>
      <c r="F90" s="184">
        <f>ACUMULADO!F91</f>
        <v>0</v>
      </c>
      <c r="G90" s="184">
        <f>ACUMULADO!G91-ACUMULADO!F91</f>
        <v>0</v>
      </c>
      <c r="H90" s="184">
        <f>ACUMULADO!H91-ACUMULADO!G91</f>
        <v>0</v>
      </c>
      <c r="I90" s="184">
        <f>ACUMULADO!I91-ACUMULADO!H91</f>
        <v>0</v>
      </c>
      <c r="J90" s="184">
        <f>ACUMULADO!J91</f>
        <v>0</v>
      </c>
      <c r="K90" s="184">
        <f>ACUMULADO!K91-ACUMULADO!J91</f>
        <v>0</v>
      </c>
      <c r="L90" s="184">
        <f>ACUMULADO!L91-ACUMULADO!K91</f>
        <v>0</v>
      </c>
      <c r="M90" s="184">
        <f>ACUMULADO!M91-ACUMULADO!L91</f>
        <v>0</v>
      </c>
      <c r="N90" s="184">
        <f>ACUMULADO!N91-ACUMULADO!M91</f>
        <v>0</v>
      </c>
      <c r="O90" s="184">
        <f>ACUMULADO!O91-ACUMULADO!N91</f>
        <v>0</v>
      </c>
      <c r="P90" s="184">
        <f>ACUMULADO!P91-ACUMULADO!O91</f>
        <v>0</v>
      </c>
      <c r="Q90" s="184">
        <f>ACUMULADO!Q91-ACUMULADO!P91</f>
        <v>0</v>
      </c>
      <c r="R90" s="184">
        <f>ACUMULADO!R91-ACUMULADO!Q91</f>
        <v>0</v>
      </c>
      <c r="S90" s="184">
        <f>ACUMULADO!S91-ACUMULADO!R91</f>
        <v>0</v>
      </c>
      <c r="T90" s="184">
        <f>ACUMULADO!T91-ACUMULADO!S91</f>
        <v>0</v>
      </c>
      <c r="U90" s="184">
        <f>ACUMULADO!U91-ACUMULADO!T91</f>
        <v>0</v>
      </c>
      <c r="W90" s="184">
        <f>I90</f>
        <v>0</v>
      </c>
      <c r="Y90" s="184">
        <f>N90</f>
        <v>0</v>
      </c>
    </row>
    <row r="91" spans="2:26" ht="15" customHeight="1">
      <c r="B91" s="222"/>
      <c r="D91" s="226" t="s">
        <v>111</v>
      </c>
      <c r="F91" s="193">
        <f>SUM(F88:F90)</f>
        <v>145861070.5</v>
      </c>
      <c r="G91" s="193">
        <f t="shared" ref="G91:V91" si="88">SUM(G88:G90)</f>
        <v>234450807</v>
      </c>
      <c r="H91" s="193">
        <f t="shared" si="88"/>
        <v>260117100.20000005</v>
      </c>
      <c r="I91" s="193" t="e">
        <f t="shared" si="88"/>
        <v>#REF!</v>
      </c>
      <c r="J91" s="193">
        <f t="shared" si="88"/>
        <v>128350053</v>
      </c>
      <c r="K91" s="193">
        <f t="shared" si="88"/>
        <v>46458730</v>
      </c>
      <c r="L91" s="193">
        <f t="shared" si="88"/>
        <v>314749471</v>
      </c>
      <c r="M91" s="193">
        <f t="shared" si="88"/>
        <v>175999373</v>
      </c>
      <c r="N91" s="193">
        <f t="shared" si="88"/>
        <v>195357224</v>
      </c>
      <c r="O91" s="193">
        <f t="shared" si="88"/>
        <v>254600253</v>
      </c>
      <c r="P91" s="193">
        <f t="shared" si="88"/>
        <v>260589285</v>
      </c>
      <c r="Q91" s="193">
        <f t="shared" si="88"/>
        <v>366215017</v>
      </c>
      <c r="R91" s="193">
        <f t="shared" si="88"/>
        <v>283490116</v>
      </c>
      <c r="S91" s="193" t="e">
        <f t="shared" si="88"/>
        <v>#REF!</v>
      </c>
      <c r="T91" s="193" t="e">
        <f t="shared" si="88"/>
        <v>#REF!</v>
      </c>
      <c r="U91" s="193" t="e">
        <f t="shared" si="88"/>
        <v>#REF!</v>
      </c>
      <c r="V91" s="193">
        <f t="shared" si="88"/>
        <v>0</v>
      </c>
      <c r="W91" s="193" t="e">
        <f t="shared" ref="W91" si="89">SUM(W88:W90)</f>
        <v>#REF!</v>
      </c>
      <c r="Y91" s="193">
        <f t="shared" ref="Y91" si="90">SUM(Y88:Y90)</f>
        <v>195357224</v>
      </c>
    </row>
    <row r="92" spans="2:26" s="206" customFormat="1" ht="15" customHeight="1">
      <c r="B92" s="222"/>
      <c r="D92" s="207" t="s">
        <v>345</v>
      </c>
      <c r="E92" s="208"/>
      <c r="F92" s="209">
        <f>F91</f>
        <v>145861070.5</v>
      </c>
      <c r="G92" s="209">
        <f>G91-F91</f>
        <v>88589736.5</v>
      </c>
      <c r="H92" s="209">
        <f>H91-G91</f>
        <v>25666293.200000048</v>
      </c>
      <c r="I92" s="209" t="e">
        <f t="shared" ref="I92" si="91">I91-H91</f>
        <v>#REF!</v>
      </c>
      <c r="J92" s="209">
        <f>J91</f>
        <v>128350053</v>
      </c>
      <c r="K92" s="209">
        <f>K91-J91</f>
        <v>-81891323</v>
      </c>
      <c r="L92" s="209">
        <f>L91-K91</f>
        <v>268290741</v>
      </c>
      <c r="M92" s="209">
        <f t="shared" ref="M92:U92" si="92">M91-L91</f>
        <v>-138750098</v>
      </c>
      <c r="N92" s="209">
        <f t="shared" si="92"/>
        <v>19357851</v>
      </c>
      <c r="O92" s="209">
        <f t="shared" si="92"/>
        <v>59243029</v>
      </c>
      <c r="P92" s="209">
        <f>P91-O91</f>
        <v>5989032</v>
      </c>
      <c r="Q92" s="209">
        <f>Q91-P91</f>
        <v>105625732</v>
      </c>
      <c r="R92" s="209">
        <f t="shared" si="92"/>
        <v>-82724901</v>
      </c>
      <c r="S92" s="209" t="e">
        <f t="shared" si="92"/>
        <v>#REF!</v>
      </c>
      <c r="T92" s="209" t="e">
        <f t="shared" si="92"/>
        <v>#REF!</v>
      </c>
      <c r="U92" s="209" t="e">
        <f t="shared" si="92"/>
        <v>#REF!</v>
      </c>
      <c r="V92" s="208"/>
      <c r="W92" s="209"/>
      <c r="X92" s="208"/>
      <c r="Y92" s="209" t="e">
        <f>Y91-W91</f>
        <v>#REF!</v>
      </c>
      <c r="Z92" s="211"/>
    </row>
    <row r="93" spans="2:26" s="206" customFormat="1" ht="15" customHeight="1">
      <c r="B93" s="222"/>
      <c r="D93" s="207" t="s">
        <v>113</v>
      </c>
      <c r="E93" s="208"/>
      <c r="F93" s="209">
        <f t="shared" ref="F93:U93" si="93">F91/F$1</f>
        <v>145861070.5</v>
      </c>
      <c r="G93" s="209">
        <f t="shared" si="93"/>
        <v>117225403.5</v>
      </c>
      <c r="H93" s="209">
        <f t="shared" si="93"/>
        <v>86705700.066666678</v>
      </c>
      <c r="I93" s="209" t="e">
        <f t="shared" si="93"/>
        <v>#REF!</v>
      </c>
      <c r="J93" s="209">
        <f t="shared" si="93"/>
        <v>128350053</v>
      </c>
      <c r="K93" s="209">
        <f>K91/K$1</f>
        <v>23229365</v>
      </c>
      <c r="L93" s="209">
        <f t="shared" si="93"/>
        <v>104916490.33333333</v>
      </c>
      <c r="M93" s="209">
        <f t="shared" si="93"/>
        <v>43999843.25</v>
      </c>
      <c r="N93" s="209">
        <f t="shared" si="93"/>
        <v>39071444.799999997</v>
      </c>
      <c r="O93" s="209">
        <f t="shared" si="93"/>
        <v>42433375.5</v>
      </c>
      <c r="P93" s="209">
        <f t="shared" si="93"/>
        <v>37227040.714285716</v>
      </c>
      <c r="Q93" s="209">
        <f>Q91/Q$1</f>
        <v>45776877.125</v>
      </c>
      <c r="R93" s="209">
        <f t="shared" si="93"/>
        <v>31498901.777777776</v>
      </c>
      <c r="S93" s="209" t="e">
        <f t="shared" si="93"/>
        <v>#REF!</v>
      </c>
      <c r="T93" s="209" t="e">
        <f t="shared" si="93"/>
        <v>#REF!</v>
      </c>
      <c r="U93" s="209" t="e">
        <f t="shared" si="93"/>
        <v>#REF!</v>
      </c>
      <c r="V93" s="208"/>
      <c r="W93" s="209" t="e">
        <f>W91/W$1</f>
        <v>#REF!</v>
      </c>
      <c r="X93" s="208"/>
      <c r="Y93" s="209">
        <f>Y91/Y$1</f>
        <v>39071444.799999997</v>
      </c>
      <c r="Z93" s="211"/>
    </row>
    <row r="94" spans="2:26" s="206" customFormat="1" ht="15" customHeight="1">
      <c r="B94" s="222"/>
      <c r="D94" s="207" t="s">
        <v>114</v>
      </c>
      <c r="E94" s="208"/>
      <c r="F94" s="209">
        <f t="shared" ref="F94:U94" si="94">F91/F$3</f>
        <v>4862035.6833333336</v>
      </c>
      <c r="G94" s="209">
        <f t="shared" si="94"/>
        <v>3843455.8524590163</v>
      </c>
      <c r="H94" s="209">
        <f t="shared" si="94"/>
        <v>2858429.672527473</v>
      </c>
      <c r="I94" s="209" t="e">
        <f t="shared" si="94"/>
        <v>#REF!</v>
      </c>
      <c r="J94" s="209">
        <f t="shared" si="94"/>
        <v>4140324.2903225808</v>
      </c>
      <c r="K94" s="209">
        <f t="shared" si="94"/>
        <v>787436.10169491521</v>
      </c>
      <c r="L94" s="209">
        <f t="shared" si="94"/>
        <v>3497216.3444444444</v>
      </c>
      <c r="M94" s="209">
        <f t="shared" si="94"/>
        <v>1466661.4416666667</v>
      </c>
      <c r="N94" s="209">
        <f t="shared" si="94"/>
        <v>1293756.4503311259</v>
      </c>
      <c r="O94" s="209">
        <f t="shared" si="94"/>
        <v>1406631.2320441988</v>
      </c>
      <c r="P94" s="209">
        <f t="shared" si="94"/>
        <v>1229194.7405660378</v>
      </c>
      <c r="Q94" s="209">
        <f>Q91/Q$3</f>
        <v>1507057.6831275721</v>
      </c>
      <c r="R94" s="209">
        <f t="shared" si="94"/>
        <v>1038425.3333333334</v>
      </c>
      <c r="S94" s="209" t="e">
        <f t="shared" si="94"/>
        <v>#REF!</v>
      </c>
      <c r="T94" s="209" t="e">
        <f t="shared" si="94"/>
        <v>#REF!</v>
      </c>
      <c r="U94" s="209" t="e">
        <f t="shared" si="94"/>
        <v>#REF!</v>
      </c>
      <c r="V94" s="208"/>
      <c r="W94" s="209" t="e">
        <f>W91/W$3</f>
        <v>#REF!</v>
      </c>
      <c r="X94" s="208"/>
      <c r="Y94" s="209">
        <f>Y91/Y$3</f>
        <v>1293756.4503311259</v>
      </c>
      <c r="Z94" s="211"/>
    </row>
    <row r="95" spans="2:26" s="206" customFormat="1" ht="15" customHeight="1">
      <c r="B95" s="222"/>
      <c r="D95" s="207" t="s">
        <v>115</v>
      </c>
      <c r="E95" s="208"/>
      <c r="F95" s="227">
        <f>(F$91*12/9)/F$33</f>
        <v>18.350073318358646</v>
      </c>
      <c r="G95" s="227">
        <f>(G$91*12/10)/G$33</f>
        <v>19.462992738893917</v>
      </c>
      <c r="H95" s="227">
        <f>(H$91*12/11)/H$33</f>
        <v>20.024636361305831</v>
      </c>
      <c r="I95" s="227" t="e">
        <f>(I$91*1)/I$33</f>
        <v>#REF!</v>
      </c>
      <c r="J95" s="227">
        <f>(J$91*12)/J$33</f>
        <v>54.107721135243885</v>
      </c>
      <c r="K95" s="227">
        <f>(K$91*6)/K$33</f>
        <v>9.7413059377136761</v>
      </c>
      <c r="L95" s="227">
        <f>(L$91*12/3)/L$33</f>
        <v>42.975261182759475</v>
      </c>
      <c r="M95" s="227">
        <f>(M$91*12/4)/M$33</f>
        <v>17.71978107003623</v>
      </c>
      <c r="N95" s="227">
        <f>(N$91*12/5)/N$33</f>
        <v>10.637551623129719</v>
      </c>
      <c r="O95" s="227">
        <f>(O$91*12/6)/O$33</f>
        <v>8.603633853609324</v>
      </c>
      <c r="P95" s="227">
        <f>(P$91*12/7)/P$33</f>
        <v>7.6624687387286006</v>
      </c>
      <c r="Q95" s="227">
        <f>(Q$91*12/8)/Q$33</f>
        <v>9.4960040147617661</v>
      </c>
      <c r="R95" s="227">
        <f>(R$91*12/9)/R$33</f>
        <v>6.6322314584431616</v>
      </c>
      <c r="S95" s="227" t="e">
        <f>(S$91*12/10)/S$33</f>
        <v>#REF!</v>
      </c>
      <c r="T95" s="227" t="e">
        <f>(T$91*12/11)/T$33</f>
        <v>#REF!</v>
      </c>
      <c r="U95" s="227" t="e">
        <f>(U$91*1)/U$33</f>
        <v>#REF!</v>
      </c>
      <c r="V95" s="208"/>
      <c r="W95" s="227" t="e">
        <f>(W$91)/W$33</f>
        <v>#REF!</v>
      </c>
      <c r="X95" s="208"/>
      <c r="Y95" s="227">
        <f>(Y$91)/Y$33</f>
        <v>4.4323131763040493</v>
      </c>
      <c r="Z95" s="211"/>
    </row>
    <row r="96" spans="2:26" s="206" customFormat="1" ht="15" customHeight="1">
      <c r="B96" s="222"/>
      <c r="D96" s="207" t="s">
        <v>116</v>
      </c>
      <c r="E96" s="208"/>
      <c r="F96" s="227">
        <f>(F$91*12/9)/F$78</f>
        <v>1.1893614020423937</v>
      </c>
      <c r="G96" s="227">
        <f>(G$91*12/10)/G$78</f>
        <v>1.10480259139188</v>
      </c>
      <c r="H96" s="227">
        <f>(H$91*12/11)/H$78</f>
        <v>1.1178533779085509</v>
      </c>
      <c r="I96" s="227" t="e">
        <f>(I$91*1)/I$78</f>
        <v>#REF!</v>
      </c>
      <c r="J96" s="227">
        <f>(J$91*12)/J$78</f>
        <v>3.1494418840179219</v>
      </c>
      <c r="K96" s="227">
        <f>(K$91*6)/K$78</f>
        <v>0.65804383825432222</v>
      </c>
      <c r="L96" s="227">
        <f>(L$91*12/3)/L$78</f>
        <v>2.8769631024428848</v>
      </c>
      <c r="M96" s="227">
        <f>(M$91*12/4)/M$78</f>
        <v>1.123246278352664</v>
      </c>
      <c r="N96" s="227">
        <f>(N$91*12/5)/N$78</f>
        <v>1.0600377617877308</v>
      </c>
      <c r="O96" s="227">
        <f>(O$91*12/6)/O$78</f>
        <v>1.1444528419155147</v>
      </c>
      <c r="P96" s="227">
        <f>(P$91*12/7)/P$78</f>
        <v>0.97848367667648706</v>
      </c>
      <c r="Q96" s="227">
        <f>(Q$91*12/8)/Q$78</f>
        <v>1.1219951553303231</v>
      </c>
      <c r="R96" s="227">
        <f>(R$91*12/9)/R$78</f>
        <v>0.71996353831649251</v>
      </c>
      <c r="S96" s="227" t="e">
        <f>(S$91*12/10)/S$78</f>
        <v>#REF!</v>
      </c>
      <c r="T96" s="227" t="e">
        <f>(T$91*12/11)/T$78</f>
        <v>#REF!</v>
      </c>
      <c r="U96" s="227" t="e">
        <f>(U$91*1)/U$78</f>
        <v>#REF!</v>
      </c>
      <c r="V96" s="208"/>
      <c r="W96" s="227" t="e">
        <f>(W$91)/W$78</f>
        <v>#REF!</v>
      </c>
      <c r="X96" s="208"/>
      <c r="Y96" s="227">
        <f>(Y$91)/Y$78</f>
        <v>0.44168240074488779</v>
      </c>
      <c r="Z96" s="211"/>
    </row>
    <row r="97" spans="2:26" s="173" customFormat="1" ht="15" customHeight="1">
      <c r="D97" s="203"/>
      <c r="E97" s="170"/>
      <c r="V97" s="170"/>
      <c r="X97" s="170"/>
    </row>
    <row r="98" spans="2:26" ht="15" customHeight="1">
      <c r="B98" s="222" t="s">
        <v>117</v>
      </c>
      <c r="D98" s="228" t="s">
        <v>175</v>
      </c>
      <c r="F98" s="184">
        <f>ACUMULADO!F99</f>
        <v>95571350.650000006</v>
      </c>
      <c r="G98" s="184">
        <f>ACUMULADO!G99-ACUMULADO!F99</f>
        <v>147513208.18000001</v>
      </c>
      <c r="H98" s="184">
        <f>ACUMULADO!H99-ACUMULADO!G99</f>
        <v>207773233.62999997</v>
      </c>
      <c r="I98" s="184" t="e">
        <f>ACUMULADO!I99-ACUMULADO!H99</f>
        <v>#REF!</v>
      </c>
      <c r="J98" s="184">
        <f>ACUMULADO!J99</f>
        <v>71459376.459999993</v>
      </c>
      <c r="K98" s="184">
        <f>ACUMULADO!K99-ACUMULADO!J99</f>
        <v>29291235.75</v>
      </c>
      <c r="L98" s="184">
        <f>ACUMULADO!L99-ACUMULADO!K99</f>
        <v>202712462.31</v>
      </c>
      <c r="M98" s="184">
        <f>ACUMULADO!M99-ACUMULADO!L99</f>
        <v>68132011.819999993</v>
      </c>
      <c r="N98" s="184">
        <f>ACUMULADO!N99-ACUMULADO!M99</f>
        <v>130220546.97000003</v>
      </c>
      <c r="O98" s="184">
        <f>ACUMULADO!O99-ACUMULADO!N99</f>
        <v>177278945.60999995</v>
      </c>
      <c r="P98" s="184">
        <f>ACUMULADO!P99-ACUMULADO!O99</f>
        <v>174838413.08000004</v>
      </c>
      <c r="Q98" s="184">
        <f>ACUMULADO!Q99-ACUMULADO!P99</f>
        <v>257463415.03999996</v>
      </c>
      <c r="R98" s="184">
        <f>ACUMULADO!R99-ACUMULADO!Q99</f>
        <v>154050391.96000004</v>
      </c>
      <c r="S98" s="184" t="e">
        <f>ACUMULADO!S99-ACUMULADO!R99</f>
        <v>#REF!</v>
      </c>
      <c r="T98" s="184" t="e">
        <f>ACUMULADO!T99-ACUMULADO!S99</f>
        <v>#REF!</v>
      </c>
      <c r="U98" s="184" t="e">
        <f>ACUMULADO!U99-ACUMULADO!T99</f>
        <v>#REF!</v>
      </c>
      <c r="W98" s="184" t="e">
        <f>I98</f>
        <v>#REF!</v>
      </c>
      <c r="Y98" s="184">
        <f>N98</f>
        <v>130220546.97000003</v>
      </c>
    </row>
    <row r="99" spans="2:26" s="206" customFormat="1" ht="15" customHeight="1">
      <c r="B99" s="222"/>
      <c r="D99" s="207" t="s">
        <v>181</v>
      </c>
      <c r="E99" s="208"/>
      <c r="F99" s="190">
        <f>F98/F$91</f>
        <v>0.6552217827717095</v>
      </c>
      <c r="G99" s="190">
        <f t="shared" ref="G99:Y99" si="95">G98/G$91</f>
        <v>0.62918618224248646</v>
      </c>
      <c r="H99" s="190">
        <f t="shared" si="95"/>
        <v>0.79876806819023549</v>
      </c>
      <c r="I99" s="190" t="e">
        <f t="shared" si="95"/>
        <v>#REF!</v>
      </c>
      <c r="J99" s="190">
        <f t="shared" si="95"/>
        <v>0.55675377446084884</v>
      </c>
      <c r="K99" s="190">
        <f t="shared" si="95"/>
        <v>0.6304786151063535</v>
      </c>
      <c r="L99" s="190">
        <f t="shared" si="95"/>
        <v>0.6440438538814891</v>
      </c>
      <c r="M99" s="190">
        <f t="shared" si="95"/>
        <v>0.38711508262020905</v>
      </c>
      <c r="N99" s="190">
        <f t="shared" si="95"/>
        <v>0.66657656319891212</v>
      </c>
      <c r="O99" s="190">
        <f t="shared" si="95"/>
        <v>0.69630310072786905</v>
      </c>
      <c r="P99" s="190">
        <f t="shared" si="95"/>
        <v>0.67093477416003522</v>
      </c>
      <c r="Q99" s="190">
        <f t="shared" si="95"/>
        <v>0.7030389336546512</v>
      </c>
      <c r="R99" s="190">
        <f t="shared" si="95"/>
        <v>0.54340657139524418</v>
      </c>
      <c r="S99" s="190" t="e">
        <f t="shared" si="95"/>
        <v>#REF!</v>
      </c>
      <c r="T99" s="190" t="e">
        <f t="shared" si="95"/>
        <v>#REF!</v>
      </c>
      <c r="U99" s="190" t="e">
        <f t="shared" si="95"/>
        <v>#REF!</v>
      </c>
      <c r="V99" s="208"/>
      <c r="W99" s="190" t="e">
        <f t="shared" si="95"/>
        <v>#REF!</v>
      </c>
      <c r="X99" s="208"/>
      <c r="Y99" s="190">
        <f t="shared" si="95"/>
        <v>0.66657656319891212</v>
      </c>
      <c r="Z99" s="211"/>
    </row>
    <row r="100" spans="2:26" ht="15" customHeight="1">
      <c r="B100" s="222"/>
      <c r="D100" s="228" t="s">
        <v>190</v>
      </c>
      <c r="F100" s="184">
        <f>ACUMULADO!F101</f>
        <v>0</v>
      </c>
      <c r="G100" s="184">
        <f>ACUMULADO!G101-ACUMULADO!F101</f>
        <v>0</v>
      </c>
      <c r="H100" s="184">
        <f>ACUMULADO!H101-ACUMULADO!G101</f>
        <v>0</v>
      </c>
      <c r="I100" s="184">
        <f>ACUMULADO!I101-ACUMULADO!H101</f>
        <v>0</v>
      </c>
      <c r="J100" s="184">
        <f>ACUMULADO!J101</f>
        <v>0</v>
      </c>
      <c r="K100" s="184">
        <f>ACUMULADO!K101-ACUMULADO!J101</f>
        <v>0</v>
      </c>
      <c r="L100" s="184">
        <f>ACUMULADO!L101-ACUMULADO!K101</f>
        <v>0</v>
      </c>
      <c r="M100" s="184">
        <f>ACUMULADO!M101-ACUMULADO!L101</f>
        <v>0</v>
      </c>
      <c r="N100" s="184">
        <f>ACUMULADO!N101-ACUMULADO!M101</f>
        <v>0</v>
      </c>
      <c r="O100" s="184">
        <f>ACUMULADO!O101-ACUMULADO!N101</f>
        <v>0</v>
      </c>
      <c r="P100" s="184">
        <f>ACUMULADO!P101-ACUMULADO!O101</f>
        <v>0</v>
      </c>
      <c r="Q100" s="184">
        <f>ACUMULADO!Q101-ACUMULADO!P101</f>
        <v>0</v>
      </c>
      <c r="R100" s="184">
        <f>ACUMULADO!R101-ACUMULADO!Q101</f>
        <v>0</v>
      </c>
      <c r="S100" s="184">
        <f>ACUMULADO!S101-ACUMULADO!R101</f>
        <v>0</v>
      </c>
      <c r="T100" s="184" t="e">
        <f>ACUMULADO!T101-ACUMULADO!S101</f>
        <v>#REF!</v>
      </c>
      <c r="U100" s="184" t="e">
        <f>ACUMULADO!U101-ACUMULADO!T101</f>
        <v>#REF!</v>
      </c>
      <c r="W100" s="184">
        <f>I100</f>
        <v>0</v>
      </c>
      <c r="Y100" s="184">
        <f>N100</f>
        <v>0</v>
      </c>
    </row>
    <row r="101" spans="2:26" s="206" customFormat="1" ht="15" customHeight="1">
      <c r="B101" s="222"/>
      <c r="D101" s="207" t="s">
        <v>193</v>
      </c>
      <c r="E101" s="208"/>
      <c r="F101" s="190">
        <f>F100/F$91</f>
        <v>0</v>
      </c>
      <c r="G101" s="190">
        <f t="shared" ref="G101:U101" si="96">G100/G$91</f>
        <v>0</v>
      </c>
      <c r="H101" s="190">
        <f t="shared" si="96"/>
        <v>0</v>
      </c>
      <c r="I101" s="190" t="e">
        <f t="shared" si="96"/>
        <v>#REF!</v>
      </c>
      <c r="J101" s="190">
        <f t="shared" si="96"/>
        <v>0</v>
      </c>
      <c r="K101" s="190">
        <f t="shared" si="96"/>
        <v>0</v>
      </c>
      <c r="L101" s="190">
        <f t="shared" si="96"/>
        <v>0</v>
      </c>
      <c r="M101" s="190">
        <f t="shared" si="96"/>
        <v>0</v>
      </c>
      <c r="N101" s="190">
        <f t="shared" si="96"/>
        <v>0</v>
      </c>
      <c r="O101" s="190">
        <f t="shared" si="96"/>
        <v>0</v>
      </c>
      <c r="P101" s="190">
        <f t="shared" si="96"/>
        <v>0</v>
      </c>
      <c r="Q101" s="190">
        <f t="shared" si="96"/>
        <v>0</v>
      </c>
      <c r="R101" s="190">
        <f t="shared" si="96"/>
        <v>0</v>
      </c>
      <c r="S101" s="190" t="e">
        <f t="shared" si="96"/>
        <v>#REF!</v>
      </c>
      <c r="T101" s="190" t="e">
        <f t="shared" si="96"/>
        <v>#REF!</v>
      </c>
      <c r="U101" s="190" t="e">
        <f t="shared" si="96"/>
        <v>#REF!</v>
      </c>
      <c r="V101" s="208"/>
      <c r="W101" s="190" t="e">
        <f t="shared" ref="W101" si="97">W100/W$91</f>
        <v>#REF!</v>
      </c>
      <c r="X101" s="208"/>
      <c r="Y101" s="190">
        <f t="shared" ref="Y101" si="98">Y100/Y$91</f>
        <v>0</v>
      </c>
      <c r="Z101" s="211"/>
    </row>
    <row r="102" spans="2:26" s="206" customFormat="1" ht="15" customHeight="1">
      <c r="B102" s="222"/>
      <c r="C102" s="206">
        <v>1</v>
      </c>
      <c r="D102" s="207" t="s">
        <v>194</v>
      </c>
      <c r="E102" s="208"/>
      <c r="F102" s="209">
        <f t="shared" ref="F102:U102" si="99">F100/F$1</f>
        <v>0</v>
      </c>
      <c r="G102" s="209">
        <f t="shared" si="99"/>
        <v>0</v>
      </c>
      <c r="H102" s="209">
        <f t="shared" si="99"/>
        <v>0</v>
      </c>
      <c r="I102" s="209">
        <f t="shared" si="99"/>
        <v>0</v>
      </c>
      <c r="J102" s="209">
        <f t="shared" si="99"/>
        <v>0</v>
      </c>
      <c r="K102" s="209">
        <f t="shared" si="99"/>
        <v>0</v>
      </c>
      <c r="L102" s="209">
        <f t="shared" si="99"/>
        <v>0</v>
      </c>
      <c r="M102" s="209">
        <f t="shared" si="99"/>
        <v>0</v>
      </c>
      <c r="N102" s="209">
        <f t="shared" si="99"/>
        <v>0</v>
      </c>
      <c r="O102" s="209">
        <f t="shared" si="99"/>
        <v>0</v>
      </c>
      <c r="P102" s="209">
        <f t="shared" si="99"/>
        <v>0</v>
      </c>
      <c r="Q102" s="209">
        <f t="shared" si="99"/>
        <v>0</v>
      </c>
      <c r="R102" s="209">
        <f t="shared" si="99"/>
        <v>0</v>
      </c>
      <c r="S102" s="209">
        <f t="shared" si="99"/>
        <v>0</v>
      </c>
      <c r="T102" s="209" t="e">
        <f t="shared" si="99"/>
        <v>#REF!</v>
      </c>
      <c r="U102" s="209" t="e">
        <f t="shared" si="99"/>
        <v>#REF!</v>
      </c>
      <c r="V102" s="208"/>
      <c r="W102" s="209" t="e">
        <f>W100/W$1</f>
        <v>#REF!</v>
      </c>
      <c r="X102" s="208"/>
      <c r="Y102" s="209">
        <f>Y100/Y$1</f>
        <v>0</v>
      </c>
      <c r="Z102" s="211"/>
    </row>
    <row r="103" spans="2:26" ht="15" customHeight="1">
      <c r="B103" s="222"/>
      <c r="D103" s="226" t="s">
        <v>118</v>
      </c>
      <c r="F103" s="193">
        <f>+F98+F100</f>
        <v>95571350.650000006</v>
      </c>
      <c r="G103" s="193">
        <f t="shared" ref="G103:I103" si="100">+G98+G100</f>
        <v>147513208.18000001</v>
      </c>
      <c r="H103" s="193">
        <f t="shared" si="100"/>
        <v>207773233.62999997</v>
      </c>
      <c r="I103" s="193" t="e">
        <f t="shared" si="100"/>
        <v>#REF!</v>
      </c>
      <c r="J103" s="193">
        <f t="shared" ref="J103:O103" si="101">+J98</f>
        <v>71459376.459999993</v>
      </c>
      <c r="K103" s="193">
        <f t="shared" si="101"/>
        <v>29291235.75</v>
      </c>
      <c r="L103" s="193">
        <f t="shared" si="101"/>
        <v>202712462.31</v>
      </c>
      <c r="M103" s="193">
        <f t="shared" si="101"/>
        <v>68132011.819999993</v>
      </c>
      <c r="N103" s="193">
        <f t="shared" si="101"/>
        <v>130220546.97000003</v>
      </c>
      <c r="O103" s="193">
        <f t="shared" si="101"/>
        <v>177278945.60999995</v>
      </c>
      <c r="P103" s="193">
        <f>+P98</f>
        <v>174838413.08000004</v>
      </c>
      <c r="Q103" s="193">
        <f t="shared" ref="Q103:U103" si="102">+Q98</f>
        <v>257463415.03999996</v>
      </c>
      <c r="R103" s="193">
        <f t="shared" si="102"/>
        <v>154050391.96000004</v>
      </c>
      <c r="S103" s="193" t="e">
        <f t="shared" si="102"/>
        <v>#REF!</v>
      </c>
      <c r="T103" s="193" t="e">
        <f t="shared" si="102"/>
        <v>#REF!</v>
      </c>
      <c r="U103" s="193" t="e">
        <f t="shared" si="102"/>
        <v>#REF!</v>
      </c>
      <c r="W103" s="193" t="e">
        <f t="shared" ref="W103" si="103">+W98+W100</f>
        <v>#REF!</v>
      </c>
      <c r="Y103" s="193">
        <f t="shared" ref="Y103" si="104">+Y98+Y100</f>
        <v>130220546.97000003</v>
      </c>
    </row>
    <row r="104" spans="2:26" s="206" customFormat="1" ht="15" customHeight="1">
      <c r="B104" s="222"/>
      <c r="D104" s="207" t="s">
        <v>119</v>
      </c>
      <c r="E104" s="208"/>
      <c r="F104" s="190">
        <f t="shared" ref="F104:U104" si="105">F103/F$91</f>
        <v>0.6552217827717095</v>
      </c>
      <c r="G104" s="190">
        <f t="shared" si="105"/>
        <v>0.62918618224248646</v>
      </c>
      <c r="H104" s="190">
        <f t="shared" si="105"/>
        <v>0.79876806819023549</v>
      </c>
      <c r="I104" s="190" t="e">
        <f t="shared" si="105"/>
        <v>#REF!</v>
      </c>
      <c r="J104" s="190">
        <f t="shared" si="105"/>
        <v>0.55675377446084884</v>
      </c>
      <c r="K104" s="190">
        <f t="shared" si="105"/>
        <v>0.6304786151063535</v>
      </c>
      <c r="L104" s="190">
        <f t="shared" si="105"/>
        <v>0.6440438538814891</v>
      </c>
      <c r="M104" s="190">
        <f t="shared" si="105"/>
        <v>0.38711508262020905</v>
      </c>
      <c r="N104" s="190">
        <f t="shared" si="105"/>
        <v>0.66657656319891212</v>
      </c>
      <c r="O104" s="190">
        <f t="shared" si="105"/>
        <v>0.69630310072786905</v>
      </c>
      <c r="P104" s="190">
        <f t="shared" si="105"/>
        <v>0.67093477416003522</v>
      </c>
      <c r="Q104" s="190">
        <f t="shared" si="105"/>
        <v>0.7030389336546512</v>
      </c>
      <c r="R104" s="190">
        <f t="shared" si="105"/>
        <v>0.54340657139524418</v>
      </c>
      <c r="S104" s="190" t="e">
        <f t="shared" si="105"/>
        <v>#REF!</v>
      </c>
      <c r="T104" s="190" t="e">
        <f t="shared" si="105"/>
        <v>#REF!</v>
      </c>
      <c r="U104" s="190" t="e">
        <f t="shared" si="105"/>
        <v>#REF!</v>
      </c>
      <c r="V104" s="208"/>
      <c r="W104" s="190" t="e">
        <f t="shared" ref="W104" si="106">W103/W$91</f>
        <v>#REF!</v>
      </c>
      <c r="X104" s="208"/>
      <c r="Y104" s="190">
        <f t="shared" ref="Y104" si="107">Y103/Y$91</f>
        <v>0.66657656319891212</v>
      </c>
      <c r="Z104" s="211"/>
    </row>
    <row r="105" spans="2:26" s="206" customFormat="1" ht="15" customHeight="1">
      <c r="B105" s="222"/>
      <c r="D105" s="207" t="s">
        <v>120</v>
      </c>
      <c r="E105" s="208"/>
      <c r="F105" s="209">
        <f t="shared" ref="F105:U105" si="108">F103/F$1</f>
        <v>95571350.650000006</v>
      </c>
      <c r="G105" s="209">
        <f t="shared" si="108"/>
        <v>73756604.090000004</v>
      </c>
      <c r="H105" s="209">
        <f t="shared" si="108"/>
        <v>69257744.543333322</v>
      </c>
      <c r="I105" s="209" t="e">
        <f t="shared" si="108"/>
        <v>#REF!</v>
      </c>
      <c r="J105" s="209">
        <f t="shared" si="108"/>
        <v>71459376.459999993</v>
      </c>
      <c r="K105" s="209">
        <f t="shared" si="108"/>
        <v>14645617.875</v>
      </c>
      <c r="L105" s="209">
        <f t="shared" si="108"/>
        <v>67570820.769999996</v>
      </c>
      <c r="M105" s="209">
        <f t="shared" si="108"/>
        <v>17033002.954999998</v>
      </c>
      <c r="N105" s="209">
        <f t="shared" si="108"/>
        <v>26044109.394000005</v>
      </c>
      <c r="O105" s="209">
        <f t="shared" si="108"/>
        <v>29546490.934999991</v>
      </c>
      <c r="P105" s="209">
        <f t="shared" si="108"/>
        <v>24976916.154285721</v>
      </c>
      <c r="Q105" s="209">
        <f>Q103/Q$1</f>
        <v>32182926.879999995</v>
      </c>
      <c r="R105" s="209">
        <f t="shared" si="108"/>
        <v>17116710.217777781</v>
      </c>
      <c r="S105" s="209" t="e">
        <f t="shared" si="108"/>
        <v>#REF!</v>
      </c>
      <c r="T105" s="209" t="e">
        <f t="shared" si="108"/>
        <v>#REF!</v>
      </c>
      <c r="U105" s="209" t="e">
        <f t="shared" si="108"/>
        <v>#REF!</v>
      </c>
      <c r="V105" s="208"/>
      <c r="W105" s="209" t="e">
        <f t="shared" ref="W105" si="109">W103/W$1</f>
        <v>#REF!</v>
      </c>
      <c r="X105" s="208"/>
      <c r="Y105" s="209">
        <f t="shared" ref="Y105" si="110">Y103/Y$1</f>
        <v>26044109.394000005</v>
      </c>
      <c r="Z105" s="211"/>
    </row>
    <row r="106" spans="2:26" s="189" customFormat="1" ht="15" customHeight="1">
      <c r="B106" s="222"/>
      <c r="D106" s="185" t="s">
        <v>61</v>
      </c>
      <c r="E106" s="186"/>
      <c r="F106" s="187">
        <f>(F18)/F$94</f>
        <v>18.016341270441998</v>
      </c>
      <c r="G106" s="187">
        <f t="shared" ref="G106:Y106" si="111">(G18)/G$94</f>
        <v>47.062995063224506</v>
      </c>
      <c r="H106" s="187">
        <f t="shared" si="111"/>
        <v>43.866358492258776</v>
      </c>
      <c r="I106" s="187" t="e">
        <f t="shared" si="111"/>
        <v>#REF!</v>
      </c>
      <c r="J106" s="187">
        <f t="shared" si="111"/>
        <v>25.549669060284689</v>
      </c>
      <c r="K106" s="187">
        <f t="shared" si="111"/>
        <v>133.02471536996384</v>
      </c>
      <c r="L106" s="187">
        <f t="shared" si="111"/>
        <v>36.151060385737708</v>
      </c>
      <c r="M106" s="187">
        <f t="shared" si="111"/>
        <v>85.259418286677644</v>
      </c>
      <c r="N106" s="187">
        <f t="shared" si="111"/>
        <v>95.112461165705341</v>
      </c>
      <c r="O106" s="187">
        <f t="shared" si="111"/>
        <v>89.836016712324337</v>
      </c>
      <c r="P106" s="187">
        <f t="shared" si="111"/>
        <v>90.363282020594198</v>
      </c>
      <c r="Q106" s="187">
        <f>(Q18)/Q$94</f>
        <v>69.611294547323268</v>
      </c>
      <c r="R106" s="187">
        <f t="shared" si="111"/>
        <v>96.956204522488534</v>
      </c>
      <c r="S106" s="187" t="e">
        <f t="shared" si="111"/>
        <v>#REF!</v>
      </c>
      <c r="T106" s="187" t="e">
        <f t="shared" si="111"/>
        <v>#REF!</v>
      </c>
      <c r="U106" s="187" t="e">
        <f t="shared" si="111"/>
        <v>#REF!</v>
      </c>
      <c r="V106" s="186"/>
      <c r="W106" s="187" t="e">
        <f t="shared" si="111"/>
        <v>#REF!</v>
      </c>
      <c r="X106" s="186"/>
      <c r="Y106" s="187">
        <f t="shared" si="111"/>
        <v>95.112461165705341</v>
      </c>
      <c r="Z106" s="188"/>
    </row>
    <row r="107" spans="2:26" s="173" customFormat="1" ht="15" customHeight="1">
      <c r="D107" s="203"/>
      <c r="E107" s="170"/>
      <c r="V107" s="170"/>
      <c r="X107" s="170"/>
    </row>
    <row r="108" spans="2:26" ht="15" customHeight="1">
      <c r="B108" s="222"/>
      <c r="D108" s="226" t="s">
        <v>121</v>
      </c>
      <c r="F108" s="193">
        <f t="shared" ref="F108:U108" si="112">F91-F103</f>
        <v>50289719.849999994</v>
      </c>
      <c r="G108" s="193">
        <f t="shared" si="112"/>
        <v>86937598.819999993</v>
      </c>
      <c r="H108" s="193">
        <f t="shared" si="112"/>
        <v>52343866.570000082</v>
      </c>
      <c r="I108" s="193" t="e">
        <f t="shared" si="112"/>
        <v>#REF!</v>
      </c>
      <c r="J108" s="193">
        <f t="shared" si="112"/>
        <v>56890676.540000007</v>
      </c>
      <c r="K108" s="193">
        <f t="shared" si="112"/>
        <v>17167494.25</v>
      </c>
      <c r="L108" s="193">
        <f t="shared" si="112"/>
        <v>112037008.69</v>
      </c>
      <c r="M108" s="193">
        <f t="shared" si="112"/>
        <v>107867361.18000001</v>
      </c>
      <c r="N108" s="193">
        <f t="shared" si="112"/>
        <v>65136677.029999971</v>
      </c>
      <c r="O108" s="193">
        <f t="shared" si="112"/>
        <v>77321307.390000045</v>
      </c>
      <c r="P108" s="193">
        <f t="shared" si="112"/>
        <v>85750871.919999957</v>
      </c>
      <c r="Q108" s="193">
        <f t="shared" si="112"/>
        <v>108751601.96000004</v>
      </c>
      <c r="R108" s="193">
        <f t="shared" si="112"/>
        <v>129439724.03999996</v>
      </c>
      <c r="S108" s="193" t="e">
        <f t="shared" si="112"/>
        <v>#REF!</v>
      </c>
      <c r="T108" s="193" t="e">
        <f t="shared" si="112"/>
        <v>#REF!</v>
      </c>
      <c r="U108" s="193" t="e">
        <f t="shared" si="112"/>
        <v>#REF!</v>
      </c>
      <c r="W108" s="193" t="e">
        <f>W91-W103</f>
        <v>#REF!</v>
      </c>
      <c r="Y108" s="193">
        <f>Y91-Y103</f>
        <v>65136677.029999971</v>
      </c>
    </row>
    <row r="109" spans="2:26" s="206" customFormat="1" ht="15" customHeight="1">
      <c r="B109" s="222"/>
      <c r="D109" s="207" t="s">
        <v>122</v>
      </c>
      <c r="E109" s="208"/>
      <c r="F109" s="190">
        <f t="shared" ref="F109:U109" si="113">F108/F91</f>
        <v>0.3447782172282905</v>
      </c>
      <c r="G109" s="190">
        <f t="shared" si="113"/>
        <v>0.3708138177575136</v>
      </c>
      <c r="H109" s="190">
        <f t="shared" si="113"/>
        <v>0.20123193180976448</v>
      </c>
      <c r="I109" s="190" t="e">
        <f t="shared" si="113"/>
        <v>#REF!</v>
      </c>
      <c r="J109" s="190">
        <f t="shared" si="113"/>
        <v>0.44324622553915116</v>
      </c>
      <c r="K109" s="190">
        <f t="shared" si="113"/>
        <v>0.36952138489364644</v>
      </c>
      <c r="L109" s="190">
        <f t="shared" si="113"/>
        <v>0.35595614611851084</v>
      </c>
      <c r="M109" s="190">
        <f t="shared" si="113"/>
        <v>0.61288491737979089</v>
      </c>
      <c r="N109" s="190">
        <f t="shared" si="113"/>
        <v>0.33342343680108788</v>
      </c>
      <c r="O109" s="190">
        <f t="shared" si="113"/>
        <v>0.30369689927213089</v>
      </c>
      <c r="P109" s="190">
        <f t="shared" si="113"/>
        <v>0.32906522583996484</v>
      </c>
      <c r="Q109" s="190">
        <f t="shared" si="113"/>
        <v>0.2969610663453488</v>
      </c>
      <c r="R109" s="190">
        <f t="shared" si="113"/>
        <v>0.45659342860475588</v>
      </c>
      <c r="S109" s="190" t="e">
        <f t="shared" si="113"/>
        <v>#REF!</v>
      </c>
      <c r="T109" s="190" t="e">
        <f t="shared" si="113"/>
        <v>#REF!</v>
      </c>
      <c r="U109" s="190" t="e">
        <f t="shared" si="113"/>
        <v>#REF!</v>
      </c>
      <c r="V109" s="208"/>
      <c r="W109" s="190" t="e">
        <f>W108/W91</f>
        <v>#REF!</v>
      </c>
      <c r="X109" s="208"/>
      <c r="Y109" s="190">
        <f>Y108/Y91</f>
        <v>0.33342343680108788</v>
      </c>
      <c r="Z109" s="211"/>
    </row>
    <row r="110" spans="2:26" s="173" customFormat="1" ht="15" customHeight="1">
      <c r="D110" s="203"/>
      <c r="E110" s="170"/>
      <c r="V110" s="170"/>
      <c r="X110" s="170"/>
    </row>
    <row r="111" spans="2:26" s="230" customFormat="1" ht="15" customHeight="1">
      <c r="B111" s="229" t="s">
        <v>123</v>
      </c>
      <c r="D111" s="231" t="s">
        <v>124</v>
      </c>
      <c r="E111" s="232"/>
      <c r="F111" s="184">
        <f>ACUMULADO!F112</f>
        <v>9674364</v>
      </c>
      <c r="G111" s="184">
        <f>ACUMULADO!G112-ACUMULADO!F112</f>
        <v>19258482.02</v>
      </c>
      <c r="H111" s="184">
        <f>ACUMULADO!H112-ACUMULADO!G112</f>
        <v>26012737.050000001</v>
      </c>
      <c r="I111" s="184" t="e">
        <f>ACUMULADO!I112-ACUMULADO!H112</f>
        <v>#REF!</v>
      </c>
      <c r="J111" s="184">
        <f>ACUMULADO!J112</f>
        <v>20905605</v>
      </c>
      <c r="K111" s="184">
        <f>ACUMULADO!K112-ACUMULADO!J112</f>
        <v>36958558</v>
      </c>
      <c r="L111" s="184">
        <f>ACUMULADO!L112-ACUMULADO!K112</f>
        <v>38041483.640000001</v>
      </c>
      <c r="M111" s="184">
        <f>ACUMULADO!M112-ACUMULADO!L112</f>
        <v>26730247</v>
      </c>
      <c r="N111" s="184">
        <f>ACUMULADO!N112-ACUMULADO!M112</f>
        <v>33631961.569871113</v>
      </c>
      <c r="O111" s="184">
        <f>ACUMULADO!O112-ACUMULADO!N112</f>
        <v>36777849.107281893</v>
      </c>
      <c r="P111" s="184">
        <f>ACUMULADO!P112-ACUMULADO!O112</f>
        <v>35361640.372846991</v>
      </c>
      <c r="Q111" s="184">
        <f>ACUMULADO!Q112-ACUMULADO!P112</f>
        <v>31375192</v>
      </c>
      <c r="R111" s="184">
        <f>ACUMULADO!R112-ACUMULADO!Q112</f>
        <v>43396219.910000026</v>
      </c>
      <c r="S111" s="184" t="e">
        <f>ACUMULADO!S112-ACUMULADO!R112</f>
        <v>#REF!</v>
      </c>
      <c r="T111" s="184" t="e">
        <f>ACUMULADO!T112-ACUMULADO!S112</f>
        <v>#REF!</v>
      </c>
      <c r="U111" s="184" t="e">
        <f>ACUMULADO!U112-ACUMULADO!T112</f>
        <v>#REF!</v>
      </c>
      <c r="V111" s="232"/>
      <c r="W111" s="233" t="e">
        <f>I111</f>
        <v>#REF!</v>
      </c>
      <c r="X111" s="232"/>
      <c r="Y111" s="233">
        <f>N111</f>
        <v>33631961.569871113</v>
      </c>
      <c r="Z111" s="234"/>
    </row>
    <row r="112" spans="2:26" s="206" customFormat="1" ht="15" customHeight="1">
      <c r="B112" s="229"/>
      <c r="D112" s="207" t="s">
        <v>125</v>
      </c>
      <c r="E112" s="208"/>
      <c r="F112" s="190">
        <f t="shared" ref="F112:U112" si="114">F111/F$91</f>
        <v>6.6325880969041698E-2</v>
      </c>
      <c r="G112" s="190">
        <f t="shared" si="114"/>
        <v>8.2142954705206023E-2</v>
      </c>
      <c r="H112" s="190">
        <f t="shared" si="114"/>
        <v>0.10000394833711126</v>
      </c>
      <c r="I112" s="190" t="e">
        <f t="shared" si="114"/>
        <v>#REF!</v>
      </c>
      <c r="J112" s="190">
        <f t="shared" si="114"/>
        <v>0.16287959772015054</v>
      </c>
      <c r="K112" s="190">
        <f t="shared" si="114"/>
        <v>0.79551373875265208</v>
      </c>
      <c r="L112" s="190">
        <f t="shared" si="114"/>
        <v>0.12086274051275531</v>
      </c>
      <c r="M112" s="190">
        <f t="shared" si="114"/>
        <v>0.1518769444707056</v>
      </c>
      <c r="N112" s="190">
        <f t="shared" si="114"/>
        <v>0.17215622172165546</v>
      </c>
      <c r="O112" s="190">
        <f t="shared" si="114"/>
        <v>0.1444533093503324</v>
      </c>
      <c r="P112" s="190">
        <f>P111/P$91</f>
        <v>0.13569875051787716</v>
      </c>
      <c r="Q112" s="190">
        <f>Q111/Q$91</f>
        <v>8.5674236564690087E-2</v>
      </c>
      <c r="R112" s="190">
        <f t="shared" si="114"/>
        <v>0.15307842305867209</v>
      </c>
      <c r="S112" s="190" t="e">
        <f t="shared" si="114"/>
        <v>#REF!</v>
      </c>
      <c r="T112" s="190" t="e">
        <f t="shared" si="114"/>
        <v>#REF!</v>
      </c>
      <c r="U112" s="190" t="e">
        <f t="shared" si="114"/>
        <v>#REF!</v>
      </c>
      <c r="V112" s="208"/>
      <c r="W112" s="190" t="e">
        <f t="shared" ref="W112" si="115">W111/W$91</f>
        <v>#REF!</v>
      </c>
      <c r="X112" s="208"/>
      <c r="Y112" s="190">
        <f t="shared" ref="Y112" si="116">Y111/Y$91</f>
        <v>0.17215622172165546</v>
      </c>
      <c r="Z112" s="211"/>
    </row>
    <row r="113" spans="2:26" s="206" customFormat="1" ht="15" customHeight="1">
      <c r="B113" s="229"/>
      <c r="D113" s="207" t="s">
        <v>126</v>
      </c>
      <c r="E113" s="208"/>
      <c r="F113" s="209">
        <f t="shared" ref="F113:U113" si="117">F111/F$1</f>
        <v>9674364</v>
      </c>
      <c r="G113" s="209">
        <f t="shared" si="117"/>
        <v>9629241.0099999998</v>
      </c>
      <c r="H113" s="209">
        <f t="shared" si="117"/>
        <v>8670912.3499999996</v>
      </c>
      <c r="I113" s="209" t="e">
        <f t="shared" si="117"/>
        <v>#REF!</v>
      </c>
      <c r="J113" s="209">
        <f t="shared" si="117"/>
        <v>20905605</v>
      </c>
      <c r="K113" s="209">
        <f t="shared" si="117"/>
        <v>18479279</v>
      </c>
      <c r="L113" s="209">
        <f t="shared" si="117"/>
        <v>12680494.546666667</v>
      </c>
      <c r="M113" s="209">
        <f t="shared" si="117"/>
        <v>6682561.75</v>
      </c>
      <c r="N113" s="209">
        <f t="shared" si="117"/>
        <v>6726392.3139742222</v>
      </c>
      <c r="O113" s="209">
        <f t="shared" si="117"/>
        <v>6129641.5178803159</v>
      </c>
      <c r="P113" s="210">
        <f>P111/P$1</f>
        <v>5051662.9104067134</v>
      </c>
      <c r="Q113" s="209">
        <f t="shared" si="117"/>
        <v>3921899</v>
      </c>
      <c r="R113" s="209">
        <f t="shared" si="117"/>
        <v>4821802.212222225</v>
      </c>
      <c r="S113" s="209" t="e">
        <f t="shared" si="117"/>
        <v>#REF!</v>
      </c>
      <c r="T113" s="209" t="e">
        <f t="shared" si="117"/>
        <v>#REF!</v>
      </c>
      <c r="U113" s="209" t="e">
        <f t="shared" si="117"/>
        <v>#REF!</v>
      </c>
      <c r="V113" s="208"/>
      <c r="W113" s="209" t="e">
        <f t="shared" ref="W113" si="118">W111/W$1</f>
        <v>#REF!</v>
      </c>
      <c r="X113" s="208"/>
      <c r="Y113" s="209">
        <f t="shared" ref="Y113" si="119">Y111/Y$1</f>
        <v>6726392.3139742222</v>
      </c>
      <c r="Z113" s="211"/>
    </row>
    <row r="114" spans="2:26" s="230" customFormat="1" ht="15" customHeight="1">
      <c r="B114" s="229"/>
      <c r="D114" s="231" t="s">
        <v>127</v>
      </c>
      <c r="E114" s="232"/>
      <c r="F114" s="184">
        <f>ACUMULADO!F115</f>
        <v>0</v>
      </c>
      <c r="G114" s="184">
        <f>ACUMULADO!G115-ACUMULADO!F115</f>
        <v>0</v>
      </c>
      <c r="H114" s="184">
        <f>ACUMULADO!H115-ACUMULADO!G115</f>
        <v>0</v>
      </c>
      <c r="I114" s="184">
        <f>ACUMULADO!I115-ACUMULADO!H115</f>
        <v>0</v>
      </c>
      <c r="J114" s="184">
        <f>ACUMULADO!J115</f>
        <v>1850034</v>
      </c>
      <c r="K114" s="184">
        <f>ACUMULADO!K115-ACUMULADO!J115</f>
        <v>7653326</v>
      </c>
      <c r="L114" s="235">
        <f>ACUMULADO!L115-ACUMULADO!K115</f>
        <v>18577286</v>
      </c>
      <c r="M114" s="184">
        <f>ACUMULADO!M115-ACUMULADO!L115</f>
        <v>7921754</v>
      </c>
      <c r="N114" s="184">
        <f>ACUMULADO!N115-ACUMULADO!M115</f>
        <v>12377503</v>
      </c>
      <c r="O114" s="184">
        <f>ACUMULADO!O115-ACUMULADO!N115</f>
        <v>10380392</v>
      </c>
      <c r="P114" s="184">
        <f>ACUMULADO!P115-ACUMULADO!O115</f>
        <v>10992414</v>
      </c>
      <c r="Q114" s="184">
        <f>ACUMULADO!Q115-ACUMULADO!P115</f>
        <v>11516574</v>
      </c>
      <c r="R114" s="184">
        <f>ACUMULADO!R115-ACUMULADO!Q115</f>
        <v>11770245</v>
      </c>
      <c r="S114" s="184" t="e">
        <f>ACUMULADO!S115-ACUMULADO!R115</f>
        <v>#REF!</v>
      </c>
      <c r="T114" s="184" t="e">
        <f>ACUMULADO!T115-ACUMULADO!S115</f>
        <v>#REF!</v>
      </c>
      <c r="U114" s="184" t="e">
        <f>ACUMULADO!U115-ACUMULADO!T115</f>
        <v>#REF!</v>
      </c>
      <c r="V114" s="232"/>
      <c r="W114" s="233">
        <f>I114</f>
        <v>0</v>
      </c>
      <c r="X114" s="232"/>
      <c r="Y114" s="233">
        <f>N114</f>
        <v>12377503</v>
      </c>
      <c r="Z114" s="234"/>
    </row>
    <row r="115" spans="2:26" s="206" customFormat="1" ht="15" customHeight="1">
      <c r="B115" s="229"/>
      <c r="D115" s="207" t="s">
        <v>128</v>
      </c>
      <c r="E115" s="208"/>
      <c r="F115" s="190">
        <f t="shared" ref="F115:U115" si="120">F114/F91</f>
        <v>0</v>
      </c>
      <c r="G115" s="190">
        <f t="shared" si="120"/>
        <v>0</v>
      </c>
      <c r="H115" s="190">
        <f t="shared" si="120"/>
        <v>0</v>
      </c>
      <c r="I115" s="190" t="e">
        <f t="shared" si="120"/>
        <v>#REF!</v>
      </c>
      <c r="J115" s="190">
        <f t="shared" si="120"/>
        <v>1.4413971453521721E-2</v>
      </c>
      <c r="K115" s="190">
        <f t="shared" si="120"/>
        <v>0.16473386164451762</v>
      </c>
      <c r="L115" s="236">
        <f t="shared" si="120"/>
        <v>5.9022453448380856E-2</v>
      </c>
      <c r="M115" s="190">
        <f t="shared" si="120"/>
        <v>4.5010126257665699E-2</v>
      </c>
      <c r="N115" s="190">
        <f t="shared" si="120"/>
        <v>6.3358307138926179E-2</v>
      </c>
      <c r="O115" s="190">
        <f t="shared" si="120"/>
        <v>4.077133419030813E-2</v>
      </c>
      <c r="P115" s="190">
        <f>P114/P91</f>
        <v>4.2182908633407547E-2</v>
      </c>
      <c r="Q115" s="190">
        <f t="shared" si="120"/>
        <v>3.1447574417736122E-2</v>
      </c>
      <c r="R115" s="190">
        <f t="shared" si="120"/>
        <v>4.1519066576557469E-2</v>
      </c>
      <c r="S115" s="190" t="e">
        <f t="shared" si="120"/>
        <v>#REF!</v>
      </c>
      <c r="T115" s="190" t="e">
        <f t="shared" si="120"/>
        <v>#REF!</v>
      </c>
      <c r="U115" s="190" t="e">
        <f t="shared" si="120"/>
        <v>#REF!</v>
      </c>
      <c r="V115" s="208"/>
      <c r="W115" s="190" t="e">
        <f>W114/W91</f>
        <v>#REF!</v>
      </c>
      <c r="X115" s="208"/>
      <c r="Y115" s="190">
        <f>Y114/Y91</f>
        <v>6.3358307138926179E-2</v>
      </c>
      <c r="Z115" s="211"/>
    </row>
    <row r="116" spans="2:26" ht="15" customHeight="1">
      <c r="B116" s="229"/>
      <c r="D116" s="226" t="s">
        <v>192</v>
      </c>
      <c r="E116" s="208"/>
      <c r="F116" s="193">
        <f t="shared" ref="F116:U116" si="121">F111+F114</f>
        <v>9674364</v>
      </c>
      <c r="G116" s="193">
        <f t="shared" si="121"/>
        <v>19258482.02</v>
      </c>
      <c r="H116" s="193">
        <f t="shared" si="121"/>
        <v>26012737.050000001</v>
      </c>
      <c r="I116" s="193" t="e">
        <f t="shared" si="121"/>
        <v>#REF!</v>
      </c>
      <c r="J116" s="193">
        <f t="shared" si="121"/>
        <v>22755639</v>
      </c>
      <c r="K116" s="193">
        <f>K111+K114</f>
        <v>44611884</v>
      </c>
      <c r="L116" s="237">
        <f t="shared" si="121"/>
        <v>56618769.640000001</v>
      </c>
      <c r="M116" s="193">
        <f t="shared" si="121"/>
        <v>34652001</v>
      </c>
      <c r="N116" s="193">
        <f t="shared" si="121"/>
        <v>46009464.569871113</v>
      </c>
      <c r="O116" s="193">
        <f t="shared" si="121"/>
        <v>47158241.107281893</v>
      </c>
      <c r="P116" s="193">
        <f>P111+P114</f>
        <v>46354054.372846991</v>
      </c>
      <c r="Q116" s="193">
        <f t="shared" si="121"/>
        <v>42891766</v>
      </c>
      <c r="R116" s="193">
        <f t="shared" si="121"/>
        <v>55166464.910000026</v>
      </c>
      <c r="S116" s="193" t="e">
        <f t="shared" si="121"/>
        <v>#REF!</v>
      </c>
      <c r="T116" s="193" t="e">
        <f t="shared" si="121"/>
        <v>#REF!</v>
      </c>
      <c r="U116" s="193" t="e">
        <f t="shared" si="121"/>
        <v>#REF!</v>
      </c>
      <c r="V116" s="208"/>
      <c r="W116" s="193" t="e">
        <f>W111+W114</f>
        <v>#REF!</v>
      </c>
      <c r="X116" s="208"/>
      <c r="Y116" s="193">
        <f>Y111+Y114</f>
        <v>46009464.569871113</v>
      </c>
    </row>
    <row r="117" spans="2:26" s="173" customFormat="1" ht="15" customHeight="1">
      <c r="D117" s="203"/>
      <c r="E117" s="170"/>
      <c r="L117" s="238"/>
      <c r="V117" s="170"/>
      <c r="X117" s="170"/>
    </row>
    <row r="118" spans="2:26" s="230" customFormat="1" ht="15" customHeight="1">
      <c r="B118" s="229"/>
      <c r="D118" s="231" t="s">
        <v>129</v>
      </c>
      <c r="E118" s="232"/>
      <c r="F118" s="184">
        <f>ACUMULADO!F119</f>
        <v>0</v>
      </c>
      <c r="G118" s="184">
        <f>ACUMULADO!G119-ACUMULADO!F119</f>
        <v>0</v>
      </c>
      <c r="H118" s="184">
        <f>ACUMULADO!H119-ACUMULADO!G119</f>
        <v>0</v>
      </c>
      <c r="I118" s="184">
        <f>ACUMULADO!I119-ACUMULADO!H119</f>
        <v>0</v>
      </c>
      <c r="J118" s="184">
        <f>ACUMULADO!J119</f>
        <v>5944888</v>
      </c>
      <c r="K118" s="184">
        <f>ACUMULADO!K119-ACUMULADO!J119</f>
        <v>11148132</v>
      </c>
      <c r="L118" s="235">
        <f>ACUMULADO!L119-ACUMULADO!K119</f>
        <v>10867773</v>
      </c>
      <c r="M118" s="184">
        <f>ACUMULADO!M119-ACUMULADO!L119</f>
        <v>10065754.420000002</v>
      </c>
      <c r="N118" s="184">
        <f>ACUMULADO!N119-ACUMULADO!M119</f>
        <v>8877421.4801288992</v>
      </c>
      <c r="O118" s="184">
        <f>ACUMULADO!O119-ACUMULADO!N119</f>
        <v>7291651.8327177987</v>
      </c>
      <c r="P118" s="184">
        <f>ACUMULADO!P119-ACUMULADO!O119</f>
        <v>7172931.2671533003</v>
      </c>
      <c r="Q118" s="184">
        <f>ACUMULADO!Q119-ACUMULADO!P119</f>
        <v>12887015</v>
      </c>
      <c r="R118" s="184">
        <f>ACUMULADO!R119-ACUMULADO!Q119</f>
        <v>9009347.0400000066</v>
      </c>
      <c r="S118" s="184" t="e">
        <f>ACUMULADO!S119-ACUMULADO!R119</f>
        <v>#REF!</v>
      </c>
      <c r="T118" s="184" t="e">
        <f>ACUMULADO!T119-ACUMULADO!S119</f>
        <v>#REF!</v>
      </c>
      <c r="U118" s="184" t="e">
        <f>ACUMULADO!U119-ACUMULADO!T119</f>
        <v>#REF!</v>
      </c>
      <c r="V118" s="232"/>
      <c r="W118" s="233">
        <f>I118</f>
        <v>0</v>
      </c>
      <c r="X118" s="232"/>
      <c r="Y118" s="233">
        <f>N118</f>
        <v>8877421.4801288992</v>
      </c>
      <c r="Z118" s="234"/>
    </row>
    <row r="119" spans="2:26" s="206" customFormat="1" ht="15" customHeight="1">
      <c r="B119" s="229"/>
      <c r="D119" s="207" t="s">
        <v>130</v>
      </c>
      <c r="E119" s="208"/>
      <c r="F119" s="209">
        <f t="shared" ref="F119:U119" si="122">F118/F$1</f>
        <v>0</v>
      </c>
      <c r="G119" s="209">
        <f t="shared" si="122"/>
        <v>0</v>
      </c>
      <c r="H119" s="209">
        <f t="shared" si="122"/>
        <v>0</v>
      </c>
      <c r="I119" s="209">
        <f t="shared" si="122"/>
        <v>0</v>
      </c>
      <c r="J119" s="209">
        <f t="shared" si="122"/>
        <v>5944888</v>
      </c>
      <c r="K119" s="209">
        <f t="shared" si="122"/>
        <v>5574066</v>
      </c>
      <c r="L119" s="239">
        <f t="shared" si="122"/>
        <v>3622591</v>
      </c>
      <c r="M119" s="209">
        <f t="shared" si="122"/>
        <v>2516438.6050000004</v>
      </c>
      <c r="N119" s="209">
        <f t="shared" si="122"/>
        <v>1775484.2960257798</v>
      </c>
      <c r="O119" s="209">
        <f t="shared" si="122"/>
        <v>1215275.3054529664</v>
      </c>
      <c r="P119" s="209">
        <f>P118/P$1</f>
        <v>1024704.4667361857</v>
      </c>
      <c r="Q119" s="209">
        <f>Q118/Q$1</f>
        <v>1610876.875</v>
      </c>
      <c r="R119" s="209">
        <f t="shared" si="122"/>
        <v>1001038.5600000008</v>
      </c>
      <c r="S119" s="209" t="e">
        <f t="shared" si="122"/>
        <v>#REF!</v>
      </c>
      <c r="T119" s="209" t="e">
        <f t="shared" si="122"/>
        <v>#REF!</v>
      </c>
      <c r="U119" s="209" t="e">
        <f t="shared" si="122"/>
        <v>#REF!</v>
      </c>
      <c r="V119" s="208"/>
      <c r="W119" s="209" t="e">
        <f t="shared" ref="W119" si="123">W118/W$1</f>
        <v>#REF!</v>
      </c>
      <c r="X119" s="208"/>
      <c r="Y119" s="209">
        <f t="shared" ref="Y119" si="124">Y118/Y$1</f>
        <v>1775484.2960257798</v>
      </c>
      <c r="Z119" s="211"/>
    </row>
    <row r="120" spans="2:26" s="206" customFormat="1" ht="15" customHeight="1">
      <c r="B120" s="229"/>
      <c r="D120" s="207" t="s">
        <v>131</v>
      </c>
      <c r="E120" s="208"/>
      <c r="F120" s="190">
        <f t="shared" ref="F120:U120" si="125">F118/F$91</f>
        <v>0</v>
      </c>
      <c r="G120" s="190">
        <f t="shared" si="125"/>
        <v>0</v>
      </c>
      <c r="H120" s="190">
        <f t="shared" si="125"/>
        <v>0</v>
      </c>
      <c r="I120" s="190" t="e">
        <f t="shared" si="125"/>
        <v>#REF!</v>
      </c>
      <c r="J120" s="190">
        <f t="shared" si="125"/>
        <v>4.631776817419779E-2</v>
      </c>
      <c r="K120" s="190">
        <f t="shared" si="125"/>
        <v>0.23995774314106305</v>
      </c>
      <c r="L120" s="236">
        <f t="shared" si="125"/>
        <v>3.4528328087325047E-2</v>
      </c>
      <c r="M120" s="190">
        <f t="shared" si="125"/>
        <v>5.7191990223737908E-2</v>
      </c>
      <c r="N120" s="190">
        <f t="shared" si="125"/>
        <v>4.5441992358208873E-2</v>
      </c>
      <c r="O120" s="190">
        <f t="shared" si="125"/>
        <v>2.863960953219398E-2</v>
      </c>
      <c r="P120" s="190">
        <f>P118/P$91</f>
        <v>2.752581046129084E-2</v>
      </c>
      <c r="Q120" s="190">
        <f>Q118/Q$91</f>
        <v>3.5189750288148344E-2</v>
      </c>
      <c r="R120" s="190">
        <f t="shared" si="125"/>
        <v>3.178010989279078E-2</v>
      </c>
      <c r="S120" s="190" t="e">
        <f t="shared" si="125"/>
        <v>#REF!</v>
      </c>
      <c r="T120" s="190" t="e">
        <f t="shared" si="125"/>
        <v>#REF!</v>
      </c>
      <c r="U120" s="190" t="e">
        <f t="shared" si="125"/>
        <v>#REF!</v>
      </c>
      <c r="V120" s="208"/>
      <c r="W120" s="190" t="e">
        <f t="shared" ref="W120" si="126">W118/W$91</f>
        <v>#REF!</v>
      </c>
      <c r="X120" s="208"/>
      <c r="Y120" s="190">
        <f t="shared" ref="Y120" si="127">Y118/Y$91</f>
        <v>4.5441992358208873E-2</v>
      </c>
      <c r="Z120" s="211"/>
    </row>
    <row r="121" spans="2:26" ht="15" customHeight="1">
      <c r="B121" s="229"/>
      <c r="D121" s="231" t="s">
        <v>132</v>
      </c>
      <c r="F121" s="184">
        <f>ACUMULADO!F122</f>
        <v>0</v>
      </c>
      <c r="G121" s="184">
        <f>ACUMULADO!G122-ACUMULADO!F122</f>
        <v>0</v>
      </c>
      <c r="H121" s="184">
        <f>ACUMULADO!H122-ACUMULADO!G122</f>
        <v>0</v>
      </c>
      <c r="I121" s="184">
        <f>ACUMULADO!I122-ACUMULADO!H122</f>
        <v>0</v>
      </c>
      <c r="J121" s="184">
        <f>ACUMULADO!J122</f>
        <v>11383094.810000001</v>
      </c>
      <c r="K121" s="184">
        <f>ACUMULADO!K122-ACUMULADO!J122</f>
        <v>10139277.369999999</v>
      </c>
      <c r="L121" s="235">
        <f>ACUMULADO!L122-ACUMULADO!K122</f>
        <v>17793708.280000001</v>
      </c>
      <c r="M121" s="184">
        <f>ACUMULADO!M122-ACUMULADO!L122</f>
        <v>19390558.539999999</v>
      </c>
      <c r="N121" s="184">
        <f>ACUMULADO!N122-ACUMULADO!M122</f>
        <v>24544558</v>
      </c>
      <c r="O121" s="184">
        <f>ACUMULADO!O122-ACUMULADO!N122</f>
        <v>11774777.609999999</v>
      </c>
      <c r="P121" s="184">
        <f>ACUMULADO!P122-ACUMULADO!O122</f>
        <v>6765387.3900000006</v>
      </c>
      <c r="Q121" s="184">
        <f>ACUMULADO!Q122-ACUMULADO!P122</f>
        <v>5267315</v>
      </c>
      <c r="R121" s="184">
        <f>ACUMULADO!R122-ACUMULADO!Q122</f>
        <v>11059989</v>
      </c>
      <c r="S121" s="184" t="e">
        <f>ACUMULADO!S122-ACUMULADO!R122</f>
        <v>#REF!</v>
      </c>
      <c r="T121" s="184" t="e">
        <f>ACUMULADO!T122-ACUMULADO!S122</f>
        <v>#REF!</v>
      </c>
      <c r="U121" s="184" t="e">
        <f>ACUMULADO!U122-ACUMULADO!T122</f>
        <v>#REF!</v>
      </c>
      <c r="W121" s="184">
        <f>I121</f>
        <v>0</v>
      </c>
      <c r="Y121" s="184">
        <f>N121</f>
        <v>24544558</v>
      </c>
    </row>
    <row r="122" spans="2:26" s="206" customFormat="1" ht="15" customHeight="1">
      <c r="B122" s="229"/>
      <c r="D122" s="207" t="s">
        <v>133</v>
      </c>
      <c r="E122" s="208"/>
      <c r="F122" s="190">
        <f t="shared" ref="F122:U122" si="128">F121/F91</f>
        <v>0</v>
      </c>
      <c r="G122" s="190">
        <f t="shared" si="128"/>
        <v>0</v>
      </c>
      <c r="H122" s="190">
        <f t="shared" si="128"/>
        <v>0</v>
      </c>
      <c r="I122" s="190" t="e">
        <f t="shared" si="128"/>
        <v>#REF!</v>
      </c>
      <c r="J122" s="190">
        <f t="shared" si="128"/>
        <v>8.8687885543763667E-2</v>
      </c>
      <c r="K122" s="190">
        <f t="shared" si="128"/>
        <v>0.2182426719370073</v>
      </c>
      <c r="L122" s="190">
        <f t="shared" si="128"/>
        <v>5.6532925133971082E-2</v>
      </c>
      <c r="M122" s="190">
        <f t="shared" si="128"/>
        <v>0.11017402056313007</v>
      </c>
      <c r="N122" s="190">
        <f t="shared" si="128"/>
        <v>0.12563936719330124</v>
      </c>
      <c r="O122" s="190">
        <f t="shared" si="128"/>
        <v>4.6248098622274345E-2</v>
      </c>
      <c r="P122" s="190">
        <f>P121/P91</f>
        <v>2.5961878632116436E-2</v>
      </c>
      <c r="Q122" s="190">
        <f>Q121/Q91</f>
        <v>1.4383121268891057E-2</v>
      </c>
      <c r="R122" s="190">
        <f t="shared" si="128"/>
        <v>3.9013667058501608E-2</v>
      </c>
      <c r="S122" s="190" t="e">
        <f t="shared" si="128"/>
        <v>#REF!</v>
      </c>
      <c r="T122" s="190" t="e">
        <f t="shared" si="128"/>
        <v>#REF!</v>
      </c>
      <c r="U122" s="190" t="e">
        <f t="shared" si="128"/>
        <v>#REF!</v>
      </c>
      <c r="V122" s="208"/>
      <c r="W122" s="190" t="e">
        <f>W121/W91</f>
        <v>#REF!</v>
      </c>
      <c r="X122" s="208"/>
      <c r="Y122" s="190">
        <f>Y121/Y91</f>
        <v>0.12563936719330124</v>
      </c>
      <c r="Z122" s="211"/>
    </row>
    <row r="123" spans="2:26" ht="15" customHeight="1">
      <c r="B123" s="229"/>
      <c r="D123" s="226" t="s">
        <v>134</v>
      </c>
      <c r="E123" s="208"/>
      <c r="F123" s="193">
        <f t="shared" ref="F123:U123" si="129">F118+F121</f>
        <v>0</v>
      </c>
      <c r="G123" s="193">
        <f t="shared" si="129"/>
        <v>0</v>
      </c>
      <c r="H123" s="193">
        <f t="shared" si="129"/>
        <v>0</v>
      </c>
      <c r="I123" s="193">
        <f t="shared" si="129"/>
        <v>0</v>
      </c>
      <c r="J123" s="193">
        <f t="shared" si="129"/>
        <v>17327982.810000002</v>
      </c>
      <c r="K123" s="193">
        <f t="shared" si="129"/>
        <v>21287409.369999997</v>
      </c>
      <c r="L123" s="193">
        <f t="shared" si="129"/>
        <v>28661481.280000001</v>
      </c>
      <c r="M123" s="193">
        <f t="shared" si="129"/>
        <v>29456312.960000001</v>
      </c>
      <c r="N123" s="193">
        <f t="shared" si="129"/>
        <v>33421979.480128899</v>
      </c>
      <c r="O123" s="193">
        <f t="shared" si="129"/>
        <v>19066429.442717798</v>
      </c>
      <c r="P123" s="193">
        <f>P118+P121</f>
        <v>13938318.657153301</v>
      </c>
      <c r="Q123" s="193">
        <f t="shared" si="129"/>
        <v>18154330</v>
      </c>
      <c r="R123" s="193">
        <f t="shared" si="129"/>
        <v>20069336.040000007</v>
      </c>
      <c r="S123" s="193" t="e">
        <f t="shared" si="129"/>
        <v>#REF!</v>
      </c>
      <c r="T123" s="193" t="e">
        <f t="shared" si="129"/>
        <v>#REF!</v>
      </c>
      <c r="U123" s="193" t="e">
        <f t="shared" si="129"/>
        <v>#REF!</v>
      </c>
      <c r="V123" s="208"/>
      <c r="W123" s="193">
        <f t="shared" ref="W123:Y123" si="130">W118+W121</f>
        <v>0</v>
      </c>
      <c r="X123" s="208"/>
      <c r="Y123" s="193">
        <f t="shared" si="130"/>
        <v>33421979.480128899</v>
      </c>
    </row>
    <row r="124" spans="2:26" s="206" customFormat="1" ht="15" customHeight="1">
      <c r="B124" s="229"/>
      <c r="D124" s="207" t="s">
        <v>135</v>
      </c>
      <c r="E124" s="208"/>
      <c r="F124" s="190">
        <f t="shared" ref="F124:U124" si="131">F123/F$108</f>
        <v>0</v>
      </c>
      <c r="G124" s="190">
        <f t="shared" si="131"/>
        <v>0</v>
      </c>
      <c r="H124" s="190">
        <f t="shared" si="131"/>
        <v>0</v>
      </c>
      <c r="I124" s="190" t="e">
        <f t="shared" si="131"/>
        <v>#REF!</v>
      </c>
      <c r="J124" s="190">
        <f t="shared" si="131"/>
        <v>0.30458387672392412</v>
      </c>
      <c r="K124" s="190">
        <f t="shared" si="131"/>
        <v>1.2399834862330008</v>
      </c>
      <c r="L124" s="190">
        <f t="shared" si="131"/>
        <v>0.25582155053161659</v>
      </c>
      <c r="M124" s="190">
        <f t="shared" si="131"/>
        <v>0.27307901702393345</v>
      </c>
      <c r="N124" s="190">
        <f t="shared" si="131"/>
        <v>0.51310538093209379</v>
      </c>
      <c r="O124" s="190">
        <f t="shared" si="131"/>
        <v>0.24658700281086629</v>
      </c>
      <c r="P124" s="190">
        <f>P123/P$108</f>
        <v>0.16254433739352359</v>
      </c>
      <c r="Q124" s="190">
        <f t="shared" si="131"/>
        <v>0.16693390876832648</v>
      </c>
      <c r="R124" s="190">
        <f t="shared" si="131"/>
        <v>0.15504773506623132</v>
      </c>
      <c r="S124" s="190" t="e">
        <f t="shared" si="131"/>
        <v>#REF!</v>
      </c>
      <c r="T124" s="190" t="e">
        <f t="shared" si="131"/>
        <v>#REF!</v>
      </c>
      <c r="U124" s="190" t="e">
        <f t="shared" si="131"/>
        <v>#REF!</v>
      </c>
      <c r="V124" s="208"/>
      <c r="W124" s="190" t="e">
        <f t="shared" ref="W124" si="132">W123/W$108</f>
        <v>#REF!</v>
      </c>
      <c r="X124" s="208"/>
      <c r="Y124" s="190">
        <f t="shared" ref="Y124" si="133">Y123/Y$108</f>
        <v>0.51310538093209379</v>
      </c>
      <c r="Z124" s="211"/>
    </row>
    <row r="125" spans="2:26" s="206" customFormat="1" ht="15" customHeight="1">
      <c r="B125" s="229"/>
      <c r="D125" s="207" t="s">
        <v>136</v>
      </c>
      <c r="E125" s="208"/>
      <c r="F125" s="190">
        <f t="shared" ref="F125:U125" si="134">(F118+F121)/F$91</f>
        <v>0</v>
      </c>
      <c r="G125" s="190">
        <f t="shared" si="134"/>
        <v>0</v>
      </c>
      <c r="H125" s="190">
        <f t="shared" si="134"/>
        <v>0</v>
      </c>
      <c r="I125" s="190" t="e">
        <f t="shared" si="134"/>
        <v>#REF!</v>
      </c>
      <c r="J125" s="190">
        <f t="shared" si="134"/>
        <v>0.13500565371796147</v>
      </c>
      <c r="K125" s="190">
        <f t="shared" si="134"/>
        <v>0.4582004150780703</v>
      </c>
      <c r="L125" s="190">
        <f t="shared" si="134"/>
        <v>9.1061253221296129E-2</v>
      </c>
      <c r="M125" s="190">
        <f t="shared" si="134"/>
        <v>0.16736601078686797</v>
      </c>
      <c r="N125" s="190">
        <f t="shared" si="134"/>
        <v>0.1710813595515101</v>
      </c>
      <c r="O125" s="190">
        <f t="shared" si="134"/>
        <v>7.4887708154468324E-2</v>
      </c>
      <c r="P125" s="190">
        <f>(P118+P121)/P$91</f>
        <v>5.348768909340728E-2</v>
      </c>
      <c r="Q125" s="190">
        <f t="shared" si="134"/>
        <v>4.9572871557039398E-2</v>
      </c>
      <c r="R125" s="190">
        <f t="shared" si="134"/>
        <v>7.0793776951292395E-2</v>
      </c>
      <c r="S125" s="190" t="e">
        <f t="shared" si="134"/>
        <v>#REF!</v>
      </c>
      <c r="T125" s="190" t="e">
        <f t="shared" si="134"/>
        <v>#REF!</v>
      </c>
      <c r="U125" s="190" t="e">
        <f t="shared" si="134"/>
        <v>#REF!</v>
      </c>
      <c r="V125" s="208"/>
      <c r="W125" s="190" t="e">
        <f t="shared" ref="W125" si="135">(W118+W121)/W$91</f>
        <v>#REF!</v>
      </c>
      <c r="X125" s="208"/>
      <c r="Y125" s="190">
        <f t="shared" ref="Y125" si="136">(Y118+Y121)/Y$91</f>
        <v>0.1710813595515101</v>
      </c>
      <c r="Z125" s="211"/>
    </row>
    <row r="126" spans="2:26" s="206" customFormat="1" ht="15" customHeight="1">
      <c r="B126" s="229"/>
      <c r="D126" s="207" t="s">
        <v>137</v>
      </c>
      <c r="E126" s="208"/>
      <c r="F126" s="209">
        <f t="shared" ref="F126:U126" si="137">(F118+F121)/F$1</f>
        <v>0</v>
      </c>
      <c r="G126" s="209">
        <f t="shared" si="137"/>
        <v>0</v>
      </c>
      <c r="H126" s="209">
        <f t="shared" si="137"/>
        <v>0</v>
      </c>
      <c r="I126" s="209">
        <f t="shared" si="137"/>
        <v>0</v>
      </c>
      <c r="J126" s="209">
        <f t="shared" si="137"/>
        <v>17327982.810000002</v>
      </c>
      <c r="K126" s="209">
        <f t="shared" si="137"/>
        <v>10643704.684999999</v>
      </c>
      <c r="L126" s="209">
        <f t="shared" si="137"/>
        <v>9553827.0933333337</v>
      </c>
      <c r="M126" s="209">
        <f t="shared" si="137"/>
        <v>7364078.2400000002</v>
      </c>
      <c r="N126" s="209">
        <f t="shared" si="137"/>
        <v>6684395.8960257797</v>
      </c>
      <c r="O126" s="209">
        <f t="shared" si="137"/>
        <v>3177738.2404529662</v>
      </c>
      <c r="P126" s="209">
        <f>(P118+P121)/P$1</f>
        <v>1991188.3795933288</v>
      </c>
      <c r="Q126" s="209">
        <f t="shared" si="137"/>
        <v>2269291.25</v>
      </c>
      <c r="R126" s="209">
        <f t="shared" si="137"/>
        <v>2229926.2266666675</v>
      </c>
      <c r="S126" s="209" t="e">
        <f t="shared" si="137"/>
        <v>#REF!</v>
      </c>
      <c r="T126" s="209" t="e">
        <f t="shared" si="137"/>
        <v>#REF!</v>
      </c>
      <c r="U126" s="209" t="e">
        <f t="shared" si="137"/>
        <v>#REF!</v>
      </c>
      <c r="V126" s="208"/>
      <c r="W126" s="209" t="e">
        <f>(W118+W121)/W$1</f>
        <v>#REF!</v>
      </c>
      <c r="X126" s="208"/>
      <c r="Y126" s="209">
        <f>(Y118+Y121)/Y$1</f>
        <v>6684395.8960257797</v>
      </c>
      <c r="Z126" s="211"/>
    </row>
    <row r="127" spans="2:26" s="173" customFormat="1" ht="15" customHeight="1">
      <c r="D127" s="203"/>
      <c r="E127" s="170"/>
      <c r="P127" s="215"/>
      <c r="V127" s="170"/>
      <c r="X127" s="170"/>
    </row>
    <row r="128" spans="2:26" ht="15" customHeight="1">
      <c r="B128" s="229"/>
      <c r="D128" s="226" t="s">
        <v>138</v>
      </c>
      <c r="F128" s="193">
        <f>F116+F123</f>
        <v>9674364</v>
      </c>
      <c r="G128" s="193">
        <f t="shared" ref="G128:U128" si="138">G116+G123</f>
        <v>19258482.02</v>
      </c>
      <c r="H128" s="193">
        <f t="shared" si="138"/>
        <v>26012737.050000001</v>
      </c>
      <c r="I128" s="193" t="e">
        <f t="shared" si="138"/>
        <v>#REF!</v>
      </c>
      <c r="J128" s="193">
        <f t="shared" si="138"/>
        <v>40083621.810000002</v>
      </c>
      <c r="K128" s="193">
        <f>K116+K123</f>
        <v>65899293.369999997</v>
      </c>
      <c r="L128" s="193">
        <f t="shared" si="138"/>
        <v>85280250.920000002</v>
      </c>
      <c r="M128" s="193">
        <f t="shared" si="138"/>
        <v>64108313.960000001</v>
      </c>
      <c r="N128" s="193">
        <f t="shared" si="138"/>
        <v>79431444.050000012</v>
      </c>
      <c r="O128" s="193">
        <f>O116+O123</f>
        <v>66224670.549999692</v>
      </c>
      <c r="P128" s="193">
        <f>P116+P123</f>
        <v>60292373.030000292</v>
      </c>
      <c r="Q128" s="193">
        <f>Q116+Q123</f>
        <v>61046096</v>
      </c>
      <c r="R128" s="193">
        <f t="shared" si="138"/>
        <v>75235800.950000033</v>
      </c>
      <c r="S128" s="193" t="e">
        <f t="shared" si="138"/>
        <v>#REF!</v>
      </c>
      <c r="T128" s="193" t="e">
        <f t="shared" si="138"/>
        <v>#REF!</v>
      </c>
      <c r="U128" s="193" t="e">
        <f t="shared" si="138"/>
        <v>#REF!</v>
      </c>
      <c r="W128" s="193" t="e">
        <f t="shared" ref="W128" si="139">W116+W123</f>
        <v>#REF!</v>
      </c>
      <c r="Y128" s="193">
        <f t="shared" ref="Y128" si="140">Y116+Y123</f>
        <v>79431444.050000012</v>
      </c>
    </row>
    <row r="129" spans="2:26" s="206" customFormat="1" ht="15" customHeight="1">
      <c r="B129" s="229"/>
      <c r="D129" s="207" t="s">
        <v>139</v>
      </c>
      <c r="E129" s="208"/>
      <c r="F129" s="190">
        <f t="shared" ref="F129:U129" si="141">F128/F$91</f>
        <v>6.6325880969041698E-2</v>
      </c>
      <c r="G129" s="190">
        <f t="shared" si="141"/>
        <v>8.2142954705206023E-2</v>
      </c>
      <c r="H129" s="190">
        <f t="shared" si="141"/>
        <v>0.10000394833711126</v>
      </c>
      <c r="I129" s="190" t="e">
        <f t="shared" si="141"/>
        <v>#REF!</v>
      </c>
      <c r="J129" s="190">
        <f t="shared" si="141"/>
        <v>0.31229922289163375</v>
      </c>
      <c r="K129" s="190">
        <f t="shared" si="141"/>
        <v>1.4184480154752399</v>
      </c>
      <c r="L129" s="190">
        <f t="shared" si="141"/>
        <v>0.27094644718243227</v>
      </c>
      <c r="M129" s="190">
        <f t="shared" si="141"/>
        <v>0.36425308151523927</v>
      </c>
      <c r="N129" s="190">
        <f t="shared" si="141"/>
        <v>0.40659588841209177</v>
      </c>
      <c r="O129" s="190">
        <f t="shared" si="141"/>
        <v>0.26011235169510882</v>
      </c>
      <c r="P129" s="190">
        <f t="shared" si="141"/>
        <v>0.23136934824469199</v>
      </c>
      <c r="Q129" s="190">
        <f t="shared" si="141"/>
        <v>0.16669468253946559</v>
      </c>
      <c r="R129" s="190">
        <f t="shared" si="141"/>
        <v>0.26539126658652196</v>
      </c>
      <c r="S129" s="190" t="e">
        <f t="shared" si="141"/>
        <v>#REF!</v>
      </c>
      <c r="T129" s="190" t="e">
        <f t="shared" si="141"/>
        <v>#REF!</v>
      </c>
      <c r="U129" s="190" t="e">
        <f t="shared" si="141"/>
        <v>#REF!</v>
      </c>
      <c r="V129" s="208"/>
      <c r="W129" s="190" t="e">
        <f t="shared" ref="W129" si="142">W128/W$91</f>
        <v>#REF!</v>
      </c>
      <c r="X129" s="208"/>
      <c r="Y129" s="190">
        <f t="shared" ref="Y129" si="143">Y128/Y$91</f>
        <v>0.40659588841209177</v>
      </c>
      <c r="Z129" s="211"/>
    </row>
    <row r="130" spans="2:26" s="206" customFormat="1" ht="15" customHeight="1">
      <c r="B130" s="229"/>
      <c r="D130" s="207" t="s">
        <v>140</v>
      </c>
      <c r="E130" s="208"/>
      <c r="F130" s="209">
        <f t="shared" ref="F130:U130" si="144">F128/F$1</f>
        <v>9674364</v>
      </c>
      <c r="G130" s="209">
        <f t="shared" si="144"/>
        <v>9629241.0099999998</v>
      </c>
      <c r="H130" s="209">
        <f t="shared" si="144"/>
        <v>8670912.3499999996</v>
      </c>
      <c r="I130" s="209" t="e">
        <f t="shared" si="144"/>
        <v>#REF!</v>
      </c>
      <c r="J130" s="209">
        <f t="shared" si="144"/>
        <v>40083621.810000002</v>
      </c>
      <c r="K130" s="209">
        <f t="shared" si="144"/>
        <v>32949646.684999999</v>
      </c>
      <c r="L130" s="209">
        <f t="shared" si="144"/>
        <v>28426750.306666669</v>
      </c>
      <c r="M130" s="209">
        <f t="shared" si="144"/>
        <v>16027078.49</v>
      </c>
      <c r="N130" s="209">
        <f t="shared" si="144"/>
        <v>15886288.810000002</v>
      </c>
      <c r="O130" s="209">
        <f t="shared" si="144"/>
        <v>11037445.091666615</v>
      </c>
      <c r="P130" s="209">
        <f t="shared" si="144"/>
        <v>8613196.1471428983</v>
      </c>
      <c r="Q130" s="209">
        <f t="shared" si="144"/>
        <v>7630762</v>
      </c>
      <c r="R130" s="209">
        <f t="shared" si="144"/>
        <v>8359533.4388888925</v>
      </c>
      <c r="S130" s="209" t="e">
        <f t="shared" si="144"/>
        <v>#REF!</v>
      </c>
      <c r="T130" s="209" t="e">
        <f t="shared" si="144"/>
        <v>#REF!</v>
      </c>
      <c r="U130" s="209" t="e">
        <f t="shared" si="144"/>
        <v>#REF!</v>
      </c>
      <c r="V130" s="208"/>
      <c r="W130" s="209" t="e">
        <f>W128/W$1</f>
        <v>#REF!</v>
      </c>
      <c r="X130" s="208"/>
      <c r="Y130" s="209">
        <f>Y128/Y$1</f>
        <v>15886288.810000002</v>
      </c>
      <c r="Z130" s="211"/>
    </row>
    <row r="131" spans="2:26" s="173" customFormat="1" ht="15" customHeight="1">
      <c r="D131" s="203"/>
      <c r="E131" s="170"/>
      <c r="V131" s="170"/>
      <c r="X131" s="170"/>
    </row>
    <row r="132" spans="2:26" s="230" customFormat="1" ht="15" customHeight="1">
      <c r="B132" s="229" t="s">
        <v>141</v>
      </c>
      <c r="D132" s="231" t="s">
        <v>142</v>
      </c>
      <c r="E132" s="232"/>
      <c r="F132" s="184">
        <f>ACUMULADO!F133</f>
        <v>26328728.440000001</v>
      </c>
      <c r="G132" s="184">
        <f>ACUMULADO!G133-ACUMULADO!F133</f>
        <v>25889409.440000001</v>
      </c>
      <c r="H132" s="184">
        <f>ACUMULADO!H133-ACUMULADO!G133</f>
        <v>26034946.43999999</v>
      </c>
      <c r="I132" s="184" t="e">
        <f>ACUMULADO!I133-ACUMULADO!H133</f>
        <v>#REF!</v>
      </c>
      <c r="J132" s="184">
        <f>ACUMULADO!J133</f>
        <v>13069509</v>
      </c>
      <c r="K132" s="184">
        <f>ACUMULADO!K133-ACUMULADO!J133</f>
        <v>11023013</v>
      </c>
      <c r="L132" s="184">
        <f>ACUMULADO!L133-ACUMULADO!K133</f>
        <v>14009297</v>
      </c>
      <c r="M132" s="184">
        <f>ACUMULADO!M133-ACUMULADO!L133</f>
        <v>12197813</v>
      </c>
      <c r="N132" s="184">
        <f>ACUMULADO!N133-ACUMULADO!M133</f>
        <v>13457175</v>
      </c>
      <c r="O132" s="184">
        <f>ACUMULADO!O133-ACUMULADO!N133</f>
        <v>13205917.780000001</v>
      </c>
      <c r="P132" s="184">
        <f>ACUMULADO!P133-ACUMULADO!O133</f>
        <v>13052366</v>
      </c>
      <c r="Q132" s="184">
        <f>ACUMULADO!Q133-ACUMULADO!P133</f>
        <v>14588484</v>
      </c>
      <c r="R132" s="184">
        <f>ACUMULADO!R133-ACUMULADO!Q133</f>
        <v>16612587.219999999</v>
      </c>
      <c r="S132" s="184" t="e">
        <f>ACUMULADO!S133-ACUMULADO!R133</f>
        <v>#REF!</v>
      </c>
      <c r="T132" s="184" t="e">
        <f>ACUMULADO!T133-ACUMULADO!S133</f>
        <v>#REF!</v>
      </c>
      <c r="U132" s="184" t="e">
        <f>ACUMULADO!U133-ACUMULADO!T133</f>
        <v>#REF!</v>
      </c>
      <c r="V132" s="232"/>
      <c r="W132" s="233" t="e">
        <f>I132</f>
        <v>#REF!</v>
      </c>
      <c r="X132" s="232"/>
      <c r="Y132" s="233">
        <f>N132</f>
        <v>13457175</v>
      </c>
      <c r="Z132" s="234"/>
    </row>
    <row r="133" spans="2:26" s="206" customFormat="1" ht="15" customHeight="1">
      <c r="B133" s="229"/>
      <c r="D133" s="207" t="s">
        <v>143</v>
      </c>
      <c r="E133" s="208"/>
      <c r="F133" s="190">
        <f t="shared" ref="F133:U133" si="145">F132/F$91</f>
        <v>0.18050552042259968</v>
      </c>
      <c r="G133" s="190">
        <f t="shared" si="145"/>
        <v>0.1104257638149226</v>
      </c>
      <c r="H133" s="190">
        <f t="shared" si="145"/>
        <v>0.10008933061295132</v>
      </c>
      <c r="I133" s="190" t="e">
        <f t="shared" si="145"/>
        <v>#REF!</v>
      </c>
      <c r="J133" s="190">
        <f t="shared" si="145"/>
        <v>0.10182706352291104</v>
      </c>
      <c r="K133" s="190">
        <f t="shared" si="145"/>
        <v>0.23726462174062873</v>
      </c>
      <c r="L133" s="190">
        <f t="shared" si="145"/>
        <v>4.4509358365212311E-2</v>
      </c>
      <c r="M133" s="190">
        <f t="shared" si="145"/>
        <v>6.9306002584452395E-2</v>
      </c>
      <c r="N133" s="190">
        <f t="shared" si="145"/>
        <v>6.888496224741604E-2</v>
      </c>
      <c r="O133" s="190">
        <f t="shared" si="145"/>
        <v>5.1869224890361762E-2</v>
      </c>
      <c r="P133" s="190">
        <f>P132/P$91</f>
        <v>5.0087884465395423E-2</v>
      </c>
      <c r="Q133" s="190">
        <f>Q132/Q$91</f>
        <v>3.9835843214479652E-2</v>
      </c>
      <c r="R133" s="190" t="s">
        <v>264</v>
      </c>
      <c r="S133" s="190" t="e">
        <f t="shared" si="145"/>
        <v>#REF!</v>
      </c>
      <c r="T133" s="190" t="e">
        <f t="shared" si="145"/>
        <v>#REF!</v>
      </c>
      <c r="U133" s="190" t="e">
        <f t="shared" si="145"/>
        <v>#REF!</v>
      </c>
      <c r="V133" s="208"/>
      <c r="W133" s="190" t="e">
        <f t="shared" ref="W133" si="146">W132/W$91</f>
        <v>#REF!</v>
      </c>
      <c r="X133" s="208"/>
      <c r="Y133" s="190">
        <f t="shared" ref="Y133" si="147">Y132/Y$91</f>
        <v>6.888496224741604E-2</v>
      </c>
      <c r="Z133" s="211"/>
    </row>
    <row r="134" spans="2:26" s="206" customFormat="1" ht="15" customHeight="1">
      <c r="B134" s="229"/>
      <c r="D134" s="207" t="s">
        <v>144</v>
      </c>
      <c r="E134" s="208"/>
      <c r="F134" s="209">
        <f t="shared" ref="F134:U134" si="148">F132/F$1</f>
        <v>26328728.440000001</v>
      </c>
      <c r="G134" s="209">
        <f t="shared" si="148"/>
        <v>12944704.720000001</v>
      </c>
      <c r="H134" s="209">
        <f t="shared" si="148"/>
        <v>8678315.4799999967</v>
      </c>
      <c r="I134" s="209" t="e">
        <f t="shared" si="148"/>
        <v>#REF!</v>
      </c>
      <c r="J134" s="209">
        <f t="shared" si="148"/>
        <v>13069509</v>
      </c>
      <c r="K134" s="209">
        <f t="shared" si="148"/>
        <v>5511506.5</v>
      </c>
      <c r="L134" s="209">
        <f t="shared" si="148"/>
        <v>4669765.666666667</v>
      </c>
      <c r="M134" s="209">
        <f t="shared" si="148"/>
        <v>3049453.25</v>
      </c>
      <c r="N134" s="209">
        <f t="shared" si="148"/>
        <v>2691435</v>
      </c>
      <c r="O134" s="209">
        <f t="shared" si="148"/>
        <v>2200986.2966666669</v>
      </c>
      <c r="P134" s="210">
        <f>P132/P$1</f>
        <v>1864623.7142857143</v>
      </c>
      <c r="Q134" s="210">
        <f>Q132/Q$1</f>
        <v>1823560.5</v>
      </c>
      <c r="R134" s="209">
        <f t="shared" si="148"/>
        <v>1845843.0244444443</v>
      </c>
      <c r="S134" s="209" t="e">
        <f t="shared" si="148"/>
        <v>#REF!</v>
      </c>
      <c r="T134" s="209" t="e">
        <f t="shared" si="148"/>
        <v>#REF!</v>
      </c>
      <c r="U134" s="209" t="e">
        <f t="shared" si="148"/>
        <v>#REF!</v>
      </c>
      <c r="V134" s="208"/>
      <c r="W134" s="209" t="e">
        <f t="shared" ref="W134" si="149">W132/W$1</f>
        <v>#REF!</v>
      </c>
      <c r="X134" s="208"/>
      <c r="Y134" s="209">
        <f t="shared" ref="Y134" si="150">Y132/Y$1</f>
        <v>2691435</v>
      </c>
      <c r="Z134" s="211"/>
    </row>
    <row r="135" spans="2:26" ht="15" customHeight="1">
      <c r="B135" s="229"/>
      <c r="D135" s="231" t="s">
        <v>145</v>
      </c>
      <c r="E135" s="240"/>
      <c r="F135" s="235">
        <f>ACUMULADO!F136</f>
        <v>0</v>
      </c>
      <c r="G135" s="235">
        <f>ACUMULADO!G136-ACUMULADO!F136</f>
        <v>0</v>
      </c>
      <c r="H135" s="235">
        <f>ACUMULADO!H136-ACUMULADO!G136</f>
        <v>0</v>
      </c>
      <c r="I135" s="235">
        <f>ACUMULADO!I136-ACUMULADO!H136</f>
        <v>0</v>
      </c>
      <c r="J135" s="235">
        <f>ACUMULADO!J136</f>
        <v>0</v>
      </c>
      <c r="K135" s="235">
        <f>ACUMULADO!K136-ACUMULADO!J136</f>
        <v>4880500</v>
      </c>
      <c r="L135" s="235">
        <f>ACUMULADO!L136-ACUMULADO!K136</f>
        <v>44731</v>
      </c>
      <c r="M135" s="235">
        <f>ACUMULADO!M136-ACUMULADO!L136</f>
        <v>0</v>
      </c>
      <c r="N135" s="235">
        <f>ACUMULADO!N136-ACUMULADO!M136</f>
        <v>0</v>
      </c>
      <c r="O135" s="235">
        <f>ACUMULADO!O136-ACUMULADO!N136</f>
        <v>256500</v>
      </c>
      <c r="P135" s="235">
        <f>ACUMULADO!P136-ACUMULADO!O136</f>
        <v>0</v>
      </c>
      <c r="Q135" s="184">
        <f>ACUMULADO!Q136-ACUMULADO!P136</f>
        <v>0</v>
      </c>
      <c r="R135" s="184">
        <f>ACUMULADO!R136-ACUMULADO!Q136</f>
        <v>0</v>
      </c>
      <c r="S135" s="184" t="e">
        <f>ACUMULADO!S136-ACUMULADO!R136</f>
        <v>#REF!</v>
      </c>
      <c r="T135" s="184" t="e">
        <f>ACUMULADO!T136-ACUMULADO!S136</f>
        <v>#REF!</v>
      </c>
      <c r="U135" s="184" t="e">
        <f>ACUMULADO!U136-ACUMULADO!T136</f>
        <v>#REF!</v>
      </c>
      <c r="W135" s="184">
        <f>I135</f>
        <v>0</v>
      </c>
      <c r="Y135" s="184">
        <f>N135</f>
        <v>0</v>
      </c>
    </row>
    <row r="136" spans="2:26" ht="15" customHeight="1">
      <c r="B136" s="229"/>
      <c r="C136" s="241"/>
      <c r="D136" s="231" t="s">
        <v>146</v>
      </c>
      <c r="E136" s="240"/>
      <c r="F136" s="235">
        <f>ACUMULADO!F137</f>
        <v>0</v>
      </c>
      <c r="G136" s="235">
        <f>ACUMULADO!G137-ACUMULADO!F137</f>
        <v>0</v>
      </c>
      <c r="H136" s="235">
        <f>ACUMULADO!H137-ACUMULADO!G137</f>
        <v>0</v>
      </c>
      <c r="I136" s="235">
        <f>ACUMULADO!I137-ACUMULADO!H137</f>
        <v>0</v>
      </c>
      <c r="J136" s="235">
        <f>ACUMULADO!J137</f>
        <v>557544</v>
      </c>
      <c r="K136" s="235">
        <f>ACUMULADO!K137-ACUMULADO!J137</f>
        <v>557546</v>
      </c>
      <c r="L136" s="235">
        <f>ACUMULADO!L137-ACUMULADO!K137</f>
        <v>628304</v>
      </c>
      <c r="M136" s="235">
        <f>ACUMULADO!M137-ACUMULADO!L137</f>
        <v>-75739</v>
      </c>
      <c r="N136" s="235">
        <f>ACUMULADO!N137-ACUMULADO!M137</f>
        <v>512799.18999999994</v>
      </c>
      <c r="O136" s="235">
        <f>ACUMULADO!O137-ACUMULADO!N137</f>
        <v>512799.18999999994</v>
      </c>
      <c r="P136" s="235">
        <f>ACUMULADO!P137-ACUMULADO!O137</f>
        <v>884019.19</v>
      </c>
      <c r="Q136" s="184">
        <f>ACUMULADO!Q137-ACUMULADO!P137</f>
        <v>754658.19</v>
      </c>
      <c r="R136" s="184">
        <f>ACUMULADO!R137-ACUMULADO!Q137</f>
        <v>1180049.2400000002</v>
      </c>
      <c r="S136" s="184" t="e">
        <f>ACUMULADO!S137-ACUMULADO!R137</f>
        <v>#REF!</v>
      </c>
      <c r="T136" s="184" t="e">
        <f>ACUMULADO!T137-ACUMULADO!S137</f>
        <v>#REF!</v>
      </c>
      <c r="U136" s="184" t="e">
        <f>ACUMULADO!U137-ACUMULADO!T137</f>
        <v>#REF!</v>
      </c>
      <c r="W136" s="184">
        <f>I136</f>
        <v>0</v>
      </c>
      <c r="Y136" s="184">
        <f>N136</f>
        <v>512799.18999999994</v>
      </c>
    </row>
    <row r="137" spans="2:26" ht="15" customHeight="1">
      <c r="B137" s="229"/>
      <c r="D137" s="226" t="s">
        <v>147</v>
      </c>
      <c r="F137" s="193">
        <f t="shared" ref="F137:U137" si="151">F132+F135+F136</f>
        <v>26328728.440000001</v>
      </c>
      <c r="G137" s="193">
        <f t="shared" si="151"/>
        <v>25889409.440000001</v>
      </c>
      <c r="H137" s="193">
        <f t="shared" si="151"/>
        <v>26034946.43999999</v>
      </c>
      <c r="I137" s="193" t="e">
        <f t="shared" si="151"/>
        <v>#REF!</v>
      </c>
      <c r="J137" s="193">
        <f t="shared" si="151"/>
        <v>13627053</v>
      </c>
      <c r="K137" s="193">
        <f t="shared" si="151"/>
        <v>16461059</v>
      </c>
      <c r="L137" s="193">
        <f t="shared" si="151"/>
        <v>14682332</v>
      </c>
      <c r="M137" s="193">
        <f t="shared" si="151"/>
        <v>12122074</v>
      </c>
      <c r="N137" s="193">
        <f t="shared" si="151"/>
        <v>13969974.189999999</v>
      </c>
      <c r="O137" s="193">
        <f t="shared" si="151"/>
        <v>13975216.970000001</v>
      </c>
      <c r="P137" s="193">
        <f>P132+P135+P136</f>
        <v>13936385.189999999</v>
      </c>
      <c r="Q137" s="193">
        <f>Q132+Q135+Q136</f>
        <v>15343142.189999999</v>
      </c>
      <c r="R137" s="193">
        <f t="shared" si="151"/>
        <v>17792636.460000001</v>
      </c>
      <c r="S137" s="193" t="e">
        <f t="shared" si="151"/>
        <v>#REF!</v>
      </c>
      <c r="T137" s="193" t="e">
        <f t="shared" si="151"/>
        <v>#REF!</v>
      </c>
      <c r="U137" s="193" t="e">
        <f t="shared" si="151"/>
        <v>#REF!</v>
      </c>
      <c r="W137" s="193" t="e">
        <f t="shared" ref="W137" si="152">W132+W135+W136</f>
        <v>#REF!</v>
      </c>
      <c r="Y137" s="193">
        <f t="shared" ref="Y137" si="153">Y132+Y135+Y136</f>
        <v>13969974.189999999</v>
      </c>
    </row>
    <row r="138" spans="2:26" s="206" customFormat="1" ht="25.5">
      <c r="B138" s="229"/>
      <c r="D138" s="207" t="s">
        <v>148</v>
      </c>
      <c r="E138" s="208"/>
      <c r="F138" s="190">
        <f t="shared" ref="F138:U138" si="154">F137/F$108</f>
        <v>0.52354096460531396</v>
      </c>
      <c r="G138" s="190">
        <f t="shared" si="154"/>
        <v>0.2977930123605409</v>
      </c>
      <c r="H138" s="190">
        <f t="shared" si="154"/>
        <v>0.49738294371477398</v>
      </c>
      <c r="I138" s="190" t="e">
        <f t="shared" si="154"/>
        <v>#REF!</v>
      </c>
      <c r="J138" s="190">
        <f t="shared" si="154"/>
        <v>0.23953051411541534</v>
      </c>
      <c r="K138" s="190">
        <f t="shared" si="154"/>
        <v>0.95885041580835251</v>
      </c>
      <c r="L138" s="190">
        <f t="shared" si="154"/>
        <v>0.1310489468763413</v>
      </c>
      <c r="M138" s="190">
        <f t="shared" si="154"/>
        <v>0.11237944330325926</v>
      </c>
      <c r="N138" s="190">
        <f t="shared" si="154"/>
        <v>0.2144717051434149</v>
      </c>
      <c r="O138" s="190">
        <f t="shared" si="154"/>
        <v>0.1807421193683465</v>
      </c>
      <c r="P138" s="190">
        <f>P137/P$108</f>
        <v>0.16252178990088578</v>
      </c>
      <c r="Q138" s="190">
        <f t="shared" si="154"/>
        <v>0.1410842866999179</v>
      </c>
      <c r="R138" s="190">
        <f t="shared" si="154"/>
        <v>0.13745885656015192</v>
      </c>
      <c r="S138" s="190" t="e">
        <f>S137/S$108</f>
        <v>#REF!</v>
      </c>
      <c r="T138" s="190" t="e">
        <f t="shared" si="154"/>
        <v>#REF!</v>
      </c>
      <c r="U138" s="190" t="e">
        <f t="shared" si="154"/>
        <v>#REF!</v>
      </c>
      <c r="V138" s="208"/>
      <c r="W138" s="190" t="e">
        <f t="shared" ref="W138" si="155">W137/W$108</f>
        <v>#REF!</v>
      </c>
      <c r="X138" s="208"/>
      <c r="Y138" s="190">
        <f t="shared" ref="Y138" si="156">Y137/Y$108</f>
        <v>0.2144717051434149</v>
      </c>
      <c r="Z138" s="211"/>
    </row>
    <row r="139" spans="2:26" ht="15" customHeight="1">
      <c r="B139" s="229"/>
      <c r="D139" s="226" t="s">
        <v>149</v>
      </c>
      <c r="F139" s="193">
        <f t="shared" ref="F139:U139" si="157">F128+F137</f>
        <v>36003092.439999998</v>
      </c>
      <c r="G139" s="193">
        <f t="shared" si="157"/>
        <v>45147891.460000001</v>
      </c>
      <c r="H139" s="193">
        <f t="shared" si="157"/>
        <v>52047683.489999995</v>
      </c>
      <c r="I139" s="193" t="e">
        <f t="shared" si="157"/>
        <v>#REF!</v>
      </c>
      <c r="J139" s="193">
        <f t="shared" si="157"/>
        <v>53710674.810000002</v>
      </c>
      <c r="K139" s="193">
        <f>K128+K137</f>
        <v>82360352.370000005</v>
      </c>
      <c r="L139" s="193">
        <f>L128+L137</f>
        <v>99962582.920000002</v>
      </c>
      <c r="M139" s="193">
        <f t="shared" si="157"/>
        <v>76230387.960000008</v>
      </c>
      <c r="N139" s="193">
        <f t="shared" si="157"/>
        <v>93401418.24000001</v>
      </c>
      <c r="O139" s="193">
        <f t="shared" si="157"/>
        <v>80199887.519999698</v>
      </c>
      <c r="P139" s="193">
        <f>P128+P137</f>
        <v>74228758.220000297</v>
      </c>
      <c r="Q139" s="193">
        <f t="shared" si="157"/>
        <v>76389238.189999998</v>
      </c>
      <c r="R139" s="193">
        <f t="shared" si="157"/>
        <v>93028437.410000026</v>
      </c>
      <c r="S139" s="193" t="e">
        <f t="shared" si="157"/>
        <v>#REF!</v>
      </c>
      <c r="T139" s="193" t="e">
        <f t="shared" si="157"/>
        <v>#REF!</v>
      </c>
      <c r="U139" s="193" t="e">
        <f t="shared" si="157"/>
        <v>#REF!</v>
      </c>
      <c r="W139" s="193" t="e">
        <f>W128+W137</f>
        <v>#REF!</v>
      </c>
      <c r="Y139" s="193">
        <f>Y128+Y137</f>
        <v>93401418.24000001</v>
      </c>
    </row>
    <row r="140" spans="2:26" s="242" customFormat="1" ht="15" customHeight="1">
      <c r="B140" s="229"/>
      <c r="D140" s="243" t="s">
        <v>150</v>
      </c>
      <c r="E140" s="244"/>
      <c r="F140" s="245">
        <f t="shared" ref="F140:U140" si="158">F139/F$91</f>
        <v>0.24683140139164136</v>
      </c>
      <c r="G140" s="245">
        <f t="shared" si="158"/>
        <v>0.19256871852012863</v>
      </c>
      <c r="H140" s="245">
        <f t="shared" si="158"/>
        <v>0.2000932789500626</v>
      </c>
      <c r="I140" s="245" t="e">
        <f t="shared" si="158"/>
        <v>#REF!</v>
      </c>
      <c r="J140" s="245">
        <f t="shared" si="158"/>
        <v>0.41847021917474397</v>
      </c>
      <c r="K140" s="245">
        <f t="shared" si="158"/>
        <v>1.7727637490305914</v>
      </c>
      <c r="L140" s="245">
        <f t="shared" si="158"/>
        <v>0.31759412526542419</v>
      </c>
      <c r="M140" s="245">
        <f t="shared" si="158"/>
        <v>0.43312874733934426</v>
      </c>
      <c r="N140" s="245">
        <f t="shared" si="158"/>
        <v>0.47810578143759869</v>
      </c>
      <c r="O140" s="245">
        <f t="shared" si="158"/>
        <v>0.31500317291514907</v>
      </c>
      <c r="P140" s="245">
        <f>P139/P$91</f>
        <v>0.2848496177423423</v>
      </c>
      <c r="Q140" s="245">
        <f t="shared" si="158"/>
        <v>0.20859122276244613</v>
      </c>
      <c r="R140" s="245">
        <f t="shared" si="158"/>
        <v>0.32815407719541101</v>
      </c>
      <c r="S140" s="245" t="e">
        <f t="shared" si="158"/>
        <v>#REF!</v>
      </c>
      <c r="T140" s="245" t="e">
        <f t="shared" si="158"/>
        <v>#REF!</v>
      </c>
      <c r="U140" s="245" t="e">
        <f t="shared" si="158"/>
        <v>#REF!</v>
      </c>
      <c r="V140" s="244"/>
      <c r="W140" s="245" t="e">
        <f t="shared" ref="W140" si="159">W139/W$91</f>
        <v>#REF!</v>
      </c>
      <c r="X140" s="244"/>
      <c r="Y140" s="245">
        <f t="shared" ref="Y140" si="160">Y139/Y$91</f>
        <v>0.47810578143759869</v>
      </c>
      <c r="Z140" s="246"/>
    </row>
    <row r="141" spans="2:26" s="242" customFormat="1" ht="15" customHeight="1">
      <c r="B141" s="229"/>
      <c r="D141" s="243" t="s">
        <v>151</v>
      </c>
      <c r="E141" s="244"/>
      <c r="F141" s="247">
        <f t="shared" ref="F141:U141" si="161">F139/F$1</f>
        <v>36003092.439999998</v>
      </c>
      <c r="G141" s="247">
        <f t="shared" si="161"/>
        <v>22573945.73</v>
      </c>
      <c r="H141" s="247">
        <f t="shared" si="161"/>
        <v>17349227.829999998</v>
      </c>
      <c r="I141" s="247" t="e">
        <f t="shared" si="161"/>
        <v>#REF!</v>
      </c>
      <c r="J141" s="247">
        <f t="shared" si="161"/>
        <v>53710674.810000002</v>
      </c>
      <c r="K141" s="247">
        <f t="shared" si="161"/>
        <v>41180176.185000002</v>
      </c>
      <c r="L141" s="247">
        <f t="shared" si="161"/>
        <v>33320860.973333333</v>
      </c>
      <c r="M141" s="247">
        <f t="shared" si="161"/>
        <v>19057596.990000002</v>
      </c>
      <c r="N141" s="247">
        <f t="shared" si="161"/>
        <v>18680283.648000002</v>
      </c>
      <c r="O141" s="247">
        <f t="shared" si="161"/>
        <v>13366647.91999995</v>
      </c>
      <c r="P141" s="248">
        <f>P139/P$1</f>
        <v>10604108.3171429</v>
      </c>
      <c r="Q141" s="247">
        <f t="shared" si="161"/>
        <v>9548654.7737499997</v>
      </c>
      <c r="R141" s="247">
        <f t="shared" si="161"/>
        <v>10336493.045555558</v>
      </c>
      <c r="S141" s="247" t="e">
        <f t="shared" si="161"/>
        <v>#REF!</v>
      </c>
      <c r="T141" s="247" t="e">
        <f t="shared" si="161"/>
        <v>#REF!</v>
      </c>
      <c r="U141" s="247" t="e">
        <f t="shared" si="161"/>
        <v>#REF!</v>
      </c>
      <c r="V141" s="244"/>
      <c r="W141" s="247" t="e">
        <f>W139/W$1</f>
        <v>#REF!</v>
      </c>
      <c r="X141" s="244"/>
      <c r="Y141" s="247">
        <f>Y139/Y$1</f>
        <v>18680283.648000002</v>
      </c>
      <c r="Z141" s="246"/>
    </row>
    <row r="142" spans="2:26" s="173" customFormat="1" ht="15" customHeight="1">
      <c r="D142" s="203"/>
      <c r="E142" s="170"/>
      <c r="V142" s="170"/>
      <c r="X142" s="170"/>
    </row>
    <row r="143" spans="2:26" ht="15" customHeight="1">
      <c r="B143" s="229"/>
      <c r="D143" s="249" t="s">
        <v>152</v>
      </c>
      <c r="F143" s="250">
        <f t="shared" ref="F143:U143" si="162">F108-F139</f>
        <v>14286627.409999996</v>
      </c>
      <c r="G143" s="250">
        <f t="shared" si="162"/>
        <v>41789707.359999992</v>
      </c>
      <c r="H143" s="250">
        <f t="shared" si="162"/>
        <v>296183.08000008762</v>
      </c>
      <c r="I143" s="250" t="e">
        <f t="shared" si="162"/>
        <v>#REF!</v>
      </c>
      <c r="J143" s="251">
        <f t="shared" si="162"/>
        <v>3180001.7300000042</v>
      </c>
      <c r="K143" s="251">
        <f>K108-K139</f>
        <v>-65192858.120000005</v>
      </c>
      <c r="L143" s="251">
        <f t="shared" si="162"/>
        <v>12074425.769999996</v>
      </c>
      <c r="M143" s="251">
        <f t="shared" si="162"/>
        <v>31636973.219999999</v>
      </c>
      <c r="N143" s="251">
        <f t="shared" si="162"/>
        <v>-28264741.210000038</v>
      </c>
      <c r="O143" s="251">
        <f t="shared" si="162"/>
        <v>-2878580.1299996525</v>
      </c>
      <c r="P143" s="251">
        <f t="shared" si="162"/>
        <v>11522113.69999966</v>
      </c>
      <c r="Q143" s="251">
        <f>Q108-Q139</f>
        <v>32362363.770000041</v>
      </c>
      <c r="R143" s="251">
        <f t="shared" si="162"/>
        <v>36411286.629999936</v>
      </c>
      <c r="S143" s="251" t="e">
        <f t="shared" si="162"/>
        <v>#REF!</v>
      </c>
      <c r="T143" s="251" t="e">
        <f t="shared" si="162"/>
        <v>#REF!</v>
      </c>
      <c r="U143" s="251" t="e">
        <f t="shared" si="162"/>
        <v>#REF!</v>
      </c>
      <c r="W143" s="250" t="e">
        <f>W108-W139</f>
        <v>#REF!</v>
      </c>
      <c r="Y143" s="251">
        <f>Y108-Y139</f>
        <v>-28264741.210000038</v>
      </c>
    </row>
    <row r="144" spans="2:26" s="242" customFormat="1" ht="15" customHeight="1">
      <c r="B144" s="229"/>
      <c r="D144" s="243" t="s">
        <v>153</v>
      </c>
      <c r="E144" s="244"/>
      <c r="F144" s="245">
        <f t="shared" ref="F144:U144" si="163">F143/F$91</f>
        <v>9.7946815836649131E-2</v>
      </c>
      <c r="G144" s="245">
        <f t="shared" si="163"/>
        <v>0.17824509923738496</v>
      </c>
      <c r="H144" s="245">
        <f t="shared" si="163"/>
        <v>1.1386528597018689E-3</v>
      </c>
      <c r="I144" s="245" t="e">
        <f t="shared" si="163"/>
        <v>#REF!</v>
      </c>
      <c r="J144" s="245">
        <f t="shared" si="163"/>
        <v>2.4776006364407223E-2</v>
      </c>
      <c r="K144" s="245">
        <f t="shared" si="163"/>
        <v>-1.4032423641369449</v>
      </c>
      <c r="L144" s="245">
        <f t="shared" si="163"/>
        <v>3.836202085308666E-2</v>
      </c>
      <c r="M144" s="245">
        <f t="shared" si="163"/>
        <v>0.17975617004044667</v>
      </c>
      <c r="N144" s="245">
        <f t="shared" si="163"/>
        <v>-0.14468234463651081</v>
      </c>
      <c r="O144" s="245">
        <f t="shared" si="163"/>
        <v>-1.130627364301815E-2</v>
      </c>
      <c r="P144" s="245">
        <f>P143/P$91</f>
        <v>4.4215608097622511E-2</v>
      </c>
      <c r="Q144" s="245">
        <f>Q143/Q$91</f>
        <v>8.836984358290266E-2</v>
      </c>
      <c r="R144" s="245">
        <f t="shared" si="163"/>
        <v>0.12843935140934484</v>
      </c>
      <c r="S144" s="245" t="e">
        <f t="shared" si="163"/>
        <v>#REF!</v>
      </c>
      <c r="T144" s="245" t="e">
        <f t="shared" si="163"/>
        <v>#REF!</v>
      </c>
      <c r="U144" s="245" t="e">
        <f t="shared" si="163"/>
        <v>#REF!</v>
      </c>
      <c r="V144" s="244"/>
      <c r="W144" s="245" t="e">
        <f t="shared" ref="W144" si="164">W143/W$91</f>
        <v>#REF!</v>
      </c>
      <c r="X144" s="244"/>
      <c r="Y144" s="245">
        <f t="shared" ref="Y144" si="165">Y143/Y$91</f>
        <v>-0.14468234463651081</v>
      </c>
      <c r="Z144" s="246"/>
    </row>
    <row r="145" spans="2:26" s="206" customFormat="1" ht="15" customHeight="1">
      <c r="B145" s="229"/>
      <c r="D145" s="207" t="s">
        <v>154</v>
      </c>
      <c r="E145" s="208"/>
      <c r="F145" s="209">
        <f t="shared" ref="F145:O145" si="166">F143/F$1</f>
        <v>14286627.409999996</v>
      </c>
      <c r="G145" s="209">
        <f t="shared" si="166"/>
        <v>20894853.679999996</v>
      </c>
      <c r="H145" s="209">
        <f t="shared" si="166"/>
        <v>98727.693333362535</v>
      </c>
      <c r="I145" s="209" t="e">
        <f t="shared" si="166"/>
        <v>#REF!</v>
      </c>
      <c r="J145" s="209">
        <f t="shared" si="166"/>
        <v>3180001.7300000042</v>
      </c>
      <c r="K145" s="209">
        <f t="shared" si="166"/>
        <v>-32596429.060000002</v>
      </c>
      <c r="L145" s="209">
        <f t="shared" si="166"/>
        <v>4024808.5899999985</v>
      </c>
      <c r="M145" s="209">
        <f t="shared" si="166"/>
        <v>7909243.3049999997</v>
      </c>
      <c r="N145" s="209">
        <f t="shared" si="166"/>
        <v>-5652948.242000008</v>
      </c>
      <c r="O145" s="209">
        <f t="shared" si="166"/>
        <v>-479763.35499994206</v>
      </c>
      <c r="P145" s="210">
        <f>P143/P$1</f>
        <v>1646016.2428570944</v>
      </c>
      <c r="Q145" s="210">
        <f t="shared" ref="Q145:U145" si="167">Q143/Q$1</f>
        <v>4045295.4712500051</v>
      </c>
      <c r="R145" s="210">
        <f t="shared" si="167"/>
        <v>4045698.5144444373</v>
      </c>
      <c r="S145" s="210" t="e">
        <f t="shared" si="167"/>
        <v>#REF!</v>
      </c>
      <c r="T145" s="210" t="e">
        <f t="shared" si="167"/>
        <v>#REF!</v>
      </c>
      <c r="U145" s="210" t="e">
        <f t="shared" si="167"/>
        <v>#REF!</v>
      </c>
      <c r="V145" s="208"/>
      <c r="W145" s="209" t="e">
        <f>W143/W$1</f>
        <v>#REF!</v>
      </c>
      <c r="X145" s="208"/>
      <c r="Y145" s="209">
        <f>Y143/Y$1</f>
        <v>-5652948.242000008</v>
      </c>
      <c r="Z145" s="211"/>
    </row>
    <row r="146" spans="2:26" s="206" customFormat="1" ht="15" customHeight="1">
      <c r="B146" s="229"/>
      <c r="D146" s="207" t="s">
        <v>155</v>
      </c>
      <c r="E146" s="208"/>
      <c r="F146" s="190">
        <f t="shared" ref="F146:U146" si="168">(F$143*12)/F$78</f>
        <v>1.0484474598815865</v>
      </c>
      <c r="G146" s="190">
        <f t="shared" si="168"/>
        <v>1.9692564754036577</v>
      </c>
      <c r="H146" s="190">
        <f t="shared" si="168"/>
        <v>1.4001316400312618E-2</v>
      </c>
      <c r="I146" s="190" t="e">
        <f t="shared" si="168"/>
        <v>#REF!</v>
      </c>
      <c r="J146" s="190">
        <f t="shared" si="168"/>
        <v>7.8030592162758705E-2</v>
      </c>
      <c r="K146" s="190">
        <f t="shared" si="168"/>
        <v>-1.846789982595489</v>
      </c>
      <c r="L146" s="190">
        <f t="shared" si="168"/>
        <v>0.33109835558842454</v>
      </c>
      <c r="M146" s="190">
        <f t="shared" si="168"/>
        <v>0.80764179603544151</v>
      </c>
      <c r="N146" s="190">
        <f t="shared" si="168"/>
        <v>-0.7668437438934399</v>
      </c>
      <c r="O146" s="190">
        <f t="shared" si="168"/>
        <v>-7.7636982013359598E-2</v>
      </c>
      <c r="P146" s="190">
        <f>(P$143*12)/P$78</f>
        <v>0.30284975544493825</v>
      </c>
      <c r="Q146" s="190">
        <f t="shared" si="168"/>
        <v>0.79320429101852186</v>
      </c>
      <c r="R146" s="190">
        <f t="shared" si="168"/>
        <v>0.83224484909772567</v>
      </c>
      <c r="S146" s="190" t="e">
        <f t="shared" si="168"/>
        <v>#REF!</v>
      </c>
      <c r="T146" s="190" t="e">
        <f t="shared" si="168"/>
        <v>#REF!</v>
      </c>
      <c r="U146" s="190" t="e">
        <f t="shared" si="168"/>
        <v>#REF!</v>
      </c>
      <c r="V146" s="208"/>
      <c r="W146" s="190" t="e">
        <f>(W$143*12)/W$78</f>
        <v>#REF!</v>
      </c>
      <c r="X146" s="208"/>
      <c r="Y146" s="190">
        <f>(Y$143*12)/Y$78</f>
        <v>-0.7668437438934399</v>
      </c>
      <c r="Z146" s="211"/>
    </row>
    <row r="147" spans="2:26" s="206" customFormat="1" ht="15" customHeight="1">
      <c r="B147" s="229"/>
      <c r="D147" s="207" t="s">
        <v>156</v>
      </c>
      <c r="E147" s="208"/>
      <c r="F147" s="190">
        <f t="shared" ref="F147:U147" si="169">(F$143*12)/F$82</f>
        <v>0.40391582402046328</v>
      </c>
      <c r="G147" s="190">
        <f t="shared" si="169"/>
        <v>0.73273661096723564</v>
      </c>
      <c r="H147" s="190">
        <f t="shared" si="169"/>
        <v>5.5366001374217468E-3</v>
      </c>
      <c r="I147" s="190" t="e">
        <f t="shared" si="169"/>
        <v>#REF!</v>
      </c>
      <c r="J147" s="190">
        <f t="shared" si="169"/>
        <v>5.2819749376265421E-2</v>
      </c>
      <c r="K147" s="190">
        <f t="shared" si="169"/>
        <v>-1.3356889131619054</v>
      </c>
      <c r="L147" s="190">
        <f t="shared" si="169"/>
        <v>0.17032177359612363</v>
      </c>
      <c r="M147" s="190">
        <f t="shared" si="169"/>
        <v>0.45021090589383433</v>
      </c>
      <c r="N147" s="190">
        <f t="shared" si="169"/>
        <v>-0.42133013799573832</v>
      </c>
      <c r="O147" s="190">
        <f t="shared" si="169"/>
        <v>-3.7230346791033077E-2</v>
      </c>
      <c r="P147" s="190">
        <f>(P$143*12)/P$82</f>
        <v>0.1640868663283668</v>
      </c>
      <c r="Q147" s="190">
        <f t="shared" si="169"/>
        <v>0.3702382794858774</v>
      </c>
      <c r="R147" s="190">
        <f t="shared" si="169"/>
        <v>0.46650175025829022</v>
      </c>
      <c r="S147" s="190" t="e">
        <f t="shared" si="169"/>
        <v>#REF!</v>
      </c>
      <c r="T147" s="190" t="e">
        <f t="shared" si="169"/>
        <v>#REF!</v>
      </c>
      <c r="U147" s="190" t="e">
        <f t="shared" si="169"/>
        <v>#REF!</v>
      </c>
      <c r="V147" s="208"/>
      <c r="W147" s="190" t="e">
        <f>(W$143*12)/W$82</f>
        <v>#REF!</v>
      </c>
      <c r="X147" s="208"/>
      <c r="Y147" s="190">
        <f>(Y$143*12)/Y$82</f>
        <v>-0.42229650278816611</v>
      </c>
      <c r="Z147" s="211"/>
    </row>
    <row r="148" spans="2:26" s="173" customFormat="1" ht="15" customHeight="1">
      <c r="D148" s="203"/>
      <c r="E148" s="170"/>
      <c r="V148" s="170"/>
      <c r="X148" s="170"/>
    </row>
    <row r="149" spans="2:26" ht="15" customHeight="1">
      <c r="D149" s="183" t="s">
        <v>157</v>
      </c>
      <c r="F149" s="184">
        <f>ACUMULADO!F150</f>
        <v>585601</v>
      </c>
      <c r="G149" s="184">
        <f>ACUMULADO!G150-ACUMULADO!F150</f>
        <v>838040.76</v>
      </c>
      <c r="H149" s="184">
        <f>ACUMULADO!H150-ACUMULADO!G150</f>
        <v>1102032.7300000002</v>
      </c>
      <c r="I149" s="184" t="e">
        <f>ACUMULADO!I150-ACUMULADO!H150</f>
        <v>#REF!</v>
      </c>
      <c r="J149" s="184">
        <f>ACUMULADO!J150</f>
        <v>895207</v>
      </c>
      <c r="K149" s="184">
        <f>ACUMULADO!K150-ACUMULADO!J150</f>
        <v>1228075</v>
      </c>
      <c r="L149" s="184">
        <f>ACUMULADO!L150-ACUMULADO!K150</f>
        <v>1704799</v>
      </c>
      <c r="M149" s="184">
        <f>ACUMULADO!M150-ACUMULADO!L150</f>
        <v>834871</v>
      </c>
      <c r="N149" s="184">
        <f>ACUMULADO!N150-ACUMULADO!M150</f>
        <v>1621521</v>
      </c>
      <c r="O149" s="184">
        <f>ACUMULADO!O150-ACUMULADO!N150</f>
        <v>1274167</v>
      </c>
      <c r="P149" s="184">
        <f>ACUMULADO!P150-ACUMULADO!O150</f>
        <v>1888075</v>
      </c>
      <c r="Q149" s="184">
        <f>ACUMULADO!Q150-ACUMULADO!P150</f>
        <v>1086482</v>
      </c>
      <c r="R149" s="184">
        <f>ACUMULADO!R150-ACUMULADO!Q150</f>
        <v>2550461</v>
      </c>
      <c r="S149" s="184" t="e">
        <f>ACUMULADO!S150-ACUMULADO!R150</f>
        <v>#REF!</v>
      </c>
      <c r="T149" s="184" t="e">
        <f>ACUMULADO!T150-ACUMULADO!S150</f>
        <v>#REF!</v>
      </c>
      <c r="U149" s="184" t="e">
        <f>ACUMULADO!U150-ACUMULADO!T150</f>
        <v>#REF!</v>
      </c>
      <c r="W149" s="184" t="e">
        <f>I149</f>
        <v>#REF!</v>
      </c>
      <c r="Y149" s="184">
        <f>N149</f>
        <v>1621521</v>
      </c>
    </row>
    <row r="150" spans="2:26" ht="15" customHeight="1">
      <c r="D150" s="183" t="s">
        <v>158</v>
      </c>
      <c r="F150" s="184">
        <f>ACUMULADO!F151</f>
        <v>0</v>
      </c>
      <c r="G150" s="184">
        <f>ACUMULADO!G151-ACUMULADO!F151</f>
        <v>0</v>
      </c>
      <c r="H150" s="184">
        <f>ACUMULADO!H151-ACUMULADO!G151</f>
        <v>0</v>
      </c>
      <c r="I150" s="184">
        <f>ACUMULADO!I151-ACUMULADO!H151</f>
        <v>0</v>
      </c>
      <c r="J150" s="184">
        <f>ACUMULADO!J151</f>
        <v>0</v>
      </c>
      <c r="K150" s="184">
        <f>ACUMULADO!K151-ACUMULADO!J151</f>
        <v>0</v>
      </c>
      <c r="L150" s="184">
        <f>ACUMULADO!L151-ACUMULADO!K151</f>
        <v>0</v>
      </c>
      <c r="M150" s="184">
        <f>ACUMULADO!M151-ACUMULADO!L151</f>
        <v>0</v>
      </c>
      <c r="N150" s="184">
        <f>ACUMULADO!N151-ACUMULADO!M151</f>
        <v>0</v>
      </c>
      <c r="O150" s="184">
        <f>ACUMULADO!O151-ACUMULADO!N151</f>
        <v>0</v>
      </c>
      <c r="P150" s="184">
        <f>ACUMULADO!P151-ACUMULADO!O151</f>
        <v>0</v>
      </c>
      <c r="Q150" s="184">
        <f>ACUMULADO!Q151-ACUMULADO!P151</f>
        <v>0</v>
      </c>
      <c r="R150" s="184">
        <f>ACUMULADO!R151-ACUMULADO!Q151</f>
        <v>0</v>
      </c>
      <c r="S150" s="184">
        <f>ACUMULADO!S151-ACUMULADO!R151</f>
        <v>0</v>
      </c>
      <c r="T150" s="184">
        <f>ACUMULADO!T151-ACUMULADO!S151</f>
        <v>0</v>
      </c>
      <c r="U150" s="184">
        <f>ACUMULADO!U151-ACUMULADO!T151</f>
        <v>0</v>
      </c>
      <c r="W150" s="184">
        <f>I150</f>
        <v>0</v>
      </c>
      <c r="Y150" s="184">
        <f>N150</f>
        <v>0</v>
      </c>
    </row>
    <row r="151" spans="2:26" ht="15" customHeight="1">
      <c r="D151" s="183" t="s">
        <v>184</v>
      </c>
      <c r="F151" s="184">
        <f>ACUMULADO!F152</f>
        <v>0</v>
      </c>
      <c r="G151" s="184">
        <f>ACUMULADO!G152-ACUMULADO!F152</f>
        <v>12</v>
      </c>
      <c r="H151" s="184">
        <f>ACUMULADO!H152-ACUMULADO!G152</f>
        <v>487.16</v>
      </c>
      <c r="I151" s="184" t="e">
        <f>ACUMULADO!I152-ACUMULADO!H152</f>
        <v>#REF!</v>
      </c>
      <c r="J151" s="184">
        <f>ACUMULADO!J152</f>
        <v>3376158</v>
      </c>
      <c r="K151" s="184">
        <f>ACUMULADO!K152-ACUMULADO!J152</f>
        <v>989316.09999999963</v>
      </c>
      <c r="L151" s="184">
        <f>ACUMULADO!L152-ACUMULADO!K152</f>
        <v>3624256</v>
      </c>
      <c r="M151" s="184">
        <f>ACUMULADO!M152-ACUMULADO!L152</f>
        <v>2355829</v>
      </c>
      <c r="N151" s="184">
        <f>ACUMULADO!N152-ACUMULADO!M152</f>
        <v>2124320.8000000007</v>
      </c>
      <c r="O151" s="184">
        <f>ACUMULADO!O152-ACUMULADO!N152</f>
        <v>6779477.0999999996</v>
      </c>
      <c r="P151" s="184">
        <f>ACUMULADO!P152-ACUMULADO!O152</f>
        <v>1984461.8999999985</v>
      </c>
      <c r="Q151" s="184">
        <f>ACUMULADO!Q152-ACUMULADO!P152</f>
        <v>1770784.1000000015</v>
      </c>
      <c r="R151" s="184">
        <f>ACUMULADO!R152-ACUMULADO!Q152</f>
        <v>1553075</v>
      </c>
      <c r="S151" s="184" t="e">
        <f>ACUMULADO!S152-ACUMULADO!R152</f>
        <v>#REF!</v>
      </c>
      <c r="T151" s="184" t="e">
        <f>ACUMULADO!T152-ACUMULADO!S152</f>
        <v>#REF!</v>
      </c>
      <c r="U151" s="184" t="e">
        <f>ACUMULADO!U152-ACUMULADO!T152</f>
        <v>#REF!</v>
      </c>
      <c r="W151" s="184" t="e">
        <f>I151</f>
        <v>#REF!</v>
      </c>
      <c r="Y151" s="184">
        <f>N151</f>
        <v>2124320.8000000007</v>
      </c>
    </row>
    <row r="152" spans="2:26" ht="15" customHeight="1">
      <c r="D152" s="183" t="s">
        <v>185</v>
      </c>
      <c r="F152" s="184">
        <f>ACUMULADO!F153</f>
        <v>0</v>
      </c>
      <c r="G152" s="184">
        <f>ACUMULADO!G153-ACUMULADO!F153</f>
        <v>0</v>
      </c>
      <c r="H152" s="184">
        <f>ACUMULADO!H153-ACUMULADO!G153</f>
        <v>0</v>
      </c>
      <c r="I152" s="184">
        <f>ACUMULADO!I153-ACUMULADO!H153</f>
        <v>0</v>
      </c>
      <c r="J152" s="184">
        <f>ACUMULADO!J153</f>
        <v>0</v>
      </c>
      <c r="K152" s="184">
        <f>ACUMULADO!K153-ACUMULADO!J153</f>
        <v>0</v>
      </c>
      <c r="L152" s="184">
        <f>ACUMULADO!L153-ACUMULADO!K153</f>
        <v>0</v>
      </c>
      <c r="M152" s="184">
        <f>ACUMULADO!M153-ACUMULADO!L153</f>
        <v>0</v>
      </c>
      <c r="N152" s="184">
        <f>ACUMULADO!N153-ACUMULADO!M153</f>
        <v>0</v>
      </c>
      <c r="O152" s="184">
        <f>ACUMULADO!O153-ACUMULADO!N153</f>
        <v>0</v>
      </c>
      <c r="P152" s="184">
        <f>ACUMULADO!P153-ACUMULADO!O153</f>
        <v>0</v>
      </c>
      <c r="Q152" s="184">
        <f>ACUMULADO!Q153-ACUMULADO!P153</f>
        <v>0</v>
      </c>
      <c r="R152" s="184">
        <f>ACUMULADO!R153-ACUMULADO!Q153</f>
        <v>0</v>
      </c>
      <c r="S152" s="184">
        <f>ACUMULADO!S153-ACUMULADO!R153</f>
        <v>0</v>
      </c>
      <c r="T152" s="184">
        <f>ACUMULADO!T153-ACUMULADO!S153</f>
        <v>0</v>
      </c>
      <c r="U152" s="184">
        <f>ACUMULADO!U153-ACUMULADO!T153</f>
        <v>0</v>
      </c>
      <c r="W152" s="184">
        <f>I152</f>
        <v>0</v>
      </c>
      <c r="Y152" s="184">
        <f>N152</f>
        <v>0</v>
      </c>
    </row>
    <row r="153" spans="2:26" ht="15" customHeight="1">
      <c r="D153" s="198" t="s">
        <v>159</v>
      </c>
      <c r="F153" s="193">
        <f>-F149+F150+F151-F152</f>
        <v>-585601</v>
      </c>
      <c r="G153" s="193">
        <f t="shared" ref="G153:U153" si="170">-G149+G150+G151-G152</f>
        <v>-838028.76</v>
      </c>
      <c r="H153" s="193">
        <f t="shared" si="170"/>
        <v>-1101545.5700000003</v>
      </c>
      <c r="I153" s="193" t="e">
        <f t="shared" si="170"/>
        <v>#REF!</v>
      </c>
      <c r="J153" s="193">
        <f t="shared" si="170"/>
        <v>2480951</v>
      </c>
      <c r="K153" s="193">
        <f>-K149+K150+K151-K152</f>
        <v>-238758.90000000037</v>
      </c>
      <c r="L153" s="193">
        <f t="shared" si="170"/>
        <v>1919457</v>
      </c>
      <c r="M153" s="193">
        <f t="shared" si="170"/>
        <v>1520958</v>
      </c>
      <c r="N153" s="193">
        <f t="shared" si="170"/>
        <v>502799.80000000075</v>
      </c>
      <c r="O153" s="193">
        <f t="shared" si="170"/>
        <v>5505310.0999999996</v>
      </c>
      <c r="P153" s="193">
        <f t="shared" si="170"/>
        <v>96386.89999999851</v>
      </c>
      <c r="Q153" s="193">
        <f t="shared" si="170"/>
        <v>684302.10000000149</v>
      </c>
      <c r="R153" s="193">
        <f t="shared" si="170"/>
        <v>-997386</v>
      </c>
      <c r="S153" s="193" t="e">
        <f t="shared" si="170"/>
        <v>#REF!</v>
      </c>
      <c r="T153" s="193" t="e">
        <f t="shared" si="170"/>
        <v>#REF!</v>
      </c>
      <c r="U153" s="193" t="e">
        <f t="shared" si="170"/>
        <v>#REF!</v>
      </c>
      <c r="W153" s="193" t="e">
        <f t="shared" ref="W153" si="171">-W149+W150+W151-W152</f>
        <v>#REF!</v>
      </c>
      <c r="Y153" s="193">
        <f t="shared" ref="Y153" si="172">-Y149+Y150+Y151-Y152</f>
        <v>502799.80000000075</v>
      </c>
    </row>
    <row r="154" spans="2:26" s="173" customFormat="1" ht="15" customHeight="1">
      <c r="D154" s="203"/>
      <c r="E154" s="170"/>
      <c r="V154" s="170"/>
      <c r="X154" s="170"/>
    </row>
    <row r="155" spans="2:26" ht="15" customHeight="1">
      <c r="D155" s="226" t="s">
        <v>160</v>
      </c>
      <c r="F155" s="193">
        <f t="shared" ref="F155:U155" si="173">F143+F153</f>
        <v>13701026.409999996</v>
      </c>
      <c r="G155" s="193">
        <f t="shared" si="173"/>
        <v>40951678.599999994</v>
      </c>
      <c r="H155" s="193">
        <f t="shared" si="173"/>
        <v>-805362.48999991268</v>
      </c>
      <c r="I155" s="193" t="e">
        <f t="shared" si="173"/>
        <v>#REF!</v>
      </c>
      <c r="J155" s="193">
        <f t="shared" si="173"/>
        <v>5660952.7300000042</v>
      </c>
      <c r="K155" s="193">
        <f t="shared" si="173"/>
        <v>-65431617.020000003</v>
      </c>
      <c r="L155" s="193">
        <f t="shared" si="173"/>
        <v>13993882.769999996</v>
      </c>
      <c r="M155" s="193">
        <f t="shared" si="173"/>
        <v>33157931.219999999</v>
      </c>
      <c r="N155" s="193">
        <f t="shared" si="173"/>
        <v>-27761941.410000037</v>
      </c>
      <c r="O155" s="193">
        <f t="shared" si="173"/>
        <v>2626729.9700003471</v>
      </c>
      <c r="P155" s="193">
        <f t="shared" si="173"/>
        <v>11618500.599999659</v>
      </c>
      <c r="Q155" s="193">
        <f t="shared" si="173"/>
        <v>33046665.870000042</v>
      </c>
      <c r="R155" s="193">
        <f t="shared" si="173"/>
        <v>35413900.629999936</v>
      </c>
      <c r="S155" s="193" t="e">
        <f t="shared" si="173"/>
        <v>#REF!</v>
      </c>
      <c r="T155" s="193" t="e">
        <f t="shared" si="173"/>
        <v>#REF!</v>
      </c>
      <c r="U155" s="193" t="e">
        <f t="shared" si="173"/>
        <v>#REF!</v>
      </c>
      <c r="W155" s="193" t="e">
        <f>W143+W153</f>
        <v>#REF!</v>
      </c>
      <c r="Y155" s="193">
        <f>Y143+Y153</f>
        <v>-27761941.410000037</v>
      </c>
    </row>
    <row r="156" spans="2:26" s="173" customFormat="1" ht="15" customHeight="1">
      <c r="D156" s="203"/>
      <c r="E156" s="170"/>
      <c r="V156" s="170"/>
      <c r="X156" s="170"/>
    </row>
    <row r="157" spans="2:26" ht="15" customHeight="1">
      <c r="D157" s="231" t="s">
        <v>186</v>
      </c>
      <c r="F157" s="184">
        <f>ACUMULADO!F158</f>
        <v>0</v>
      </c>
      <c r="G157" s="184">
        <f>ACUMULADO!G158-ACUMULADO!F158</f>
        <v>0</v>
      </c>
      <c r="H157" s="184">
        <f>ACUMULADO!H158-ACUMULADO!G158</f>
        <v>0</v>
      </c>
      <c r="I157" s="184" t="e">
        <f>ACUMULADO!I158-ACUMULADO!H158</f>
        <v>#REF!</v>
      </c>
      <c r="J157" s="184">
        <f>ACUMULADO!J158</f>
        <v>0</v>
      </c>
      <c r="K157" s="184">
        <f>ACUMULADO!K158-ACUMULADO!J158</f>
        <v>0</v>
      </c>
      <c r="L157" s="184">
        <f>ACUMULADO!L158-ACUMULADO!K158</f>
        <v>0</v>
      </c>
      <c r="M157" s="184">
        <f>ACUMULADO!M158-ACUMULADO!L158</f>
        <v>695000</v>
      </c>
      <c r="N157" s="184">
        <f>ACUMULADO!N158-ACUMULADO!M158</f>
        <v>0</v>
      </c>
      <c r="O157" s="184">
        <f>ACUMULADO!O158-ACUMULADO!N158</f>
        <v>0</v>
      </c>
      <c r="P157" s="184">
        <f>ACUMULADO!P158-ACUMULADO!O158</f>
        <v>0</v>
      </c>
      <c r="Q157" s="184">
        <f>ACUMULADO!Q158-ACUMULADO!P158</f>
        <v>0</v>
      </c>
      <c r="R157" s="184">
        <f>ACUMULADO!R158-ACUMULADO!Q158</f>
        <v>0</v>
      </c>
      <c r="S157" s="184" t="e">
        <f>ACUMULADO!S158-ACUMULADO!R158</f>
        <v>#REF!</v>
      </c>
      <c r="T157" s="184" t="e">
        <f>ACUMULADO!T158-ACUMULADO!S158</f>
        <v>#REF!</v>
      </c>
      <c r="U157" s="184" t="e">
        <f>ACUMULADO!U158-ACUMULADO!T158</f>
        <v>#REF!</v>
      </c>
      <c r="W157" s="184" t="e">
        <f>I157</f>
        <v>#REF!</v>
      </c>
      <c r="Y157" s="184">
        <f>N157</f>
        <v>0</v>
      </c>
    </row>
    <row r="158" spans="2:26" ht="15" customHeight="1">
      <c r="D158" s="226" t="s">
        <v>161</v>
      </c>
      <c r="F158" s="193">
        <f t="shared" ref="F158:U158" si="174">SUM(F157:F157)</f>
        <v>0</v>
      </c>
      <c r="G158" s="193">
        <f t="shared" si="174"/>
        <v>0</v>
      </c>
      <c r="H158" s="193">
        <f t="shared" si="174"/>
        <v>0</v>
      </c>
      <c r="I158" s="193" t="e">
        <f t="shared" si="174"/>
        <v>#REF!</v>
      </c>
      <c r="J158" s="193">
        <f t="shared" si="174"/>
        <v>0</v>
      </c>
      <c r="K158" s="193">
        <f t="shared" si="174"/>
        <v>0</v>
      </c>
      <c r="L158" s="193">
        <f t="shared" si="174"/>
        <v>0</v>
      </c>
      <c r="M158" s="193">
        <f t="shared" si="174"/>
        <v>695000</v>
      </c>
      <c r="N158" s="193">
        <f t="shared" si="174"/>
        <v>0</v>
      </c>
      <c r="O158" s="193">
        <f t="shared" si="174"/>
        <v>0</v>
      </c>
      <c r="P158" s="193">
        <f t="shared" si="174"/>
        <v>0</v>
      </c>
      <c r="Q158" s="193">
        <f t="shared" si="174"/>
        <v>0</v>
      </c>
      <c r="R158" s="193">
        <f t="shared" si="174"/>
        <v>0</v>
      </c>
      <c r="S158" s="193" t="e">
        <f t="shared" si="174"/>
        <v>#REF!</v>
      </c>
      <c r="T158" s="193" t="e">
        <f t="shared" si="174"/>
        <v>#REF!</v>
      </c>
      <c r="U158" s="193" t="e">
        <f t="shared" si="174"/>
        <v>#REF!</v>
      </c>
      <c r="W158" s="193" t="e">
        <f>SUM(W157:W157)</f>
        <v>#REF!</v>
      </c>
      <c r="Y158" s="193">
        <f>SUM(Y157:Y157)</f>
        <v>0</v>
      </c>
    </row>
    <row r="159" spans="2:26" s="173" customFormat="1" ht="15" customHeight="1">
      <c r="D159" s="203"/>
      <c r="E159" s="170"/>
      <c r="V159" s="170"/>
      <c r="X159" s="170"/>
    </row>
    <row r="160" spans="2:26" ht="15" customHeight="1">
      <c r="D160" s="226" t="s">
        <v>187</v>
      </c>
      <c r="F160" s="193">
        <f>F155-F158</f>
        <v>13701026.409999996</v>
      </c>
      <c r="G160" s="193">
        <f t="shared" ref="G160:N160" si="175">G155-G158</f>
        <v>40951678.599999994</v>
      </c>
      <c r="H160" s="193">
        <f t="shared" si="175"/>
        <v>-805362.48999991268</v>
      </c>
      <c r="I160" s="193" t="e">
        <f t="shared" si="175"/>
        <v>#REF!</v>
      </c>
      <c r="J160" s="193">
        <f t="shared" si="175"/>
        <v>5660952.7300000042</v>
      </c>
      <c r="K160" s="193">
        <f t="shared" si="175"/>
        <v>-65431617.020000003</v>
      </c>
      <c r="L160" s="193">
        <f t="shared" si="175"/>
        <v>13993882.769999996</v>
      </c>
      <c r="M160" s="193">
        <f t="shared" si="175"/>
        <v>32462931.219999999</v>
      </c>
      <c r="N160" s="193">
        <f t="shared" si="175"/>
        <v>-27761941.410000037</v>
      </c>
      <c r="O160" s="193">
        <f t="shared" ref="O160:U160" si="176">O155+O158</f>
        <v>2626729.9700003471</v>
      </c>
      <c r="P160" s="193">
        <f t="shared" si="176"/>
        <v>11618500.599999659</v>
      </c>
      <c r="Q160" s="193">
        <f t="shared" si="176"/>
        <v>33046665.870000042</v>
      </c>
      <c r="R160" s="193">
        <f t="shared" si="176"/>
        <v>35413900.629999936</v>
      </c>
      <c r="S160" s="193" t="e">
        <f t="shared" si="176"/>
        <v>#REF!</v>
      </c>
      <c r="T160" s="193" t="e">
        <f t="shared" si="176"/>
        <v>#REF!</v>
      </c>
      <c r="U160" s="193" t="e">
        <f t="shared" si="176"/>
        <v>#REF!</v>
      </c>
      <c r="W160" s="193" t="e">
        <f t="shared" ref="W160" si="177">W155-W158</f>
        <v>#REF!</v>
      </c>
      <c r="Y160" s="193">
        <f t="shared" ref="Y160" si="178">Y155-Y158</f>
        <v>-27761941.410000037</v>
      </c>
    </row>
    <row r="161" spans="4:33" s="242" customFormat="1" ht="15" customHeight="1">
      <c r="D161" s="243" t="s">
        <v>162</v>
      </c>
      <c r="E161" s="244"/>
      <c r="F161" s="245">
        <f t="shared" ref="F161:U161" si="179">F160/F$91</f>
        <v>9.3932029725505115E-2</v>
      </c>
      <c r="G161" s="245">
        <f t="shared" si="179"/>
        <v>0.17467066598751352</v>
      </c>
      <c r="H161" s="245">
        <f t="shared" si="179"/>
        <v>-3.096153576141983E-3</v>
      </c>
      <c r="I161" s="245" t="e">
        <f t="shared" si="179"/>
        <v>#REF!</v>
      </c>
      <c r="J161" s="245">
        <f t="shared" si="179"/>
        <v>4.4105573762404322E-2</v>
      </c>
      <c r="K161" s="245">
        <f t="shared" si="179"/>
        <v>-1.4083815252806093</v>
      </c>
      <c r="L161" s="245">
        <f t="shared" si="179"/>
        <v>4.4460385352005867E-2</v>
      </c>
      <c r="M161" s="245">
        <f t="shared" si="179"/>
        <v>0.18444912994093449</v>
      </c>
      <c r="N161" s="245">
        <f t="shared" si="179"/>
        <v>-0.14210859901449069</v>
      </c>
      <c r="O161" s="245">
        <f t="shared" si="179"/>
        <v>1.0317075254439543E-2</v>
      </c>
      <c r="P161" s="245">
        <f t="shared" si="179"/>
        <v>4.4585488616692967E-2</v>
      </c>
      <c r="Q161" s="245">
        <f t="shared" si="179"/>
        <v>9.0238423701778564E-2</v>
      </c>
      <c r="R161" s="245">
        <f t="shared" si="179"/>
        <v>0.12492111234664681</v>
      </c>
      <c r="S161" s="245" t="e">
        <f t="shared" si="179"/>
        <v>#REF!</v>
      </c>
      <c r="T161" s="245" t="e">
        <f t="shared" si="179"/>
        <v>#REF!</v>
      </c>
      <c r="U161" s="245" t="e">
        <f t="shared" si="179"/>
        <v>#REF!</v>
      </c>
      <c r="V161" s="244"/>
      <c r="W161" s="245" t="e">
        <f t="shared" ref="W161" si="180">W160/W$91</f>
        <v>#REF!</v>
      </c>
      <c r="X161" s="244"/>
      <c r="Y161" s="245">
        <f t="shared" ref="Y161" si="181">Y160/Y$91</f>
        <v>-0.14210859901449069</v>
      </c>
      <c r="Z161" s="246"/>
    </row>
    <row r="162" spans="4:33" s="206" customFormat="1" ht="15" customHeight="1">
      <c r="D162" s="207" t="s">
        <v>163</v>
      </c>
      <c r="E162" s="208"/>
      <c r="F162" s="209">
        <f t="shared" ref="F162:U162" si="182">F160/F$1</f>
        <v>13701026.409999996</v>
      </c>
      <c r="G162" s="209">
        <f t="shared" si="182"/>
        <v>20475839.299999997</v>
      </c>
      <c r="H162" s="209">
        <f t="shared" si="182"/>
        <v>-268454.16333330423</v>
      </c>
      <c r="I162" s="209" t="e">
        <f t="shared" si="182"/>
        <v>#REF!</v>
      </c>
      <c r="J162" s="209">
        <f t="shared" si="182"/>
        <v>5660952.7300000042</v>
      </c>
      <c r="K162" s="209">
        <f t="shared" si="182"/>
        <v>-32715808.510000002</v>
      </c>
      <c r="L162" s="209">
        <f t="shared" si="182"/>
        <v>4664627.5899999989</v>
      </c>
      <c r="M162" s="209">
        <f t="shared" si="182"/>
        <v>8115732.8049999997</v>
      </c>
      <c r="N162" s="209">
        <f t="shared" si="182"/>
        <v>-5552388.2820000071</v>
      </c>
      <c r="O162" s="209">
        <f t="shared" si="182"/>
        <v>437788.32833339117</v>
      </c>
      <c r="P162" s="209">
        <f t="shared" si="182"/>
        <v>1659785.7999999512</v>
      </c>
      <c r="Q162" s="209">
        <f t="shared" si="182"/>
        <v>4130833.2337500053</v>
      </c>
      <c r="R162" s="209">
        <f t="shared" si="182"/>
        <v>3934877.8477777708</v>
      </c>
      <c r="S162" s="209" t="e">
        <f t="shared" si="182"/>
        <v>#REF!</v>
      </c>
      <c r="T162" s="209" t="e">
        <f t="shared" si="182"/>
        <v>#REF!</v>
      </c>
      <c r="U162" s="209" t="e">
        <f t="shared" si="182"/>
        <v>#REF!</v>
      </c>
      <c r="V162" s="208"/>
      <c r="W162" s="209" t="e">
        <f>W160/W$1</f>
        <v>#REF!</v>
      </c>
      <c r="X162" s="208"/>
      <c r="Y162" s="209">
        <f>Y160/Y$1</f>
        <v>-5552388.2820000071</v>
      </c>
      <c r="Z162" s="211"/>
    </row>
    <row r="163" spans="4:33" s="206" customFormat="1" ht="15" customHeight="1">
      <c r="D163" s="207" t="s">
        <v>164</v>
      </c>
      <c r="E163" s="208"/>
      <c r="F163" s="190">
        <f t="shared" ref="F163:U163" si="183">F160/F45</f>
        <v>-8.7612489510070919</v>
      </c>
      <c r="G163" s="190">
        <f t="shared" si="183"/>
        <v>0.37938595746899645</v>
      </c>
      <c r="H163" s="190">
        <f t="shared" si="183"/>
        <v>-8.6074080211703489E-3</v>
      </c>
      <c r="I163" s="190" t="e">
        <f t="shared" si="183"/>
        <v>#REF!</v>
      </c>
      <c r="J163" s="190">
        <f t="shared" si="183"/>
        <v>1.125206768873171E-2</v>
      </c>
      <c r="K163" s="190">
        <f t="shared" si="183"/>
        <v>-0.16078683977559846</v>
      </c>
      <c r="L163" s="190">
        <f t="shared" si="183"/>
        <v>2.538950663891764E-2</v>
      </c>
      <c r="M163" s="190">
        <f t="shared" si="183"/>
        <v>6.2968298853476615E-2</v>
      </c>
      <c r="N163" s="190">
        <f t="shared" si="183"/>
        <v>-6.2233774776106011E-2</v>
      </c>
      <c r="O163" s="190">
        <f t="shared" si="183"/>
        <v>6.3352189231452383E-3</v>
      </c>
      <c r="P163" s="190">
        <f t="shared" si="183"/>
        <v>2.3375843909460087E-2</v>
      </c>
      <c r="Q163" s="190">
        <f t="shared" si="183"/>
        <v>6.620024115612877E-2</v>
      </c>
      <c r="R163" s="190">
        <f t="shared" si="183"/>
        <v>6.8042328899207222E-2</v>
      </c>
      <c r="S163" s="190" t="e">
        <f t="shared" si="183"/>
        <v>#REF!</v>
      </c>
      <c r="T163" s="190" t="e">
        <f t="shared" si="183"/>
        <v>#REF!</v>
      </c>
      <c r="U163" s="190" t="e">
        <f t="shared" si="183"/>
        <v>#REF!</v>
      </c>
      <c r="V163" s="208"/>
      <c r="W163" s="190" t="e">
        <f>W160/W45</f>
        <v>#REF!</v>
      </c>
      <c r="X163" s="208"/>
      <c r="Y163" s="190">
        <f>Y160/Y45</f>
        <v>-6.2233774776106011E-2</v>
      </c>
      <c r="Z163" s="211"/>
    </row>
    <row r="164" spans="4:33" s="206" customFormat="1" ht="15" customHeight="1">
      <c r="D164" s="207" t="s">
        <v>165</v>
      </c>
      <c r="E164" s="252"/>
      <c r="F164" s="190">
        <f t="shared" ref="F164:U164" si="184">F160/F78</f>
        <v>8.3789347928260927E-2</v>
      </c>
      <c r="G164" s="190">
        <f t="shared" si="184"/>
        <v>0.16081383701929206</v>
      </c>
      <c r="H164" s="190">
        <f t="shared" si="184"/>
        <v>-3.1726252558127921E-3</v>
      </c>
      <c r="I164" s="190" t="e">
        <f t="shared" si="184"/>
        <v>#REF!</v>
      </c>
      <c r="J164" s="190">
        <f t="shared" si="184"/>
        <v>1.1575661777163175E-2</v>
      </c>
      <c r="K164" s="190">
        <f t="shared" si="184"/>
        <v>-0.15446279743702149</v>
      </c>
      <c r="L164" s="190">
        <f t="shared" si="184"/>
        <v>3.1977722044528249E-2</v>
      </c>
      <c r="M164" s="190">
        <f t="shared" si="184"/>
        <v>6.9060599583847207E-2</v>
      </c>
      <c r="N164" s="190">
        <f t="shared" si="184"/>
        <v>-6.2766867179212843E-2</v>
      </c>
      <c r="O164" s="190">
        <f t="shared" si="184"/>
        <v>5.9037030475997832E-3</v>
      </c>
      <c r="P164" s="190">
        <f t="shared" si="184"/>
        <v>2.5448600816379643E-2</v>
      </c>
      <c r="Q164" s="190">
        <f t="shared" si="184"/>
        <v>6.74980494786937E-2</v>
      </c>
      <c r="R164" s="190">
        <f t="shared" si="184"/>
        <v>6.7453984541642933E-2</v>
      </c>
      <c r="S164" s="190" t="e">
        <f t="shared" si="184"/>
        <v>#REF!</v>
      </c>
      <c r="T164" s="190" t="e">
        <f t="shared" si="184"/>
        <v>#REF!</v>
      </c>
      <c r="U164" s="190" t="e">
        <f t="shared" si="184"/>
        <v>#REF!</v>
      </c>
      <c r="V164" s="252"/>
      <c r="W164" s="190" t="e">
        <f>W160/W78</f>
        <v>#REF!</v>
      </c>
      <c r="X164" s="252"/>
      <c r="Y164" s="190">
        <f>Y160/Y78</f>
        <v>-6.2766867179212843E-2</v>
      </c>
      <c r="Z164" s="211"/>
    </row>
    <row r="165" spans="4:33" s="173" customFormat="1" ht="15" customHeight="1">
      <c r="D165" s="203"/>
      <c r="E165" s="170"/>
      <c r="V165" s="170"/>
      <c r="X165" s="170"/>
    </row>
    <row r="166" spans="4:33" s="256" customFormat="1" ht="15" customHeight="1">
      <c r="D166" s="231" t="s">
        <v>176</v>
      </c>
      <c r="E166" s="168"/>
      <c r="F166" s="253"/>
      <c r="G166" s="253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253"/>
      <c r="U166" s="253"/>
      <c r="V166" s="168"/>
      <c r="W166" s="253">
        <f>I166</f>
        <v>0</v>
      </c>
      <c r="X166" s="168"/>
      <c r="Y166" s="253">
        <f>N166</f>
        <v>0</v>
      </c>
      <c r="Z166" s="254"/>
      <c r="AA166" s="255"/>
      <c r="AB166" s="255"/>
      <c r="AC166" s="255"/>
      <c r="AD166" s="255"/>
      <c r="AE166" s="255"/>
      <c r="AF166" s="255"/>
      <c r="AG166" s="255"/>
    </row>
    <row r="167" spans="4:33" s="259" customFormat="1" ht="15" customHeight="1">
      <c r="D167" s="226" t="s">
        <v>166</v>
      </c>
      <c r="E167" s="257"/>
      <c r="F167" s="258">
        <f t="shared" ref="F167:T167" si="185">F166</f>
        <v>0</v>
      </c>
      <c r="G167" s="258">
        <f t="shared" si="185"/>
        <v>0</v>
      </c>
      <c r="H167" s="258">
        <f t="shared" si="185"/>
        <v>0</v>
      </c>
      <c r="I167" s="258">
        <f t="shared" si="185"/>
        <v>0</v>
      </c>
      <c r="J167" s="258">
        <f t="shared" si="185"/>
        <v>0</v>
      </c>
      <c r="K167" s="258">
        <f t="shared" si="185"/>
        <v>0</v>
      </c>
      <c r="L167" s="258">
        <f t="shared" si="185"/>
        <v>0</v>
      </c>
      <c r="M167" s="258">
        <f t="shared" si="185"/>
        <v>0</v>
      </c>
      <c r="N167" s="258">
        <f t="shared" si="185"/>
        <v>0</v>
      </c>
      <c r="O167" s="258">
        <f t="shared" si="185"/>
        <v>0</v>
      </c>
      <c r="P167" s="258">
        <f t="shared" si="185"/>
        <v>0</v>
      </c>
      <c r="Q167" s="258">
        <f t="shared" si="185"/>
        <v>0</v>
      </c>
      <c r="R167" s="258">
        <f t="shared" si="185"/>
        <v>0</v>
      </c>
      <c r="S167" s="258">
        <f t="shared" si="185"/>
        <v>0</v>
      </c>
      <c r="T167" s="258">
        <f t="shared" si="185"/>
        <v>0</v>
      </c>
      <c r="U167" s="258">
        <f>U166</f>
        <v>0</v>
      </c>
      <c r="V167" s="257"/>
      <c r="W167" s="258">
        <f>SUM(W166:W166)</f>
        <v>0</v>
      </c>
      <c r="X167" s="257"/>
      <c r="Y167" s="258">
        <f>SUM(Y166:Y166)</f>
        <v>0</v>
      </c>
      <c r="Z167" s="254"/>
      <c r="AA167" s="255"/>
      <c r="AB167" s="255"/>
      <c r="AC167" s="255"/>
      <c r="AD167" s="255"/>
      <c r="AE167" s="255"/>
      <c r="AF167" s="255"/>
      <c r="AG167" s="255"/>
    </row>
    <row r="168" spans="4:33" s="173" customFormat="1" ht="15" customHeight="1">
      <c r="D168" s="203"/>
      <c r="E168" s="170"/>
      <c r="V168" s="170"/>
      <c r="X168" s="170"/>
    </row>
    <row r="169" spans="4:33" s="242" customFormat="1" ht="15" customHeight="1">
      <c r="D169" s="385" t="s">
        <v>167</v>
      </c>
      <c r="E169" s="244"/>
      <c r="F169" s="247">
        <f t="shared" ref="F169:U169" si="186">F143+F136</f>
        <v>14286627.409999996</v>
      </c>
      <c r="G169" s="247">
        <f t="shared" si="186"/>
        <v>41789707.359999992</v>
      </c>
      <c r="H169" s="247">
        <f t="shared" si="186"/>
        <v>296183.08000008762</v>
      </c>
      <c r="I169" s="247" t="e">
        <f t="shared" si="186"/>
        <v>#REF!</v>
      </c>
      <c r="J169" s="247">
        <f>J143+J136</f>
        <v>3737545.7300000042</v>
      </c>
      <c r="K169" s="247">
        <f>K143+K136</f>
        <v>-64635312.120000005</v>
      </c>
      <c r="L169" s="247">
        <f t="shared" si="186"/>
        <v>12702729.769999996</v>
      </c>
      <c r="M169" s="247">
        <f t="shared" si="186"/>
        <v>31561234.219999999</v>
      </c>
      <c r="N169" s="247">
        <f t="shared" si="186"/>
        <v>-27751942.020000037</v>
      </c>
      <c r="O169" s="247">
        <f>O143+O136</f>
        <v>-2365780.9399996526</v>
      </c>
      <c r="P169" s="247">
        <f>P143+P136</f>
        <v>12406132.88999966</v>
      </c>
      <c r="Q169" s="247">
        <f t="shared" si="186"/>
        <v>33117021.960000042</v>
      </c>
      <c r="R169" s="247">
        <f t="shared" si="186"/>
        <v>37591335.869999938</v>
      </c>
      <c r="S169" s="247" t="e">
        <f t="shared" si="186"/>
        <v>#REF!</v>
      </c>
      <c r="T169" s="247" t="e">
        <f>T143+T136</f>
        <v>#REF!</v>
      </c>
      <c r="U169" s="247" t="e">
        <f t="shared" si="186"/>
        <v>#REF!</v>
      </c>
      <c r="V169" s="244"/>
      <c r="W169" s="247" t="e">
        <f>W143+W136</f>
        <v>#REF!</v>
      </c>
      <c r="X169" s="244"/>
      <c r="Y169" s="247">
        <f>Y143+Y136</f>
        <v>-27751942.020000037</v>
      </c>
      <c r="Z169" s="246"/>
    </row>
    <row r="170" spans="4:33" s="242" customFormat="1" ht="15" customHeight="1">
      <c r="D170" s="385"/>
      <c r="E170" s="244"/>
      <c r="F170" s="245">
        <f t="shared" ref="F170:U170" si="187">F169/F$91</f>
        <v>9.7946815836649131E-2</v>
      </c>
      <c r="G170" s="245">
        <f t="shared" si="187"/>
        <v>0.17824509923738496</v>
      </c>
      <c r="H170" s="245">
        <f t="shared" si="187"/>
        <v>1.1386528597018689E-3</v>
      </c>
      <c r="I170" s="245" t="e">
        <f t="shared" si="187"/>
        <v>#REF!</v>
      </c>
      <c r="J170" s="245">
        <f t="shared" si="187"/>
        <v>2.9119939124606392E-2</v>
      </c>
      <c r="K170" s="245">
        <f t="shared" si="187"/>
        <v>-1.3912414764673939</v>
      </c>
      <c r="L170" s="245">
        <f t="shared" si="187"/>
        <v>4.0358224366960085E-2</v>
      </c>
      <c r="M170" s="245">
        <f t="shared" si="187"/>
        <v>0.17932583328009924</v>
      </c>
      <c r="N170" s="245">
        <f t="shared" si="187"/>
        <v>-0.14205741385841988</v>
      </c>
      <c r="O170" s="245">
        <f t="shared" si="187"/>
        <v>-9.2921389987764575E-3</v>
      </c>
      <c r="P170" s="245">
        <f t="shared" si="187"/>
        <v>4.7607993129877381E-2</v>
      </c>
      <c r="Q170" s="245">
        <f t="shared" si="187"/>
        <v>9.0430540591403555E-2</v>
      </c>
      <c r="R170" s="245">
        <f t="shared" si="187"/>
        <v>0.1326019277158853</v>
      </c>
      <c r="S170" s="245" t="e">
        <f>S169/S$91</f>
        <v>#REF!</v>
      </c>
      <c r="T170" s="245" t="e">
        <f t="shared" si="187"/>
        <v>#REF!</v>
      </c>
      <c r="U170" s="245" t="e">
        <f t="shared" si="187"/>
        <v>#REF!</v>
      </c>
      <c r="V170" s="244"/>
      <c r="W170" s="245" t="e">
        <f t="shared" ref="W170" si="188">W169/W$91</f>
        <v>#REF!</v>
      </c>
      <c r="X170" s="244"/>
      <c r="Y170" s="245">
        <f t="shared" ref="Y170" si="189">Y169/Y$91</f>
        <v>-0.14205741385841988</v>
      </c>
      <c r="Z170" s="246"/>
    </row>
    <row r="171" spans="4:33" s="242" customFormat="1" ht="15" customHeight="1">
      <c r="D171" s="385" t="s">
        <v>168</v>
      </c>
      <c r="E171" s="244"/>
      <c r="F171" s="247">
        <f t="shared" ref="F171:U171" si="190">(F169/F$1)*12</f>
        <v>171439528.91999996</v>
      </c>
      <c r="G171" s="247">
        <f t="shared" si="190"/>
        <v>250738244.15999997</v>
      </c>
      <c r="H171" s="247">
        <f t="shared" si="190"/>
        <v>1184732.3200003505</v>
      </c>
      <c r="I171" s="247" t="e">
        <f t="shared" si="190"/>
        <v>#REF!</v>
      </c>
      <c r="J171" s="247">
        <f t="shared" si="190"/>
        <v>44850548.76000005</v>
      </c>
      <c r="K171" s="247">
        <f t="shared" si="190"/>
        <v>-387811872.72000003</v>
      </c>
      <c r="L171" s="247">
        <f t="shared" si="190"/>
        <v>50810919.079999983</v>
      </c>
      <c r="M171" s="247">
        <f t="shared" si="190"/>
        <v>94683702.659999996</v>
      </c>
      <c r="N171" s="247">
        <f t="shared" si="190"/>
        <v>-66604660.848000094</v>
      </c>
      <c r="O171" s="247">
        <f>(O169/O$1)*12</f>
        <v>-4731561.8799993051</v>
      </c>
      <c r="P171" s="247">
        <f t="shared" si="190"/>
        <v>21267656.382856559</v>
      </c>
      <c r="Q171" s="247">
        <f t="shared" si="190"/>
        <v>49675532.940000065</v>
      </c>
      <c r="R171" s="247">
        <f t="shared" si="190"/>
        <v>50121781.159999914</v>
      </c>
      <c r="S171" s="247" t="e">
        <f t="shared" si="190"/>
        <v>#REF!</v>
      </c>
      <c r="T171" s="247" t="e">
        <f t="shared" si="190"/>
        <v>#REF!</v>
      </c>
      <c r="U171" s="247" t="e">
        <f t="shared" si="190"/>
        <v>#REF!</v>
      </c>
      <c r="V171" s="244"/>
      <c r="W171" s="247" t="e">
        <f t="shared" ref="W171" si="191">(W169/W$1)*12</f>
        <v>#REF!</v>
      </c>
      <c r="X171" s="244"/>
      <c r="Y171" s="247">
        <f t="shared" ref="Y171" si="192">(Y169/Y$1)*12</f>
        <v>-66604660.848000094</v>
      </c>
      <c r="Z171" s="246"/>
    </row>
    <row r="172" spans="4:33" s="242" customFormat="1" ht="15" customHeight="1">
      <c r="D172" s="385"/>
      <c r="E172" s="260">
        <v>6</v>
      </c>
      <c r="F172" s="245">
        <f t="shared" ref="F172:I172" si="193">F171/(F$91*12)</f>
        <v>9.7946815836649131E-2</v>
      </c>
      <c r="G172" s="245">
        <f t="shared" si="193"/>
        <v>8.9122549618692495E-2</v>
      </c>
      <c r="H172" s="245">
        <f t="shared" si="193"/>
        <v>3.7955095323395627E-4</v>
      </c>
      <c r="I172" s="245" t="e">
        <f t="shared" si="193"/>
        <v>#REF!</v>
      </c>
      <c r="J172" s="245">
        <f>J171/(J$91*12)</f>
        <v>2.9119939124606392E-2</v>
      </c>
      <c r="K172" s="245">
        <f t="shared" ref="K172:U172" si="194">K171/(K$91*12)</f>
        <v>-0.69562073823369697</v>
      </c>
      <c r="L172" s="245">
        <f t="shared" si="194"/>
        <v>1.3452741455653361E-2</v>
      </c>
      <c r="M172" s="245">
        <f t="shared" si="194"/>
        <v>4.483145832002481E-2</v>
      </c>
      <c r="N172" s="245">
        <f t="shared" si="194"/>
        <v>-2.8411482771683979E-2</v>
      </c>
      <c r="O172" s="245">
        <f t="shared" si="194"/>
        <v>-1.5486898331294094E-3</v>
      </c>
      <c r="P172" s="245">
        <f t="shared" si="194"/>
        <v>6.8011418756967687E-3</v>
      </c>
      <c r="Q172" s="245">
        <f t="shared" si="194"/>
        <v>1.1303817573925444E-2</v>
      </c>
      <c r="R172" s="245">
        <f t="shared" si="194"/>
        <v>1.4733547523987254E-2</v>
      </c>
      <c r="S172" s="245" t="e">
        <f t="shared" si="194"/>
        <v>#REF!</v>
      </c>
      <c r="T172" s="245" t="e">
        <f t="shared" si="194"/>
        <v>#REF!</v>
      </c>
      <c r="U172" s="245" t="e">
        <f t="shared" si="194"/>
        <v>#REF!</v>
      </c>
      <c r="V172" s="244"/>
      <c r="W172" s="245" t="e">
        <f t="shared" ref="W172" si="195">W171/(W$91*12)</f>
        <v>#REF!</v>
      </c>
      <c r="X172" s="244"/>
      <c r="Y172" s="245">
        <f t="shared" ref="Y172" si="196">Y171/(Y$91*12)</f>
        <v>-2.8411482771683979E-2</v>
      </c>
      <c r="Z172" s="246"/>
    </row>
    <row r="173" spans="4:33" s="242" customFormat="1" ht="15" customHeight="1">
      <c r="D173" s="243" t="s">
        <v>169</v>
      </c>
      <c r="E173" s="244"/>
      <c r="F173" s="247">
        <f>$E172*F171</f>
        <v>1028637173.5199997</v>
      </c>
      <c r="G173" s="247">
        <f t="shared" ref="G173:U173" si="197">$E172*G171</f>
        <v>1504429464.9599998</v>
      </c>
      <c r="H173" s="247">
        <f t="shared" si="197"/>
        <v>7108393.9200021029</v>
      </c>
      <c r="I173" s="247" t="e">
        <f t="shared" si="197"/>
        <v>#REF!</v>
      </c>
      <c r="J173" s="247">
        <f t="shared" si="197"/>
        <v>269103292.5600003</v>
      </c>
      <c r="K173" s="247">
        <f t="shared" si="197"/>
        <v>-2326871236.3200002</v>
      </c>
      <c r="L173" s="247">
        <f t="shared" si="197"/>
        <v>304865514.4799999</v>
      </c>
      <c r="M173" s="247">
        <f t="shared" si="197"/>
        <v>568102215.96000004</v>
      </c>
      <c r="N173" s="247">
        <f t="shared" si="197"/>
        <v>-399627965.08800054</v>
      </c>
      <c r="O173" s="247">
        <f t="shared" si="197"/>
        <v>-28389371.279995829</v>
      </c>
      <c r="P173" s="247">
        <f>$E172*P171</f>
        <v>127605938.29713935</v>
      </c>
      <c r="Q173" s="247">
        <f>$E172*Q171</f>
        <v>298053197.6400004</v>
      </c>
      <c r="R173" s="247">
        <f t="shared" si="197"/>
        <v>300730686.9599995</v>
      </c>
      <c r="S173" s="247" t="e">
        <f t="shared" si="197"/>
        <v>#REF!</v>
      </c>
      <c r="T173" s="247" t="e">
        <f t="shared" si="197"/>
        <v>#REF!</v>
      </c>
      <c r="U173" s="247" t="e">
        <f t="shared" si="197"/>
        <v>#REF!</v>
      </c>
      <c r="V173" s="244"/>
      <c r="W173" s="247" t="e">
        <f t="shared" ref="W173" si="198">$E172*W171</f>
        <v>#REF!</v>
      </c>
      <c r="X173" s="244"/>
      <c r="Y173" s="247">
        <f t="shared" ref="Y173" si="199">$E172*Y171</f>
        <v>-399627965.08800054</v>
      </c>
      <c r="Z173" s="246"/>
    </row>
    <row r="174" spans="4:33" s="242" customFormat="1" ht="15" customHeight="1">
      <c r="D174" s="243" t="s">
        <v>170</v>
      </c>
      <c r="E174" s="244"/>
      <c r="F174" s="245">
        <f>F171/F$78</f>
        <v>1.0484474598815865</v>
      </c>
      <c r="G174" s="245">
        <f t="shared" ref="G174:U174" si="200">G171/G$78</f>
        <v>0.98462823770182883</v>
      </c>
      <c r="H174" s="245">
        <f t="shared" si="200"/>
        <v>4.6671054667708723E-3</v>
      </c>
      <c r="I174" s="245" t="e">
        <f t="shared" si="200"/>
        <v>#REF!</v>
      </c>
      <c r="J174" s="245">
        <f t="shared" si="200"/>
        <v>9.1711555939087558E-2</v>
      </c>
      <c r="K174" s="245">
        <f t="shared" si="200"/>
        <v>-0.91549788111321417</v>
      </c>
      <c r="L174" s="245">
        <f t="shared" si="200"/>
        <v>0.1161091223838555</v>
      </c>
      <c r="M174" s="245">
        <f t="shared" si="200"/>
        <v>0.20142707484436179</v>
      </c>
      <c r="N174" s="245">
        <f t="shared" si="200"/>
        <v>-0.15058622303183278</v>
      </c>
      <c r="O174" s="245">
        <f t="shared" si="200"/>
        <v>-1.0634414884623701E-2</v>
      </c>
      <c r="P174" s="245">
        <f>P171/P$78</f>
        <v>4.6583644156911352E-2</v>
      </c>
      <c r="Q174" s="245">
        <f t="shared" si="200"/>
        <v>0.10146262843745692</v>
      </c>
      <c r="R174" s="245">
        <f t="shared" si="200"/>
        <v>9.5468553065916548E-2</v>
      </c>
      <c r="S174" s="245" t="e">
        <f t="shared" si="200"/>
        <v>#REF!</v>
      </c>
      <c r="T174" s="245" t="e">
        <f t="shared" si="200"/>
        <v>#REF!</v>
      </c>
      <c r="U174" s="245" t="e">
        <f t="shared" si="200"/>
        <v>#REF!</v>
      </c>
      <c r="V174" s="244"/>
      <c r="W174" s="245" t="e">
        <f t="shared" ref="W174" si="201">W171/W$78</f>
        <v>#REF!</v>
      </c>
      <c r="X174" s="244"/>
      <c r="Y174" s="245">
        <f t="shared" ref="Y174" si="202">Y171/Y$78</f>
        <v>-0.15058622303183278</v>
      </c>
      <c r="Z174" s="246"/>
    </row>
    <row r="175" spans="4:33" s="173" customFormat="1" ht="15" customHeight="1">
      <c r="D175" s="203"/>
      <c r="E175" s="170"/>
      <c r="V175" s="170"/>
      <c r="X175" s="170"/>
    </row>
    <row r="176" spans="4:33" ht="15" customHeight="1">
      <c r="D176" s="174" t="s">
        <v>180</v>
      </c>
      <c r="F176" s="383" t="str">
        <f>F5</f>
        <v>B A L A N C E   G E N E R A L   A Ñ O   2 0 1 3</v>
      </c>
      <c r="G176" s="383"/>
      <c r="H176" s="383"/>
      <c r="I176" s="383"/>
      <c r="J176" s="384" t="str">
        <f>J5</f>
        <v>B A L A N C E   G E N E R A L   A Ñ O   2 0 1 5</v>
      </c>
      <c r="K176" s="384"/>
      <c r="L176" s="384"/>
      <c r="M176" s="384"/>
      <c r="N176" s="384"/>
      <c r="O176" s="384"/>
      <c r="P176" s="384" t="str">
        <f>J176</f>
        <v>B A L A N C E   G E N E R A L   A Ñ O   2 0 1 5</v>
      </c>
      <c r="Q176" s="384"/>
      <c r="R176" s="384"/>
      <c r="S176" s="384"/>
      <c r="T176" s="384"/>
      <c r="U176" s="384"/>
      <c r="W176" s="175" t="str">
        <f t="shared" ref="W176:Y176" si="203">W$5</f>
        <v>2 0 1 3</v>
      </c>
      <c r="Y176" s="176" t="str">
        <f t="shared" si="203"/>
        <v>2 0 1 4</v>
      </c>
    </row>
    <row r="177" spans="4:29" ht="15" customHeight="1">
      <c r="D177" s="174" t="s">
        <v>51</v>
      </c>
      <c r="F177" s="177">
        <f t="shared" ref="F177:U177" si="204">F$6</f>
        <v>41518</v>
      </c>
      <c r="G177" s="177">
        <f t="shared" si="204"/>
        <v>41548</v>
      </c>
      <c r="H177" s="177">
        <f t="shared" si="204"/>
        <v>41579</v>
      </c>
      <c r="I177" s="177">
        <f t="shared" si="204"/>
        <v>41609</v>
      </c>
      <c r="J177" s="178">
        <f>J$6</f>
        <v>42005</v>
      </c>
      <c r="K177" s="178">
        <f t="shared" si="204"/>
        <v>42036</v>
      </c>
      <c r="L177" s="178">
        <f t="shared" si="204"/>
        <v>42064</v>
      </c>
      <c r="M177" s="178">
        <f t="shared" si="204"/>
        <v>42095</v>
      </c>
      <c r="N177" s="178">
        <f t="shared" si="204"/>
        <v>42125</v>
      </c>
      <c r="O177" s="178">
        <f t="shared" si="204"/>
        <v>42156</v>
      </c>
      <c r="P177" s="178">
        <f t="shared" si="204"/>
        <v>42186</v>
      </c>
      <c r="Q177" s="178">
        <f t="shared" si="204"/>
        <v>42217</v>
      </c>
      <c r="R177" s="178">
        <f t="shared" si="204"/>
        <v>42248</v>
      </c>
      <c r="S177" s="178">
        <f t="shared" si="204"/>
        <v>42278</v>
      </c>
      <c r="T177" s="178">
        <f t="shared" si="204"/>
        <v>42309</v>
      </c>
      <c r="U177" s="178">
        <f t="shared" si="204"/>
        <v>42339</v>
      </c>
      <c r="W177" s="177">
        <f t="shared" ref="W177:Y177" si="205">W$6</f>
        <v>41639</v>
      </c>
      <c r="Y177" s="178">
        <f t="shared" si="205"/>
        <v>41639</v>
      </c>
    </row>
    <row r="178" spans="4:29" s="166" customFormat="1" ht="15" customHeight="1">
      <c r="D178" s="261" t="s">
        <v>171</v>
      </c>
      <c r="E178" s="168"/>
      <c r="F178" s="205"/>
      <c r="G178" s="205"/>
      <c r="H178" s="205"/>
      <c r="I178" s="262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62"/>
      <c r="V178" s="168"/>
      <c r="W178" s="205"/>
      <c r="X178" s="168"/>
      <c r="Y178" s="205"/>
    </row>
    <row r="179" spans="4:29" ht="15" customHeight="1">
      <c r="D179" s="263" t="str">
        <f>D16</f>
        <v>SUB TOTAL ACTIVO CORRIENTE</v>
      </c>
      <c r="F179" s="184">
        <f t="shared" ref="F179:U179" si="206">F16</f>
        <v>169848485.46000001</v>
      </c>
      <c r="G179" s="184">
        <f t="shared" si="206"/>
        <v>336812146.38</v>
      </c>
      <c r="H179" s="184">
        <f t="shared" si="206"/>
        <v>353047113.01999998</v>
      </c>
      <c r="I179" s="184" t="e">
        <f t="shared" si="206"/>
        <v>#REF!</v>
      </c>
      <c r="J179" s="184">
        <f t="shared" si="206"/>
        <v>588208071.52999997</v>
      </c>
      <c r="K179" s="184">
        <f t="shared" si="206"/>
        <v>452337005.63</v>
      </c>
      <c r="L179" s="184">
        <f t="shared" si="206"/>
        <v>694978255.63000011</v>
      </c>
      <c r="M179" s="184">
        <f t="shared" si="206"/>
        <v>688413598.26999998</v>
      </c>
      <c r="N179" s="184">
        <f t="shared" si="206"/>
        <v>637886515.25999999</v>
      </c>
      <c r="O179" s="184">
        <f t="shared" si="206"/>
        <v>742266845.87</v>
      </c>
      <c r="P179" s="184">
        <f>P16</f>
        <v>673260764.20000005</v>
      </c>
      <c r="Q179" s="184">
        <f t="shared" si="206"/>
        <v>886158683.7299999</v>
      </c>
      <c r="R179" s="184">
        <f t="shared" si="206"/>
        <v>778947040</v>
      </c>
      <c r="S179" s="184" t="e">
        <f t="shared" si="206"/>
        <v>#REF!</v>
      </c>
      <c r="T179" s="184" t="e">
        <f t="shared" si="206"/>
        <v>#REF!</v>
      </c>
      <c r="U179" s="184" t="e">
        <f t="shared" si="206"/>
        <v>#REF!</v>
      </c>
      <c r="W179" s="184" t="e">
        <f>W16</f>
        <v>#REF!</v>
      </c>
      <c r="Y179" s="184">
        <f>Y16</f>
        <v>637886515.25999999</v>
      </c>
    </row>
    <row r="180" spans="4:29" s="267" customFormat="1" ht="15" customHeight="1">
      <c r="D180" s="264" t="str">
        <f>D21</f>
        <v>TOTAL ACTIVO CORRIENTE</v>
      </c>
      <c r="E180" s="265"/>
      <c r="F180" s="193">
        <f t="shared" ref="F180:U180" si="207">F21</f>
        <v>257444579.60000002</v>
      </c>
      <c r="G180" s="193">
        <f t="shared" si="207"/>
        <v>517696690.19</v>
      </c>
      <c r="H180" s="193">
        <f t="shared" si="207"/>
        <v>478436013.75999999</v>
      </c>
      <c r="I180" s="193" t="e">
        <f t="shared" si="207"/>
        <v>#REF!</v>
      </c>
      <c r="J180" s="193">
        <f t="shared" si="207"/>
        <v>693991986.94999993</v>
      </c>
      <c r="K180" s="193">
        <f t="shared" si="207"/>
        <v>557085468.92999995</v>
      </c>
      <c r="L180" s="193">
        <f t="shared" si="207"/>
        <v>821406334.88000011</v>
      </c>
      <c r="M180" s="193">
        <f t="shared" si="207"/>
        <v>813460299.61000001</v>
      </c>
      <c r="N180" s="193">
        <f t="shared" si="207"/>
        <v>760938875.39999998</v>
      </c>
      <c r="O180" s="193">
        <f t="shared" si="207"/>
        <v>868632992.74000001</v>
      </c>
      <c r="P180" s="193">
        <f t="shared" si="207"/>
        <v>784334835.20000005</v>
      </c>
      <c r="Q180" s="193">
        <f t="shared" si="207"/>
        <v>991066920.00999987</v>
      </c>
      <c r="R180" s="193">
        <f t="shared" si="207"/>
        <v>879628819</v>
      </c>
      <c r="S180" s="193" t="e">
        <f t="shared" si="207"/>
        <v>#REF!</v>
      </c>
      <c r="T180" s="193" t="e">
        <f t="shared" si="207"/>
        <v>#REF!</v>
      </c>
      <c r="U180" s="193" t="e">
        <f t="shared" si="207"/>
        <v>#REF!</v>
      </c>
      <c r="V180" s="265"/>
      <c r="W180" s="193" t="e">
        <f>W21</f>
        <v>#REF!</v>
      </c>
      <c r="X180" s="265"/>
      <c r="Y180" s="193">
        <f>Y21</f>
        <v>760938875.39999998</v>
      </c>
      <c r="Z180" s="266"/>
    </row>
    <row r="181" spans="4:29" ht="15" customHeight="1">
      <c r="D181" s="263" t="str">
        <f>D31</f>
        <v>SUB TOTAL ACTIVOS FIJOS</v>
      </c>
      <c r="F181" s="184">
        <f t="shared" ref="F181:U181" si="208">F31</f>
        <v>10598400.560000001</v>
      </c>
      <c r="G181" s="184">
        <f t="shared" si="208"/>
        <v>14455175.119999999</v>
      </c>
      <c r="H181" s="184">
        <f t="shared" si="208"/>
        <v>14170749.68</v>
      </c>
      <c r="I181" s="184" t="e">
        <f t="shared" si="208"/>
        <v>#REF!</v>
      </c>
      <c r="J181" s="184">
        <f t="shared" si="208"/>
        <v>52366461.619999997</v>
      </c>
      <c r="K181" s="184">
        <f t="shared" si="208"/>
        <v>53074061.619999997</v>
      </c>
      <c r="L181" s="184">
        <f t="shared" si="208"/>
        <v>54382736.620000005</v>
      </c>
      <c r="M181" s="184">
        <f t="shared" si="208"/>
        <v>54808224.240000002</v>
      </c>
      <c r="N181" s="184">
        <f t="shared" si="208"/>
        <v>69543923.239999995</v>
      </c>
      <c r="O181" s="184">
        <f t="shared" si="208"/>
        <v>85109714.239999995</v>
      </c>
      <c r="P181" s="184">
        <f t="shared" si="208"/>
        <v>84924034.239999995</v>
      </c>
      <c r="Q181" s="184">
        <f t="shared" si="208"/>
        <v>85170434.239999995</v>
      </c>
      <c r="R181" s="184">
        <f t="shared" si="208"/>
        <v>85114755</v>
      </c>
      <c r="S181" s="184" t="e">
        <f t="shared" si="208"/>
        <v>#REF!</v>
      </c>
      <c r="T181" s="184" t="e">
        <f t="shared" si="208"/>
        <v>#REF!</v>
      </c>
      <c r="U181" s="184" t="e">
        <f t="shared" si="208"/>
        <v>#REF!</v>
      </c>
      <c r="W181" s="184" t="e">
        <f>W31</f>
        <v>#REF!</v>
      </c>
      <c r="Y181" s="184">
        <f>Y31</f>
        <v>69543923.239999995</v>
      </c>
    </row>
    <row r="182" spans="4:29" s="267" customFormat="1" ht="15" customHeight="1">
      <c r="D182" s="268" t="str">
        <f>D33</f>
        <v>TOTAL ACTIVOS FIJOS</v>
      </c>
      <c r="E182" s="265"/>
      <c r="F182" s="193">
        <f t="shared" ref="F182:U182" si="209">F33</f>
        <v>10598400.560000001</v>
      </c>
      <c r="G182" s="193">
        <f t="shared" si="209"/>
        <v>14455175.119999999</v>
      </c>
      <c r="H182" s="193">
        <f t="shared" si="209"/>
        <v>14170749.68</v>
      </c>
      <c r="I182" s="193" t="e">
        <f t="shared" si="209"/>
        <v>#REF!</v>
      </c>
      <c r="J182" s="193">
        <f t="shared" si="209"/>
        <v>28465450.099999998</v>
      </c>
      <c r="K182" s="193">
        <f t="shared" si="209"/>
        <v>28615504.099999998</v>
      </c>
      <c r="L182" s="193">
        <f t="shared" si="209"/>
        <v>29295875.100000005</v>
      </c>
      <c r="M182" s="193">
        <f t="shared" si="209"/>
        <v>29797101.720000003</v>
      </c>
      <c r="N182" s="193">
        <f t="shared" si="209"/>
        <v>44075681.529999994</v>
      </c>
      <c r="O182" s="193">
        <f t="shared" si="209"/>
        <v>59184353.339999996</v>
      </c>
      <c r="P182" s="193">
        <f t="shared" si="209"/>
        <v>58300334.239999995</v>
      </c>
      <c r="Q182" s="193">
        <f t="shared" si="209"/>
        <v>57847756.239999995</v>
      </c>
      <c r="R182" s="193">
        <f t="shared" si="209"/>
        <v>56992405</v>
      </c>
      <c r="S182" s="193" t="e">
        <f t="shared" si="209"/>
        <v>#REF!</v>
      </c>
      <c r="T182" s="193" t="e">
        <f t="shared" si="209"/>
        <v>#REF!</v>
      </c>
      <c r="U182" s="193" t="e">
        <f t="shared" si="209"/>
        <v>#REF!</v>
      </c>
      <c r="V182" s="265"/>
      <c r="W182" s="193" t="e">
        <f>W33</f>
        <v>#REF!</v>
      </c>
      <c r="X182" s="265"/>
      <c r="Y182" s="193">
        <f>Y33</f>
        <v>44075681.529999994</v>
      </c>
      <c r="Z182" s="266"/>
      <c r="AB182" s="373"/>
      <c r="AC182" s="373"/>
    </row>
    <row r="183" spans="4:29" s="267" customFormat="1" ht="15" customHeight="1">
      <c r="D183" s="264" t="str">
        <f>D41</f>
        <v>TOTAL ACTIVO DIFERIDO</v>
      </c>
      <c r="E183" s="265"/>
      <c r="F183" s="193">
        <f t="shared" ref="F183:U183" si="210">F41</f>
        <v>156400725</v>
      </c>
      <c r="G183" s="193">
        <f t="shared" si="210"/>
        <v>152236605</v>
      </c>
      <c r="H183" s="193">
        <f t="shared" si="210"/>
        <v>149338993</v>
      </c>
      <c r="I183" s="193" t="e">
        <f t="shared" si="210"/>
        <v>#REF!</v>
      </c>
      <c r="J183" s="193">
        <f t="shared" si="210"/>
        <v>0</v>
      </c>
      <c r="K183" s="193">
        <f t="shared" si="210"/>
        <v>0</v>
      </c>
      <c r="L183" s="193">
        <f t="shared" si="210"/>
        <v>0</v>
      </c>
      <c r="M183" s="193">
        <f t="shared" si="210"/>
        <v>0</v>
      </c>
      <c r="N183" s="193">
        <f t="shared" si="210"/>
        <v>0</v>
      </c>
      <c r="O183" s="193">
        <f t="shared" si="210"/>
        <v>0</v>
      </c>
      <c r="P183" s="193">
        <f t="shared" si="210"/>
        <v>0</v>
      </c>
      <c r="Q183" s="193">
        <f t="shared" si="210"/>
        <v>0</v>
      </c>
      <c r="R183" s="193">
        <f t="shared" si="210"/>
        <v>0</v>
      </c>
      <c r="S183" s="193" t="e">
        <f t="shared" si="210"/>
        <v>#REF!</v>
      </c>
      <c r="T183" s="193" t="e">
        <f t="shared" si="210"/>
        <v>#REF!</v>
      </c>
      <c r="U183" s="193" t="e">
        <f t="shared" si="210"/>
        <v>#REF!</v>
      </c>
      <c r="V183" s="265"/>
      <c r="W183" s="193" t="e">
        <f>W41</f>
        <v>#REF!</v>
      </c>
      <c r="X183" s="265"/>
      <c r="Y183" s="193">
        <f>Y41</f>
        <v>0</v>
      </c>
      <c r="Z183" s="266"/>
    </row>
    <row r="184" spans="4:29" s="267" customFormat="1" ht="15" customHeight="1">
      <c r="D184" s="264" t="str">
        <f>D44</f>
        <v>T O T A L   A C T I V O</v>
      </c>
      <c r="E184" s="265"/>
      <c r="F184" s="193">
        <f t="shared" ref="F184:U184" si="211">F44</f>
        <v>424443705.16000003</v>
      </c>
      <c r="G184" s="193">
        <f t="shared" si="211"/>
        <v>684388470.30999994</v>
      </c>
      <c r="H184" s="193">
        <f t="shared" si="211"/>
        <v>641945756.44000006</v>
      </c>
      <c r="I184" s="193" t="e">
        <f t="shared" si="211"/>
        <v>#REF!</v>
      </c>
      <c r="J184" s="193">
        <f t="shared" si="211"/>
        <v>722457437.04999995</v>
      </c>
      <c r="K184" s="193">
        <f t="shared" si="211"/>
        <v>585700973.02999997</v>
      </c>
      <c r="L184" s="193">
        <f t="shared" si="211"/>
        <v>850702209.98000014</v>
      </c>
      <c r="M184" s="193">
        <f t="shared" si="211"/>
        <v>843257401.33000004</v>
      </c>
      <c r="N184" s="193">
        <f t="shared" si="211"/>
        <v>805014556.92999995</v>
      </c>
      <c r="O184" s="193">
        <f t="shared" si="211"/>
        <v>927817346.08000004</v>
      </c>
      <c r="P184" s="193">
        <f t="shared" si="211"/>
        <v>842635169.44000006</v>
      </c>
      <c r="Q184" s="193">
        <f t="shared" si="211"/>
        <v>1048914676.2499999</v>
      </c>
      <c r="R184" s="193">
        <f t="shared" si="211"/>
        <v>936621224</v>
      </c>
      <c r="S184" s="193" t="e">
        <f t="shared" si="211"/>
        <v>#REF!</v>
      </c>
      <c r="T184" s="193" t="e">
        <f t="shared" si="211"/>
        <v>#REF!</v>
      </c>
      <c r="U184" s="193" t="e">
        <f t="shared" si="211"/>
        <v>#REF!</v>
      </c>
      <c r="V184" s="265"/>
      <c r="W184" s="193" t="e">
        <f>W44</f>
        <v>#REF!</v>
      </c>
      <c r="X184" s="265"/>
      <c r="Y184" s="193">
        <f>Y44</f>
        <v>805014556.92999995</v>
      </c>
      <c r="Z184" s="266"/>
    </row>
    <row r="185" spans="4:29" s="173" customFormat="1" ht="15" customHeight="1">
      <c r="D185" s="203"/>
      <c r="E185" s="170"/>
      <c r="V185" s="170"/>
      <c r="X185" s="170"/>
    </row>
    <row r="186" spans="4:29" s="173" customFormat="1" ht="15" customHeight="1">
      <c r="D186" s="261" t="s">
        <v>172</v>
      </c>
      <c r="E186" s="170"/>
      <c r="V186" s="170"/>
      <c r="X186" s="170"/>
    </row>
    <row r="187" spans="4:29" ht="15" customHeight="1">
      <c r="D187" s="263" t="str">
        <f>D60</f>
        <v>PASIVO CORRIENTE</v>
      </c>
      <c r="F187" s="184">
        <f t="shared" ref="F187:U187" si="212">F60</f>
        <v>259008400.75</v>
      </c>
      <c r="G187" s="184">
        <f t="shared" si="212"/>
        <v>409754691.30000001</v>
      </c>
      <c r="H187" s="184">
        <f t="shared" si="212"/>
        <v>384869810.31999999</v>
      </c>
      <c r="I187" s="184" t="e">
        <f t="shared" si="212"/>
        <v>#REF!</v>
      </c>
      <c r="J187" s="184">
        <f t="shared" si="212"/>
        <v>190888656.38</v>
      </c>
      <c r="K187" s="184">
        <f t="shared" si="212"/>
        <v>150139122.38</v>
      </c>
      <c r="L187" s="184">
        <f t="shared" si="212"/>
        <v>270238367.38</v>
      </c>
      <c r="M187" s="184">
        <f t="shared" si="212"/>
        <v>297916259.01999998</v>
      </c>
      <c r="N187" s="184">
        <f t="shared" si="212"/>
        <v>314847641.01999998</v>
      </c>
      <c r="O187" s="184">
        <f t="shared" si="212"/>
        <v>454009599</v>
      </c>
      <c r="P187" s="184">
        <f t="shared" si="212"/>
        <v>287304625.50999999</v>
      </c>
      <c r="Q187" s="184">
        <f t="shared" si="212"/>
        <v>491874390</v>
      </c>
      <c r="R187" s="184">
        <f t="shared" si="212"/>
        <v>359160146</v>
      </c>
      <c r="S187" s="184" t="e">
        <f t="shared" si="212"/>
        <v>#REF!</v>
      </c>
      <c r="T187" s="184" t="e">
        <f t="shared" si="212"/>
        <v>#REF!</v>
      </c>
      <c r="U187" s="184" t="e">
        <f t="shared" si="212"/>
        <v>#REF!</v>
      </c>
      <c r="W187" s="184" t="e">
        <f>W60</f>
        <v>#REF!</v>
      </c>
      <c r="Y187" s="184">
        <f>Y60</f>
        <v>314847641.01999998</v>
      </c>
    </row>
    <row r="188" spans="4:29" ht="15" customHeight="1">
      <c r="D188" s="263" t="str">
        <f>D64</f>
        <v>PASIVO A LARGO PLAZO</v>
      </c>
      <c r="F188" s="184">
        <f t="shared" ref="F188:U188" si="213">F64</f>
        <v>1917784</v>
      </c>
      <c r="G188" s="184">
        <f t="shared" si="213"/>
        <v>19981074</v>
      </c>
      <c r="H188" s="184">
        <f t="shared" si="213"/>
        <v>3228603</v>
      </c>
      <c r="I188" s="184" t="e">
        <f t="shared" si="213"/>
        <v>#REF!</v>
      </c>
      <c r="J188" s="184">
        <f t="shared" si="213"/>
        <v>42529550</v>
      </c>
      <c r="K188" s="184">
        <f t="shared" si="213"/>
        <v>11954238</v>
      </c>
      <c r="L188" s="184">
        <f t="shared" si="213"/>
        <v>142850345.80000001</v>
      </c>
      <c r="M188" s="184">
        <f t="shared" si="213"/>
        <v>75276714.799999997</v>
      </c>
      <c r="N188" s="184">
        <f t="shared" si="213"/>
        <v>47864430</v>
      </c>
      <c r="O188" s="184">
        <f t="shared" si="213"/>
        <v>28878531</v>
      </c>
      <c r="P188" s="184">
        <f t="shared" si="213"/>
        <v>98782827</v>
      </c>
      <c r="Q188" s="184">
        <f t="shared" si="213"/>
        <v>67445904</v>
      </c>
      <c r="R188" s="184">
        <f t="shared" si="213"/>
        <v>52452793</v>
      </c>
      <c r="S188" s="184" t="e">
        <f t="shared" si="213"/>
        <v>#REF!</v>
      </c>
      <c r="T188" s="184" t="e">
        <f t="shared" si="213"/>
        <v>#REF!</v>
      </c>
      <c r="U188" s="184" t="e">
        <f t="shared" si="213"/>
        <v>#REF!</v>
      </c>
      <c r="W188" s="184" t="e">
        <f>W64</f>
        <v>#REF!</v>
      </c>
      <c r="Y188" s="184">
        <f>Y64</f>
        <v>46022270</v>
      </c>
    </row>
    <row r="189" spans="4:29" s="267" customFormat="1" ht="15" customHeight="1">
      <c r="D189" s="264" t="str">
        <f>D65</f>
        <v>T O T A L   P A S I V O</v>
      </c>
      <c r="E189" s="265"/>
      <c r="F189" s="193">
        <f t="shared" ref="F189:U189" si="214">F65</f>
        <v>260926184.75</v>
      </c>
      <c r="G189" s="193">
        <f t="shared" si="214"/>
        <v>429735765.30000001</v>
      </c>
      <c r="H189" s="193">
        <f t="shared" si="214"/>
        <v>388098413.31999999</v>
      </c>
      <c r="I189" s="193" t="e">
        <f t="shared" si="214"/>
        <v>#REF!</v>
      </c>
      <c r="J189" s="193">
        <f t="shared" si="214"/>
        <v>233418206.38</v>
      </c>
      <c r="K189" s="193">
        <f t="shared" si="214"/>
        <v>162093360.38</v>
      </c>
      <c r="L189" s="193">
        <f t="shared" si="214"/>
        <v>413088713.18000001</v>
      </c>
      <c r="M189" s="193">
        <f t="shared" si="214"/>
        <v>373192973.81999999</v>
      </c>
      <c r="N189" s="193">
        <f t="shared" si="214"/>
        <v>362712071.01999998</v>
      </c>
      <c r="O189" s="193">
        <f t="shared" si="214"/>
        <v>482888130</v>
      </c>
      <c r="P189" s="193">
        <f t="shared" si="214"/>
        <v>386087452.50999999</v>
      </c>
      <c r="Q189" s="193">
        <f t="shared" si="214"/>
        <v>559320294</v>
      </c>
      <c r="R189" s="193">
        <f t="shared" si="214"/>
        <v>411612939</v>
      </c>
      <c r="S189" s="193" t="e">
        <f t="shared" si="214"/>
        <v>#REF!</v>
      </c>
      <c r="T189" s="193" t="e">
        <f t="shared" si="214"/>
        <v>#REF!</v>
      </c>
      <c r="U189" s="193" t="e">
        <f t="shared" si="214"/>
        <v>#REF!</v>
      </c>
      <c r="V189" s="265"/>
      <c r="W189" s="193" t="e">
        <f>W65</f>
        <v>#REF!</v>
      </c>
      <c r="X189" s="265"/>
      <c r="Y189" s="193">
        <f>Y65</f>
        <v>360869911.01999998</v>
      </c>
      <c r="Z189" s="266"/>
    </row>
    <row r="190" spans="4:29" s="173" customFormat="1" ht="15" customHeight="1">
      <c r="D190" s="203"/>
      <c r="E190" s="170"/>
      <c r="V190" s="170"/>
      <c r="X190" s="170"/>
    </row>
    <row r="191" spans="4:29" s="173" customFormat="1" ht="15" customHeight="1">
      <c r="D191" s="261" t="s">
        <v>173</v>
      </c>
      <c r="E191" s="170"/>
      <c r="V191" s="170"/>
      <c r="X191" s="170"/>
    </row>
    <row r="192" spans="4:29" s="267" customFormat="1" ht="15" customHeight="1">
      <c r="D192" s="264" t="str">
        <f>D78</f>
        <v>TOTAL  CAPITAL  CONTABLE</v>
      </c>
      <c r="E192" s="265"/>
      <c r="F192" s="193">
        <f t="shared" ref="F192:U192" si="215">F78</f>
        <v>163517520.41</v>
      </c>
      <c r="G192" s="193">
        <f t="shared" si="215"/>
        <v>254652705.00999999</v>
      </c>
      <c r="H192" s="193">
        <f t="shared" si="215"/>
        <v>253847342.52000007</v>
      </c>
      <c r="I192" s="193" t="e">
        <f t="shared" si="215"/>
        <v>#REF!</v>
      </c>
      <c r="J192" s="193">
        <f t="shared" si="215"/>
        <v>489039230.67000002</v>
      </c>
      <c r="K192" s="193">
        <f t="shared" si="215"/>
        <v>423607613.64999998</v>
      </c>
      <c r="L192" s="193">
        <f t="shared" si="215"/>
        <v>437613497</v>
      </c>
      <c r="M192" s="193">
        <f t="shared" si="215"/>
        <v>470064427.70000005</v>
      </c>
      <c r="N192" s="193">
        <f t="shared" si="215"/>
        <v>442302486.28999996</v>
      </c>
      <c r="O192" s="193">
        <f t="shared" si="215"/>
        <v>444929216.26000035</v>
      </c>
      <c r="P192" s="193">
        <f t="shared" si="215"/>
        <v>456547716.86000001</v>
      </c>
      <c r="Q192" s="193">
        <f t="shared" si="215"/>
        <v>489594382.73000002</v>
      </c>
      <c r="R192" s="193">
        <f t="shared" si="215"/>
        <v>525008283.36000001</v>
      </c>
      <c r="S192" s="193" t="e">
        <f t="shared" si="215"/>
        <v>#REF!</v>
      </c>
      <c r="T192" s="193" t="e">
        <f t="shared" si="215"/>
        <v>#REF!</v>
      </c>
      <c r="U192" s="193" t="e">
        <f t="shared" si="215"/>
        <v>#REF!</v>
      </c>
      <c r="V192" s="265"/>
      <c r="W192" s="193" t="e">
        <f>W78</f>
        <v>#REF!</v>
      </c>
      <c r="X192" s="265"/>
      <c r="Y192" s="193">
        <f>Y78</f>
        <v>442302486.28999996</v>
      </c>
      <c r="Z192" s="266"/>
    </row>
    <row r="193" spans="4:26" s="173" customFormat="1" ht="15" customHeight="1">
      <c r="D193" s="203"/>
      <c r="E193" s="170"/>
      <c r="V193" s="170"/>
      <c r="X193" s="170"/>
    </row>
    <row r="194" spans="4:26" s="195" customFormat="1" ht="15" customHeight="1">
      <c r="D194" s="198" t="s">
        <v>107</v>
      </c>
      <c r="E194" s="192"/>
      <c r="F194" s="193">
        <f t="shared" ref="F194:U194" si="216">F189+F192</f>
        <v>424443705.15999997</v>
      </c>
      <c r="G194" s="193">
        <f t="shared" si="216"/>
        <v>684388470.30999994</v>
      </c>
      <c r="H194" s="193">
        <f t="shared" si="216"/>
        <v>641945755.84000003</v>
      </c>
      <c r="I194" s="193" t="e">
        <f t="shared" si="216"/>
        <v>#REF!</v>
      </c>
      <c r="J194" s="193">
        <f t="shared" si="216"/>
        <v>722457437.04999995</v>
      </c>
      <c r="K194" s="193">
        <f t="shared" si="216"/>
        <v>585700974.02999997</v>
      </c>
      <c r="L194" s="193">
        <f t="shared" si="216"/>
        <v>850702210.18000007</v>
      </c>
      <c r="M194" s="193">
        <f t="shared" si="216"/>
        <v>843257401.51999998</v>
      </c>
      <c r="N194" s="193">
        <f t="shared" si="216"/>
        <v>805014557.30999994</v>
      </c>
      <c r="O194" s="193">
        <f t="shared" si="216"/>
        <v>927817346.26000035</v>
      </c>
      <c r="P194" s="193">
        <f t="shared" si="216"/>
        <v>842635169.37</v>
      </c>
      <c r="Q194" s="193">
        <f t="shared" si="216"/>
        <v>1048914676.73</v>
      </c>
      <c r="R194" s="193">
        <f t="shared" si="216"/>
        <v>936621222.36000001</v>
      </c>
      <c r="S194" s="193" t="e">
        <f t="shared" si="216"/>
        <v>#REF!</v>
      </c>
      <c r="T194" s="193" t="e">
        <f t="shared" si="216"/>
        <v>#REF!</v>
      </c>
      <c r="U194" s="193" t="e">
        <f t="shared" si="216"/>
        <v>#REF!</v>
      </c>
      <c r="V194" s="192"/>
      <c r="W194" s="193" t="e">
        <f t="shared" ref="W194:Y194" si="217">W189+W192</f>
        <v>#REF!</v>
      </c>
      <c r="X194" s="192"/>
      <c r="Y194" s="193">
        <f t="shared" si="217"/>
        <v>803172397.30999994</v>
      </c>
      <c r="Z194" s="194"/>
    </row>
    <row r="195" spans="4:26" s="173" customFormat="1" ht="15" customHeight="1">
      <c r="D195" s="203"/>
      <c r="E195" s="170"/>
      <c r="V195" s="170"/>
      <c r="X195" s="170"/>
    </row>
    <row r="196" spans="4:26" ht="15" customHeight="1">
      <c r="D196" s="174" t="s">
        <v>180</v>
      </c>
      <c r="F196" s="383" t="str">
        <f>F85</f>
        <v>ESTADO  DE  RESULTADOS  ACUMULADOS  AÑO  2 0 1 3</v>
      </c>
      <c r="G196" s="383"/>
      <c r="H196" s="383"/>
      <c r="I196" s="383"/>
      <c r="J196" s="384" t="str">
        <f>J85</f>
        <v>ESTADO  DE  RESULTADOS  ACUMULADOS  AÑO  2 0 1 5</v>
      </c>
      <c r="K196" s="384"/>
      <c r="L196" s="384"/>
      <c r="M196" s="384"/>
      <c r="N196" s="384"/>
      <c r="O196" s="384"/>
      <c r="P196" s="384" t="str">
        <f>J196</f>
        <v>ESTADO  DE  RESULTADOS  ACUMULADOS  AÑO  2 0 1 5</v>
      </c>
      <c r="Q196" s="384"/>
      <c r="R196" s="384"/>
      <c r="S196" s="384"/>
      <c r="T196" s="384"/>
      <c r="U196" s="384"/>
      <c r="W196" s="175" t="str">
        <f>W176</f>
        <v>2 0 1 3</v>
      </c>
      <c r="Y196" s="176" t="str">
        <f>Y176</f>
        <v>2 0 1 4</v>
      </c>
    </row>
    <row r="197" spans="4:26" ht="15" customHeight="1">
      <c r="D197" s="174" t="s">
        <v>174</v>
      </c>
      <c r="F197" s="177">
        <f t="shared" ref="F197:U197" si="218">F$6</f>
        <v>41518</v>
      </c>
      <c r="G197" s="177">
        <f t="shared" si="218"/>
        <v>41548</v>
      </c>
      <c r="H197" s="177">
        <f t="shared" si="218"/>
        <v>41579</v>
      </c>
      <c r="I197" s="177">
        <f t="shared" si="218"/>
        <v>41609</v>
      </c>
      <c r="J197" s="178">
        <f t="shared" si="218"/>
        <v>42005</v>
      </c>
      <c r="K197" s="178">
        <f t="shared" si="218"/>
        <v>42036</v>
      </c>
      <c r="L197" s="178">
        <f t="shared" si="218"/>
        <v>42064</v>
      </c>
      <c r="M197" s="178">
        <f t="shared" si="218"/>
        <v>42095</v>
      </c>
      <c r="N197" s="178">
        <f t="shared" si="218"/>
        <v>42125</v>
      </c>
      <c r="O197" s="178">
        <f t="shared" si="218"/>
        <v>42156</v>
      </c>
      <c r="P197" s="178">
        <f t="shared" si="218"/>
        <v>42186</v>
      </c>
      <c r="Q197" s="178">
        <f t="shared" si="218"/>
        <v>42217</v>
      </c>
      <c r="R197" s="178">
        <f t="shared" si="218"/>
        <v>42248</v>
      </c>
      <c r="S197" s="178">
        <f t="shared" si="218"/>
        <v>42278</v>
      </c>
      <c r="T197" s="178">
        <f t="shared" si="218"/>
        <v>42309</v>
      </c>
      <c r="U197" s="178">
        <f t="shared" si="218"/>
        <v>42339</v>
      </c>
      <c r="W197" s="177">
        <f>W177</f>
        <v>41639</v>
      </c>
      <c r="Y197" s="178">
        <f>Y177</f>
        <v>41639</v>
      </c>
    </row>
    <row r="198" spans="4:26" s="173" customFormat="1" ht="15" customHeight="1">
      <c r="D198" s="203"/>
      <c r="E198" s="170"/>
      <c r="V198" s="170"/>
      <c r="X198" s="170"/>
    </row>
    <row r="199" spans="4:26" s="267" customFormat="1" ht="15" customHeight="1">
      <c r="D199" s="264" t="str">
        <f>D91</f>
        <v>V E N T A S   N E T A S</v>
      </c>
      <c r="E199" s="265"/>
      <c r="F199" s="193">
        <f t="shared" ref="F199:U199" si="219">F91</f>
        <v>145861070.5</v>
      </c>
      <c r="G199" s="193">
        <f t="shared" si="219"/>
        <v>234450807</v>
      </c>
      <c r="H199" s="193">
        <f t="shared" si="219"/>
        <v>260117100.20000005</v>
      </c>
      <c r="I199" s="193" t="e">
        <f t="shared" si="219"/>
        <v>#REF!</v>
      </c>
      <c r="J199" s="193">
        <f t="shared" si="219"/>
        <v>128350053</v>
      </c>
      <c r="K199" s="193">
        <f t="shared" si="219"/>
        <v>46458730</v>
      </c>
      <c r="L199" s="193">
        <f t="shared" si="219"/>
        <v>314749471</v>
      </c>
      <c r="M199" s="193">
        <f t="shared" si="219"/>
        <v>175999373</v>
      </c>
      <c r="N199" s="193">
        <f t="shared" si="219"/>
        <v>195357224</v>
      </c>
      <c r="O199" s="193">
        <f t="shared" si="219"/>
        <v>254600253</v>
      </c>
      <c r="P199" s="193">
        <f t="shared" si="219"/>
        <v>260589285</v>
      </c>
      <c r="Q199" s="193">
        <f t="shared" si="219"/>
        <v>366215017</v>
      </c>
      <c r="R199" s="193">
        <f t="shared" si="219"/>
        <v>283490116</v>
      </c>
      <c r="S199" s="193" t="e">
        <f t="shared" si="219"/>
        <v>#REF!</v>
      </c>
      <c r="T199" s="193" t="e">
        <f t="shared" si="219"/>
        <v>#REF!</v>
      </c>
      <c r="U199" s="193" t="e">
        <f t="shared" si="219"/>
        <v>#REF!</v>
      </c>
      <c r="V199" s="265"/>
      <c r="W199" s="193" t="e">
        <f>W91</f>
        <v>#REF!</v>
      </c>
      <c r="X199" s="265"/>
      <c r="Y199" s="193">
        <f>Y91</f>
        <v>195357224</v>
      </c>
      <c r="Z199" s="266"/>
    </row>
    <row r="200" spans="4:26" s="173" customFormat="1" ht="15" customHeight="1">
      <c r="D200" s="203"/>
      <c r="E200" s="170"/>
      <c r="V200" s="170"/>
      <c r="X200" s="170"/>
    </row>
    <row r="201" spans="4:26" ht="15" customHeight="1">
      <c r="D201" s="263" t="str">
        <f>D103</f>
        <v>COSTO PRODUCTO VENDIDO</v>
      </c>
      <c r="F201" s="184">
        <f t="shared" ref="F201:U201" si="220">F103</f>
        <v>95571350.650000006</v>
      </c>
      <c r="G201" s="184">
        <f t="shared" si="220"/>
        <v>147513208.18000001</v>
      </c>
      <c r="H201" s="184">
        <f t="shared" si="220"/>
        <v>207773233.62999997</v>
      </c>
      <c r="I201" s="184" t="e">
        <f t="shared" si="220"/>
        <v>#REF!</v>
      </c>
      <c r="J201" s="184">
        <f t="shared" si="220"/>
        <v>71459376.459999993</v>
      </c>
      <c r="K201" s="184">
        <f t="shared" si="220"/>
        <v>29291235.75</v>
      </c>
      <c r="L201" s="184">
        <f t="shared" si="220"/>
        <v>202712462.31</v>
      </c>
      <c r="M201" s="184">
        <f t="shared" si="220"/>
        <v>68132011.819999993</v>
      </c>
      <c r="N201" s="184">
        <f t="shared" si="220"/>
        <v>130220546.97000003</v>
      </c>
      <c r="O201" s="184">
        <f t="shared" si="220"/>
        <v>177278945.60999995</v>
      </c>
      <c r="P201" s="184">
        <f t="shared" si="220"/>
        <v>174838413.08000004</v>
      </c>
      <c r="Q201" s="184">
        <f t="shared" si="220"/>
        <v>257463415.03999996</v>
      </c>
      <c r="R201" s="184">
        <f t="shared" si="220"/>
        <v>154050391.96000004</v>
      </c>
      <c r="S201" s="184" t="e">
        <f t="shared" si="220"/>
        <v>#REF!</v>
      </c>
      <c r="T201" s="184" t="e">
        <f t="shared" si="220"/>
        <v>#REF!</v>
      </c>
      <c r="U201" s="184" t="e">
        <f t="shared" si="220"/>
        <v>#REF!</v>
      </c>
      <c r="W201" s="184" t="e">
        <f>W103</f>
        <v>#REF!</v>
      </c>
      <c r="Y201" s="184">
        <f>Y103</f>
        <v>130220546.97000003</v>
      </c>
    </row>
    <row r="202" spans="4:26" s="267" customFormat="1" ht="15" customHeight="1">
      <c r="D202" s="264" t="str">
        <f>D108</f>
        <v>CONTRIBUCION BRUTA</v>
      </c>
      <c r="E202" s="265"/>
      <c r="F202" s="193">
        <f t="shared" ref="F202:U202" si="221">F108</f>
        <v>50289719.849999994</v>
      </c>
      <c r="G202" s="193">
        <f t="shared" si="221"/>
        <v>86937598.819999993</v>
      </c>
      <c r="H202" s="193">
        <f t="shared" si="221"/>
        <v>52343866.570000082</v>
      </c>
      <c r="I202" s="193" t="e">
        <f t="shared" si="221"/>
        <v>#REF!</v>
      </c>
      <c r="J202" s="193">
        <f t="shared" si="221"/>
        <v>56890676.540000007</v>
      </c>
      <c r="K202" s="193">
        <f t="shared" si="221"/>
        <v>17167494.25</v>
      </c>
      <c r="L202" s="193">
        <f t="shared" si="221"/>
        <v>112037008.69</v>
      </c>
      <c r="M202" s="193">
        <f t="shared" si="221"/>
        <v>107867361.18000001</v>
      </c>
      <c r="N202" s="193">
        <f t="shared" si="221"/>
        <v>65136677.029999971</v>
      </c>
      <c r="O202" s="193">
        <f t="shared" si="221"/>
        <v>77321307.390000045</v>
      </c>
      <c r="P202" s="193">
        <f t="shared" si="221"/>
        <v>85750871.919999957</v>
      </c>
      <c r="Q202" s="193">
        <f t="shared" si="221"/>
        <v>108751601.96000004</v>
      </c>
      <c r="R202" s="193">
        <f t="shared" si="221"/>
        <v>129439724.03999996</v>
      </c>
      <c r="S202" s="193" t="e">
        <f t="shared" si="221"/>
        <v>#REF!</v>
      </c>
      <c r="T202" s="193" t="e">
        <f t="shared" si="221"/>
        <v>#REF!</v>
      </c>
      <c r="U202" s="193" t="e">
        <f t="shared" si="221"/>
        <v>#REF!</v>
      </c>
      <c r="V202" s="265"/>
      <c r="W202" s="193" t="e">
        <f>W108</f>
        <v>#REF!</v>
      </c>
      <c r="X202" s="265"/>
      <c r="Y202" s="193">
        <f>Y108</f>
        <v>65136677.029999971</v>
      </c>
      <c r="Z202" s="266"/>
    </row>
    <row r="203" spans="4:26" s="173" customFormat="1" ht="15" customHeight="1">
      <c r="D203" s="203"/>
      <c r="E203" s="170"/>
      <c r="V203" s="170"/>
      <c r="X203" s="170"/>
    </row>
    <row r="204" spans="4:26" ht="15" customHeight="1">
      <c r="D204" s="263" t="str">
        <f>D116</f>
        <v>GASTO TOTAL VENTAS</v>
      </c>
      <c r="F204" s="184">
        <f>F116</f>
        <v>9674364</v>
      </c>
      <c r="G204" s="184">
        <f t="shared" ref="G204:U204" si="222">G116</f>
        <v>19258482.02</v>
      </c>
      <c r="H204" s="184">
        <f t="shared" si="222"/>
        <v>26012737.050000001</v>
      </c>
      <c r="I204" s="184" t="e">
        <f t="shared" si="222"/>
        <v>#REF!</v>
      </c>
      <c r="J204" s="184">
        <f t="shared" si="222"/>
        <v>22755639</v>
      </c>
      <c r="K204" s="184">
        <f t="shared" si="222"/>
        <v>44611884</v>
      </c>
      <c r="L204" s="184">
        <f t="shared" si="222"/>
        <v>56618769.640000001</v>
      </c>
      <c r="M204" s="184">
        <f t="shared" si="222"/>
        <v>34652001</v>
      </c>
      <c r="N204" s="184">
        <f t="shared" si="222"/>
        <v>46009464.569871113</v>
      </c>
      <c r="O204" s="184">
        <f t="shared" si="222"/>
        <v>47158241.107281893</v>
      </c>
      <c r="P204" s="184">
        <f>P116</f>
        <v>46354054.372846991</v>
      </c>
      <c r="Q204" s="184">
        <f t="shared" si="222"/>
        <v>42891766</v>
      </c>
      <c r="R204" s="184">
        <f t="shared" si="222"/>
        <v>55166464.910000026</v>
      </c>
      <c r="S204" s="184" t="e">
        <f t="shared" si="222"/>
        <v>#REF!</v>
      </c>
      <c r="T204" s="184" t="e">
        <f t="shared" si="222"/>
        <v>#REF!</v>
      </c>
      <c r="U204" s="184" t="e">
        <f t="shared" si="222"/>
        <v>#REF!</v>
      </c>
      <c r="W204" s="184" t="e">
        <f t="shared" ref="W204" si="223">W116</f>
        <v>#REF!</v>
      </c>
      <c r="Y204" s="184">
        <f t="shared" ref="Y204" si="224">Y116</f>
        <v>46009464.569871113</v>
      </c>
    </row>
    <row r="205" spans="4:26" ht="15" customHeight="1">
      <c r="D205" s="263" t="str">
        <f>D123</f>
        <v>GASTO TOTAL MERCADOTECNIA</v>
      </c>
      <c r="F205" s="184">
        <f t="shared" ref="F205:U205" si="225">F123</f>
        <v>0</v>
      </c>
      <c r="G205" s="184">
        <f t="shared" si="225"/>
        <v>0</v>
      </c>
      <c r="H205" s="184">
        <f t="shared" si="225"/>
        <v>0</v>
      </c>
      <c r="I205" s="184">
        <f t="shared" si="225"/>
        <v>0</v>
      </c>
      <c r="J205" s="184">
        <f t="shared" si="225"/>
        <v>17327982.810000002</v>
      </c>
      <c r="K205" s="184">
        <f t="shared" si="225"/>
        <v>21287409.369999997</v>
      </c>
      <c r="L205" s="184">
        <f t="shared" si="225"/>
        <v>28661481.280000001</v>
      </c>
      <c r="M205" s="184">
        <f t="shared" si="225"/>
        <v>29456312.960000001</v>
      </c>
      <c r="N205" s="184">
        <f t="shared" si="225"/>
        <v>33421979.480128899</v>
      </c>
      <c r="O205" s="184">
        <f t="shared" si="225"/>
        <v>19066429.442717798</v>
      </c>
      <c r="P205" s="184">
        <f t="shared" si="225"/>
        <v>13938318.657153301</v>
      </c>
      <c r="Q205" s="184">
        <f t="shared" si="225"/>
        <v>18154330</v>
      </c>
      <c r="R205" s="184">
        <f t="shared" si="225"/>
        <v>20069336.040000007</v>
      </c>
      <c r="S205" s="184" t="e">
        <f t="shared" si="225"/>
        <v>#REF!</v>
      </c>
      <c r="T205" s="184" t="e">
        <f t="shared" si="225"/>
        <v>#REF!</v>
      </c>
      <c r="U205" s="184" t="e">
        <f t="shared" si="225"/>
        <v>#REF!</v>
      </c>
      <c r="W205" s="184">
        <f>W123</f>
        <v>0</v>
      </c>
      <c r="Y205" s="184">
        <f>Y123</f>
        <v>33421979.480128899</v>
      </c>
    </row>
    <row r="206" spans="4:26" ht="15" customHeight="1">
      <c r="D206" s="263" t="str">
        <f>D137</f>
        <v>GASTO INTEGRAL ADMINISTRACION</v>
      </c>
      <c r="F206" s="184">
        <f t="shared" ref="F206:U206" si="226">F137</f>
        <v>26328728.440000001</v>
      </c>
      <c r="G206" s="184">
        <f t="shared" si="226"/>
        <v>25889409.440000001</v>
      </c>
      <c r="H206" s="184">
        <f t="shared" si="226"/>
        <v>26034946.43999999</v>
      </c>
      <c r="I206" s="184" t="e">
        <f t="shared" si="226"/>
        <v>#REF!</v>
      </c>
      <c r="J206" s="184">
        <f t="shared" si="226"/>
        <v>13627053</v>
      </c>
      <c r="K206" s="184">
        <f t="shared" si="226"/>
        <v>16461059</v>
      </c>
      <c r="L206" s="184">
        <f t="shared" si="226"/>
        <v>14682332</v>
      </c>
      <c r="M206" s="184">
        <f t="shared" si="226"/>
        <v>12122074</v>
      </c>
      <c r="N206" s="184">
        <f t="shared" si="226"/>
        <v>13969974.189999999</v>
      </c>
      <c r="O206" s="184">
        <f t="shared" si="226"/>
        <v>13975216.970000001</v>
      </c>
      <c r="P206" s="184">
        <f t="shared" si="226"/>
        <v>13936385.189999999</v>
      </c>
      <c r="Q206" s="184">
        <f t="shared" si="226"/>
        <v>15343142.189999999</v>
      </c>
      <c r="R206" s="184">
        <f t="shared" si="226"/>
        <v>17792636.460000001</v>
      </c>
      <c r="S206" s="184" t="e">
        <f t="shared" si="226"/>
        <v>#REF!</v>
      </c>
      <c r="T206" s="184" t="e">
        <f t="shared" si="226"/>
        <v>#REF!</v>
      </c>
      <c r="U206" s="184" t="e">
        <f t="shared" si="226"/>
        <v>#REF!</v>
      </c>
      <c r="W206" s="184" t="e">
        <f>W137</f>
        <v>#REF!</v>
      </c>
      <c r="Y206" s="184">
        <f>Y137</f>
        <v>13969974.189999999</v>
      </c>
    </row>
    <row r="207" spans="4:26" s="267" customFormat="1" ht="15" customHeight="1">
      <c r="D207" s="268" t="s">
        <v>149</v>
      </c>
      <c r="E207" s="265"/>
      <c r="F207" s="193">
        <f>SUM(F204:F206)</f>
        <v>36003092.439999998</v>
      </c>
      <c r="G207" s="193">
        <f t="shared" ref="G207:U207" si="227">SUM(G204:G206)</f>
        <v>45147891.460000001</v>
      </c>
      <c r="H207" s="193">
        <f t="shared" si="227"/>
        <v>52047683.489999995</v>
      </c>
      <c r="I207" s="193" t="e">
        <f t="shared" si="227"/>
        <v>#REF!</v>
      </c>
      <c r="J207" s="193">
        <f t="shared" si="227"/>
        <v>53710674.810000002</v>
      </c>
      <c r="K207" s="193">
        <f t="shared" si="227"/>
        <v>82360352.370000005</v>
      </c>
      <c r="L207" s="193">
        <f t="shared" si="227"/>
        <v>99962582.920000002</v>
      </c>
      <c r="M207" s="193">
        <f t="shared" si="227"/>
        <v>76230387.960000008</v>
      </c>
      <c r="N207" s="193">
        <f t="shared" si="227"/>
        <v>93401418.24000001</v>
      </c>
      <c r="O207" s="193">
        <f t="shared" si="227"/>
        <v>80199887.519999698</v>
      </c>
      <c r="P207" s="193">
        <f t="shared" si="227"/>
        <v>74228758.220000297</v>
      </c>
      <c r="Q207" s="193">
        <f t="shared" si="227"/>
        <v>76389238.189999998</v>
      </c>
      <c r="R207" s="193">
        <f t="shared" si="227"/>
        <v>93028437.410000026</v>
      </c>
      <c r="S207" s="193" t="e">
        <f t="shared" si="227"/>
        <v>#REF!</v>
      </c>
      <c r="T207" s="193" t="e">
        <f t="shared" si="227"/>
        <v>#REF!</v>
      </c>
      <c r="U207" s="193" t="e">
        <f t="shared" si="227"/>
        <v>#REF!</v>
      </c>
      <c r="V207" s="265"/>
      <c r="W207" s="193" t="e">
        <f t="shared" ref="W207" si="228">SUM(W204:W206)</f>
        <v>#REF!</v>
      </c>
      <c r="X207" s="265"/>
      <c r="Y207" s="193">
        <f t="shared" ref="Y207" si="229">SUM(Y204:Y206)</f>
        <v>93401418.24000001</v>
      </c>
      <c r="Z207" s="266"/>
    </row>
    <row r="208" spans="4:26" s="267" customFormat="1" ht="15" customHeight="1">
      <c r="D208" s="264" t="str">
        <f>D143</f>
        <v>UTILIDAD (PERDIDA) OPERACION</v>
      </c>
      <c r="E208" s="265"/>
      <c r="F208" s="193">
        <f t="shared" ref="F208:U208" si="230">F202-F207</f>
        <v>14286627.409999996</v>
      </c>
      <c r="G208" s="193">
        <f t="shared" si="230"/>
        <v>41789707.359999992</v>
      </c>
      <c r="H208" s="193">
        <f t="shared" si="230"/>
        <v>296183.08000008762</v>
      </c>
      <c r="I208" s="193" t="e">
        <f t="shared" si="230"/>
        <v>#REF!</v>
      </c>
      <c r="J208" s="193">
        <f t="shared" si="230"/>
        <v>3180001.7300000042</v>
      </c>
      <c r="K208" s="193">
        <f>K202-K207</f>
        <v>-65192858.120000005</v>
      </c>
      <c r="L208" s="193">
        <f t="shared" si="230"/>
        <v>12074425.769999996</v>
      </c>
      <c r="M208" s="193">
        <f t="shared" si="230"/>
        <v>31636973.219999999</v>
      </c>
      <c r="N208" s="193">
        <f t="shared" si="230"/>
        <v>-28264741.210000038</v>
      </c>
      <c r="O208" s="193">
        <f t="shared" si="230"/>
        <v>-2878580.1299996525</v>
      </c>
      <c r="P208" s="193">
        <f t="shared" si="230"/>
        <v>11522113.69999966</v>
      </c>
      <c r="Q208" s="193">
        <f t="shared" si="230"/>
        <v>32362363.770000041</v>
      </c>
      <c r="R208" s="193">
        <f t="shared" si="230"/>
        <v>36411286.629999936</v>
      </c>
      <c r="S208" s="193" t="e">
        <f t="shared" si="230"/>
        <v>#REF!</v>
      </c>
      <c r="T208" s="193" t="e">
        <f t="shared" si="230"/>
        <v>#REF!</v>
      </c>
      <c r="U208" s="193" t="e">
        <f t="shared" si="230"/>
        <v>#REF!</v>
      </c>
      <c r="V208" s="265"/>
      <c r="W208" s="193" t="e">
        <f>W202-W207</f>
        <v>#REF!</v>
      </c>
      <c r="X208" s="265"/>
      <c r="Y208" s="193">
        <f>Y202-Y207</f>
        <v>-28264741.210000038</v>
      </c>
      <c r="Z208" s="266"/>
    </row>
    <row r="209" spans="1:26" s="173" customFormat="1" ht="15" customHeight="1">
      <c r="D209" s="203"/>
      <c r="E209" s="170"/>
      <c r="V209" s="170"/>
      <c r="X209" s="170"/>
    </row>
    <row r="210" spans="1:26" ht="15" customHeight="1">
      <c r="A210" s="386"/>
      <c r="B210" s="386"/>
      <c r="C210" s="387"/>
      <c r="D210" s="263" t="str">
        <f>D153</f>
        <v>OTROS PRODUCTOS</v>
      </c>
      <c r="F210" s="184">
        <f t="shared" ref="F210:U210" si="231">F153</f>
        <v>-585601</v>
      </c>
      <c r="G210" s="184">
        <f t="shared" si="231"/>
        <v>-838028.76</v>
      </c>
      <c r="H210" s="184">
        <f t="shared" si="231"/>
        <v>-1101545.5700000003</v>
      </c>
      <c r="I210" s="184" t="e">
        <f t="shared" si="231"/>
        <v>#REF!</v>
      </c>
      <c r="J210" s="184">
        <f t="shared" si="231"/>
        <v>2480951</v>
      </c>
      <c r="K210" s="184">
        <f t="shared" si="231"/>
        <v>-238758.90000000037</v>
      </c>
      <c r="L210" s="184">
        <f t="shared" si="231"/>
        <v>1919457</v>
      </c>
      <c r="M210" s="184">
        <f t="shared" si="231"/>
        <v>1520958</v>
      </c>
      <c r="N210" s="184">
        <f t="shared" si="231"/>
        <v>502799.80000000075</v>
      </c>
      <c r="O210" s="184">
        <f t="shared" si="231"/>
        <v>5505310.0999999996</v>
      </c>
      <c r="P210" s="184">
        <f t="shared" si="231"/>
        <v>96386.89999999851</v>
      </c>
      <c r="Q210" s="184">
        <f t="shared" si="231"/>
        <v>684302.10000000149</v>
      </c>
      <c r="R210" s="184">
        <f t="shared" si="231"/>
        <v>-997386</v>
      </c>
      <c r="S210" s="184" t="e">
        <f t="shared" si="231"/>
        <v>#REF!</v>
      </c>
      <c r="T210" s="184" t="e">
        <f t="shared" si="231"/>
        <v>#REF!</v>
      </c>
      <c r="U210" s="184" t="e">
        <f t="shared" si="231"/>
        <v>#REF!</v>
      </c>
      <c r="W210" s="184" t="e">
        <f>W153</f>
        <v>#REF!</v>
      </c>
      <c r="Y210" s="184">
        <f>Y153</f>
        <v>502799.80000000075</v>
      </c>
    </row>
    <row r="211" spans="1:26" s="267" customFormat="1" ht="15" customHeight="1">
      <c r="D211" s="264" t="str">
        <f>D155</f>
        <v>UTILIDAD (PERDIDA) ANTES DE PROVIS.</v>
      </c>
      <c r="E211" s="265"/>
      <c r="F211" s="193">
        <f t="shared" ref="F211:U211" si="232">F208+F210</f>
        <v>13701026.409999996</v>
      </c>
      <c r="G211" s="193">
        <f t="shared" si="232"/>
        <v>40951678.599999994</v>
      </c>
      <c r="H211" s="193">
        <f t="shared" si="232"/>
        <v>-805362.48999991268</v>
      </c>
      <c r="I211" s="193" t="e">
        <f t="shared" si="232"/>
        <v>#REF!</v>
      </c>
      <c r="J211" s="193">
        <f t="shared" si="232"/>
        <v>5660952.7300000042</v>
      </c>
      <c r="K211" s="193">
        <f t="shared" si="232"/>
        <v>-65431617.020000003</v>
      </c>
      <c r="L211" s="193">
        <f t="shared" si="232"/>
        <v>13993882.769999996</v>
      </c>
      <c r="M211" s="193">
        <f t="shared" si="232"/>
        <v>33157931.219999999</v>
      </c>
      <c r="N211" s="193">
        <f t="shared" si="232"/>
        <v>-27761941.410000037</v>
      </c>
      <c r="O211" s="193">
        <f t="shared" si="232"/>
        <v>2626729.9700003471</v>
      </c>
      <c r="P211" s="193">
        <f t="shared" si="232"/>
        <v>11618500.599999659</v>
      </c>
      <c r="Q211" s="193">
        <f t="shared" si="232"/>
        <v>33046665.870000042</v>
      </c>
      <c r="R211" s="193">
        <f t="shared" si="232"/>
        <v>35413900.629999936</v>
      </c>
      <c r="S211" s="193" t="e">
        <f t="shared" si="232"/>
        <v>#REF!</v>
      </c>
      <c r="T211" s="193" t="e">
        <f t="shared" si="232"/>
        <v>#REF!</v>
      </c>
      <c r="U211" s="193" t="e">
        <f t="shared" si="232"/>
        <v>#REF!</v>
      </c>
      <c r="V211" s="265"/>
      <c r="W211" s="193" t="e">
        <f t="shared" ref="W211" si="233">W208+W210</f>
        <v>#REF!</v>
      </c>
      <c r="X211" s="265"/>
      <c r="Y211" s="193">
        <f t="shared" ref="Y211" si="234">Y208+Y210</f>
        <v>-27761941.410000037</v>
      </c>
      <c r="Z211" s="266"/>
    </row>
    <row r="212" spans="1:26" s="173" customFormat="1" ht="15" customHeight="1">
      <c r="D212" s="203"/>
      <c r="E212" s="170"/>
      <c r="V212" s="170"/>
      <c r="X212" s="170"/>
    </row>
    <row r="213" spans="1:26" ht="15" customHeight="1">
      <c r="A213" s="386"/>
      <c r="B213" s="386"/>
      <c r="C213" s="387"/>
      <c r="D213" s="263" t="str">
        <f>D158</f>
        <v>TOTAL DE PROVISIONES</v>
      </c>
      <c r="F213" s="184">
        <f t="shared" ref="F213:U213" si="235">F158</f>
        <v>0</v>
      </c>
      <c r="G213" s="184">
        <f t="shared" si="235"/>
        <v>0</v>
      </c>
      <c r="H213" s="184">
        <f t="shared" si="235"/>
        <v>0</v>
      </c>
      <c r="I213" s="184" t="e">
        <f t="shared" si="235"/>
        <v>#REF!</v>
      </c>
      <c r="J213" s="184">
        <f t="shared" si="235"/>
        <v>0</v>
      </c>
      <c r="K213" s="184">
        <f t="shared" si="235"/>
        <v>0</v>
      </c>
      <c r="L213" s="184">
        <f t="shared" si="235"/>
        <v>0</v>
      </c>
      <c r="M213" s="184">
        <f t="shared" si="235"/>
        <v>695000</v>
      </c>
      <c r="N213" s="184">
        <f t="shared" si="235"/>
        <v>0</v>
      </c>
      <c r="O213" s="184">
        <f>O158</f>
        <v>0</v>
      </c>
      <c r="P213" s="184">
        <f t="shared" si="235"/>
        <v>0</v>
      </c>
      <c r="Q213" s="184">
        <f>Q158</f>
        <v>0</v>
      </c>
      <c r="R213" s="184">
        <f t="shared" si="235"/>
        <v>0</v>
      </c>
      <c r="S213" s="184" t="e">
        <f t="shared" si="235"/>
        <v>#REF!</v>
      </c>
      <c r="T213" s="184" t="e">
        <f t="shared" si="235"/>
        <v>#REF!</v>
      </c>
      <c r="U213" s="184" t="e">
        <f t="shared" si="235"/>
        <v>#REF!</v>
      </c>
      <c r="W213" s="184" t="e">
        <f>W158</f>
        <v>#REF!</v>
      </c>
      <c r="Y213" s="184">
        <f>Y158</f>
        <v>0</v>
      </c>
    </row>
    <row r="214" spans="1:26" s="267" customFormat="1" ht="15" customHeight="1">
      <c r="D214" s="264" t="str">
        <f>D160</f>
        <v>UTILIDAD ( PERDIDA ) NETA</v>
      </c>
      <c r="E214" s="265"/>
      <c r="F214" s="193">
        <f t="shared" ref="F214:U214" si="236">F211-F213</f>
        <v>13701026.409999996</v>
      </c>
      <c r="G214" s="193">
        <f t="shared" si="236"/>
        <v>40951678.599999994</v>
      </c>
      <c r="H214" s="193">
        <f t="shared" si="236"/>
        <v>-805362.48999991268</v>
      </c>
      <c r="I214" s="193" t="e">
        <f t="shared" si="236"/>
        <v>#REF!</v>
      </c>
      <c r="J214" s="193">
        <f t="shared" si="236"/>
        <v>5660952.7300000042</v>
      </c>
      <c r="K214" s="193">
        <f>K211-K213</f>
        <v>-65431617.020000003</v>
      </c>
      <c r="L214" s="193">
        <f t="shared" si="236"/>
        <v>13993882.769999996</v>
      </c>
      <c r="M214" s="193">
        <f t="shared" si="236"/>
        <v>32462931.219999999</v>
      </c>
      <c r="N214" s="193">
        <f t="shared" si="236"/>
        <v>-27761941.410000037</v>
      </c>
      <c r="O214" s="193">
        <f t="shared" si="236"/>
        <v>2626729.9700003471</v>
      </c>
      <c r="P214" s="193">
        <f t="shared" si="236"/>
        <v>11618500.599999659</v>
      </c>
      <c r="Q214" s="193">
        <f t="shared" si="236"/>
        <v>33046665.870000042</v>
      </c>
      <c r="R214" s="193">
        <f t="shared" si="236"/>
        <v>35413900.629999936</v>
      </c>
      <c r="S214" s="193" t="e">
        <f t="shared" si="236"/>
        <v>#REF!</v>
      </c>
      <c r="T214" s="193" t="e">
        <f t="shared" si="236"/>
        <v>#REF!</v>
      </c>
      <c r="U214" s="193" t="e">
        <f t="shared" si="236"/>
        <v>#REF!</v>
      </c>
      <c r="V214" s="265"/>
      <c r="W214" s="193" t="e">
        <f t="shared" ref="W214" si="237">W211-W213</f>
        <v>#REF!</v>
      </c>
      <c r="X214" s="265"/>
      <c r="Y214" s="193">
        <f>Y211-Y213</f>
        <v>-27761941.410000037</v>
      </c>
      <c r="Z214" s="266"/>
    </row>
    <row r="215" spans="1:26" s="173" customFormat="1" ht="15" customHeight="1">
      <c r="E215" s="170"/>
      <c r="V215" s="170"/>
      <c r="X215" s="170"/>
    </row>
    <row r="216" spans="1:26" ht="15" customHeight="1">
      <c r="D216" s="167"/>
      <c r="J216" s="167"/>
      <c r="P216" s="269"/>
    </row>
    <row r="217" spans="1:26" ht="15" customHeight="1">
      <c r="D217" s="167"/>
      <c r="J217" s="167"/>
    </row>
    <row r="218" spans="1:26" ht="15" customHeight="1">
      <c r="D218" s="167"/>
      <c r="J218" s="167"/>
    </row>
    <row r="219" spans="1:26" ht="15" customHeight="1">
      <c r="D219" s="167"/>
      <c r="J219" s="167"/>
    </row>
    <row r="220" spans="1:26" ht="15" customHeight="1">
      <c r="D220" s="167"/>
      <c r="J220" s="167"/>
    </row>
    <row r="221" spans="1:26" ht="15" customHeight="1">
      <c r="D221" s="167"/>
      <c r="J221" s="167"/>
    </row>
    <row r="222" spans="1:26" ht="15" customHeight="1">
      <c r="D222" s="167"/>
      <c r="J222" s="167"/>
    </row>
    <row r="223" spans="1:26" ht="15" customHeight="1">
      <c r="D223" s="167"/>
      <c r="J223" s="167"/>
    </row>
    <row r="224" spans="1:26" ht="15" customHeight="1">
      <c r="D224" s="167"/>
      <c r="J224" s="167"/>
    </row>
    <row r="225" spans="4:10" ht="15" customHeight="1">
      <c r="D225" s="167"/>
      <c r="J225" s="167"/>
    </row>
    <row r="226" spans="4:10" ht="15" customHeight="1">
      <c r="D226" s="167"/>
      <c r="J226" s="167"/>
    </row>
    <row r="227" spans="4:10" ht="15" customHeight="1">
      <c r="D227" s="167"/>
      <c r="J227" s="167"/>
    </row>
    <row r="228" spans="4:10" ht="15" customHeight="1">
      <c r="D228" s="167"/>
      <c r="J228" s="167"/>
    </row>
    <row r="229" spans="4:10" ht="15" customHeight="1">
      <c r="D229" s="167"/>
      <c r="J229" s="167"/>
    </row>
    <row r="230" spans="4:10" ht="15" customHeight="1">
      <c r="D230" s="167"/>
      <c r="J230" s="167"/>
    </row>
    <row r="231" spans="4:10" ht="15" customHeight="1">
      <c r="D231" s="167"/>
      <c r="J231" s="167"/>
    </row>
    <row r="232" spans="4:10" ht="15" customHeight="1">
      <c r="D232" s="167"/>
      <c r="J232" s="167"/>
    </row>
    <row r="233" spans="4:10" ht="15" customHeight="1">
      <c r="D233" s="167"/>
      <c r="J233" s="167"/>
    </row>
    <row r="234" spans="4:10" ht="15" customHeight="1">
      <c r="D234" s="167"/>
      <c r="J234" s="167"/>
    </row>
    <row r="235" spans="4:10" ht="15" customHeight="1">
      <c r="D235" s="167"/>
      <c r="J235" s="167"/>
    </row>
    <row r="236" spans="4:10" ht="15" customHeight="1">
      <c r="D236" s="167"/>
      <c r="J236" s="167"/>
    </row>
    <row r="237" spans="4:10" ht="15" customHeight="1">
      <c r="D237" s="167"/>
      <c r="J237" s="167"/>
    </row>
    <row r="238" spans="4:10" ht="15" customHeight="1">
      <c r="D238" s="167"/>
      <c r="J238" s="167"/>
    </row>
    <row r="239" spans="4:10" ht="15" customHeight="1">
      <c r="D239" s="167"/>
      <c r="J239" s="167"/>
    </row>
    <row r="240" spans="4:10" ht="15" customHeight="1">
      <c r="D240" s="167"/>
      <c r="J240" s="167"/>
    </row>
    <row r="241" spans="4:10" ht="15" customHeight="1">
      <c r="D241" s="167"/>
      <c r="J241" s="167"/>
    </row>
    <row r="242" spans="4:10" ht="15" customHeight="1">
      <c r="D242" s="167"/>
      <c r="J242" s="167"/>
    </row>
    <row r="243" spans="4:10" ht="15" customHeight="1">
      <c r="D243" s="167"/>
      <c r="J243" s="167"/>
    </row>
    <row r="244" spans="4:10" ht="15" customHeight="1">
      <c r="D244" s="167"/>
      <c r="J244" s="167"/>
    </row>
    <row r="245" spans="4:10" ht="15" customHeight="1">
      <c r="D245" s="167"/>
      <c r="J245" s="167"/>
    </row>
    <row r="246" spans="4:10" ht="15" customHeight="1">
      <c r="D246" s="167"/>
      <c r="J246" s="167"/>
    </row>
    <row r="247" spans="4:10" ht="15" customHeight="1">
      <c r="D247" s="167"/>
      <c r="J247" s="167"/>
    </row>
    <row r="248" spans="4:10" ht="15" customHeight="1">
      <c r="D248" s="167"/>
      <c r="J248" s="167"/>
    </row>
    <row r="249" spans="4:10" ht="15" customHeight="1">
      <c r="D249" s="167"/>
      <c r="J249" s="167"/>
    </row>
    <row r="250" spans="4:10" ht="15" customHeight="1">
      <c r="D250" s="167"/>
      <c r="J250" s="167"/>
    </row>
    <row r="251" spans="4:10" ht="15" customHeight="1">
      <c r="D251" s="167"/>
      <c r="J251" s="167"/>
    </row>
    <row r="252" spans="4:10" ht="15" customHeight="1">
      <c r="D252" s="167"/>
      <c r="J252" s="167"/>
    </row>
    <row r="253" spans="4:10" ht="15" customHeight="1">
      <c r="D253" s="167"/>
      <c r="J253" s="167"/>
    </row>
    <row r="254" spans="4:10" ht="15" customHeight="1">
      <c r="D254" s="167"/>
      <c r="J254" s="167"/>
    </row>
    <row r="255" spans="4:10" ht="15" customHeight="1">
      <c r="D255" s="167"/>
      <c r="J255" s="167"/>
    </row>
    <row r="256" spans="4:10" ht="15" customHeight="1">
      <c r="D256" s="167"/>
      <c r="J256" s="167"/>
    </row>
    <row r="257" spans="4:10" ht="15" customHeight="1">
      <c r="D257" s="167"/>
      <c r="J257" s="167"/>
    </row>
    <row r="258" spans="4:10" ht="15" customHeight="1">
      <c r="D258" s="167"/>
      <c r="J258" s="167"/>
    </row>
    <row r="259" spans="4:10" ht="15" customHeight="1">
      <c r="D259" s="167"/>
      <c r="J259" s="167"/>
    </row>
    <row r="260" spans="4:10" ht="15" customHeight="1">
      <c r="D260" s="167"/>
      <c r="J260" s="167"/>
    </row>
    <row r="261" spans="4:10" ht="15" customHeight="1">
      <c r="D261" s="167"/>
      <c r="J261" s="167"/>
    </row>
    <row r="262" spans="4:10" ht="15" customHeight="1">
      <c r="D262" s="167"/>
      <c r="J262" s="167"/>
    </row>
    <row r="263" spans="4:10" ht="15" customHeight="1">
      <c r="D263" s="167"/>
      <c r="J263" s="167"/>
    </row>
    <row r="264" spans="4:10" ht="15" customHeight="1">
      <c r="D264" s="167"/>
      <c r="J264" s="167"/>
    </row>
    <row r="265" spans="4:10" ht="15" customHeight="1">
      <c r="D265" s="167"/>
      <c r="J265" s="167"/>
    </row>
    <row r="266" spans="4:10" ht="15" customHeight="1">
      <c r="D266" s="167"/>
      <c r="J266" s="167"/>
    </row>
    <row r="267" spans="4:10" ht="15" customHeight="1">
      <c r="D267" s="167"/>
      <c r="J267" s="167"/>
    </row>
    <row r="268" spans="4:10" ht="15" customHeight="1">
      <c r="D268" s="167"/>
      <c r="J268" s="167"/>
    </row>
    <row r="269" spans="4:10" ht="15" customHeight="1">
      <c r="D269" s="167"/>
      <c r="J269" s="167"/>
    </row>
    <row r="270" spans="4:10" ht="15" customHeight="1">
      <c r="D270" s="167"/>
      <c r="J270" s="167"/>
    </row>
    <row r="271" spans="4:10" ht="15" customHeight="1">
      <c r="D271" s="167"/>
      <c r="J271" s="167"/>
    </row>
    <row r="272" spans="4:10" ht="15" customHeight="1">
      <c r="D272" s="167"/>
      <c r="J272" s="167"/>
    </row>
    <row r="273" spans="4:10" ht="15" customHeight="1">
      <c r="D273" s="167"/>
      <c r="J273" s="167"/>
    </row>
    <row r="274" spans="4:10" ht="15" customHeight="1">
      <c r="D274" s="167"/>
      <c r="J274" s="167"/>
    </row>
    <row r="275" spans="4:10" ht="15" customHeight="1">
      <c r="D275" s="167"/>
      <c r="J275" s="167"/>
    </row>
    <row r="276" spans="4:10" ht="15" customHeight="1">
      <c r="D276" s="167"/>
      <c r="J276" s="167"/>
    </row>
    <row r="277" spans="4:10" ht="15" customHeight="1">
      <c r="D277" s="167"/>
      <c r="J277" s="167"/>
    </row>
    <row r="278" spans="4:10" ht="15" customHeight="1">
      <c r="D278" s="167"/>
      <c r="J278" s="167"/>
    </row>
    <row r="279" spans="4:10" ht="15" customHeight="1">
      <c r="D279" s="167"/>
      <c r="J279" s="167"/>
    </row>
    <row r="280" spans="4:10" ht="15" customHeight="1">
      <c r="D280" s="167"/>
      <c r="J280" s="167"/>
    </row>
    <row r="281" spans="4:10" ht="15" customHeight="1">
      <c r="D281" s="167"/>
      <c r="J281" s="167"/>
    </row>
    <row r="282" spans="4:10" ht="15" customHeight="1">
      <c r="D282" s="167"/>
      <c r="J282" s="167"/>
    </row>
    <row r="283" spans="4:10" ht="15" customHeight="1">
      <c r="D283" s="167"/>
      <c r="J283" s="167"/>
    </row>
  </sheetData>
  <mergeCells count="17">
    <mergeCell ref="A213:C213"/>
    <mergeCell ref="F196:I196"/>
    <mergeCell ref="J196:O196"/>
    <mergeCell ref="P196:U196"/>
    <mergeCell ref="A210:C210"/>
    <mergeCell ref="F176:I176"/>
    <mergeCell ref="J176:O176"/>
    <mergeCell ref="P176:U176"/>
    <mergeCell ref="F85:I85"/>
    <mergeCell ref="J85:O85"/>
    <mergeCell ref="P85:U85"/>
    <mergeCell ref="D1:D3"/>
    <mergeCell ref="F5:I5"/>
    <mergeCell ref="J5:O5"/>
    <mergeCell ref="P5:U5"/>
    <mergeCell ref="D171:D172"/>
    <mergeCell ref="D169:D170"/>
  </mergeCells>
  <printOptions horizontalCentered="1" verticalCentered="1"/>
  <pageMargins left="0" right="0" top="0.27" bottom="0.37" header="0.11811023622047245" footer="0.15748031496062992"/>
  <pageSetup orientation="portrait" r:id="rId1"/>
  <headerFooter>
    <oddFooter>&amp;L&amp;"Tahoma,Negrita"&amp;8ANALISIS DE OPERACIÓN&amp;C&amp;"Tahoma,Negrita"&amp;8COREV DE MÉXICO SA DE CV&amp;R&amp;"Tahoma,Negrita"&amp;8SEP 30 / 2013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16"/>
  <sheetViews>
    <sheetView workbookViewId="0">
      <pane xSplit="6" ySplit="3" topLeftCell="H4" activePane="bottomRight" state="frozen"/>
      <selection pane="topRight" activeCell="G1" sqref="G1"/>
      <selection pane="bottomLeft" activeCell="A4" sqref="A4"/>
      <selection pane="bottomRight" activeCell="J2" sqref="J2"/>
    </sheetView>
  </sheetViews>
  <sheetFormatPr baseColWidth="10" defaultColWidth="10.85546875" defaultRowHeight="15"/>
  <cols>
    <col min="1" max="1" width="4.140625" style="23" customWidth="1"/>
    <col min="2" max="2" width="2.85546875" style="23" customWidth="1"/>
    <col min="3" max="3" width="52.5703125" style="23" bestFit="1" customWidth="1"/>
    <col min="4" max="4" width="18.5703125" style="23" hidden="1" customWidth="1"/>
    <col min="5" max="5" width="18.140625" style="23" hidden="1" customWidth="1"/>
    <col min="6" max="6" width="17.7109375" style="23" hidden="1" customWidth="1"/>
    <col min="7" max="7" width="18.140625" style="23" bestFit="1" customWidth="1"/>
    <col min="8" max="15" width="17.7109375" style="23" customWidth="1"/>
    <col min="16" max="16" width="18.5703125" style="23" bestFit="1" customWidth="1"/>
    <col min="17" max="17" width="18.5703125" style="23" customWidth="1"/>
    <col min="18" max="19" width="19.85546875" style="23" customWidth="1"/>
    <col min="20" max="21" width="19.7109375" style="23" customWidth="1"/>
    <col min="22" max="22" width="20.85546875" style="23" bestFit="1" customWidth="1"/>
    <col min="23" max="23" width="20.85546875" style="23" customWidth="1"/>
    <col min="24" max="24" width="22.5703125" style="23" bestFit="1" customWidth="1"/>
    <col min="25" max="16384" width="10.85546875" style="23"/>
  </cols>
  <sheetData>
    <row r="1" spans="2:24" ht="15.75" thickBot="1">
      <c r="B1" s="2"/>
      <c r="C1" s="2"/>
      <c r="D1" s="2"/>
      <c r="E1" s="13"/>
      <c r="F1" s="2"/>
      <c r="G1" s="13"/>
    </row>
    <row r="2" spans="2:24" s="43" customFormat="1" ht="30.75" thickBot="1">
      <c r="B2" s="42" t="s">
        <v>7</v>
      </c>
      <c r="C2" s="42"/>
      <c r="D2" s="47" t="s">
        <v>35</v>
      </c>
      <c r="E2" s="47" t="s">
        <v>36</v>
      </c>
      <c r="F2" s="47" t="s">
        <v>37</v>
      </c>
      <c r="G2" s="47" t="s">
        <v>38</v>
      </c>
      <c r="H2" s="108" t="s">
        <v>248</v>
      </c>
      <c r="I2" s="108" t="s">
        <v>257</v>
      </c>
      <c r="J2" s="108" t="s">
        <v>249</v>
      </c>
      <c r="K2" s="108" t="s">
        <v>249</v>
      </c>
      <c r="L2" s="108" t="s">
        <v>250</v>
      </c>
      <c r="M2" s="108" t="s">
        <v>250</v>
      </c>
      <c r="N2" s="108" t="s">
        <v>251</v>
      </c>
      <c r="O2" s="108"/>
      <c r="P2" s="108" t="s">
        <v>252</v>
      </c>
      <c r="Q2" s="108"/>
      <c r="R2" s="108" t="s">
        <v>253</v>
      </c>
      <c r="S2" s="108"/>
      <c r="T2" s="108" t="s">
        <v>254</v>
      </c>
      <c r="U2" s="108"/>
      <c r="V2" s="108" t="s">
        <v>255</v>
      </c>
      <c r="W2" s="108"/>
      <c r="X2" s="109" t="s">
        <v>256</v>
      </c>
    </row>
    <row r="3" spans="2:24">
      <c r="B3" s="14"/>
      <c r="C3" s="14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X3" s="13"/>
    </row>
    <row r="4" spans="2:24" ht="15.75" thickBot="1">
      <c r="B4" s="15" t="s">
        <v>8</v>
      </c>
      <c r="C4" s="15"/>
      <c r="D4" s="16">
        <f t="shared" ref="D4:V4" si="0">SUM(D6:D13)</f>
        <v>257444579.60000002</v>
      </c>
      <c r="E4" s="16">
        <f t="shared" si="0"/>
        <v>517696690.19</v>
      </c>
      <c r="F4" s="16">
        <f t="shared" si="0"/>
        <v>478436013.75999999</v>
      </c>
      <c r="G4" s="16">
        <f t="shared" si="0"/>
        <v>567735814.51999998</v>
      </c>
      <c r="H4" s="16">
        <f t="shared" si="0"/>
        <v>509900280.13999999</v>
      </c>
      <c r="I4" s="16"/>
      <c r="J4" s="16">
        <f t="shared" si="0"/>
        <v>521864742.88</v>
      </c>
      <c r="K4" s="16"/>
      <c r="L4" s="16">
        <f t="shared" si="0"/>
        <v>593195103.78999996</v>
      </c>
      <c r="M4" s="16"/>
      <c r="N4" s="16">
        <f t="shared" si="0"/>
        <v>651889920.25999999</v>
      </c>
      <c r="O4" s="16"/>
      <c r="P4" s="16">
        <f t="shared" si="0"/>
        <v>705212244.42999995</v>
      </c>
      <c r="Q4" s="16"/>
      <c r="R4" s="16">
        <f t="shared" si="0"/>
        <v>689423045.65999997</v>
      </c>
      <c r="S4" s="16"/>
      <c r="T4" s="16">
        <f t="shared" si="0"/>
        <v>695885969.01999998</v>
      </c>
      <c r="U4" s="16"/>
      <c r="V4" s="16">
        <f t="shared" si="0"/>
        <v>420518414.47000003</v>
      </c>
      <c r="W4" s="107"/>
      <c r="X4" s="94">
        <f>SUM(X6:X13)</f>
        <v>425563927.11000001</v>
      </c>
    </row>
    <row r="5" spans="2:24" ht="15.75" thickTop="1">
      <c r="B5" s="17"/>
      <c r="C5" s="17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38"/>
      <c r="S5" s="38"/>
      <c r="X5" s="13"/>
    </row>
    <row r="6" spans="2:24">
      <c r="B6" s="17" t="s">
        <v>9</v>
      </c>
      <c r="C6" s="14"/>
      <c r="D6" s="52">
        <v>573242</v>
      </c>
      <c r="E6" s="52">
        <v>6982548.2000000002</v>
      </c>
      <c r="F6" s="52">
        <v>16528738</v>
      </c>
      <c r="G6" s="58">
        <v>136187974.47</v>
      </c>
      <c r="H6" s="52">
        <v>13767230.470000001</v>
      </c>
      <c r="I6" s="52"/>
      <c r="J6" s="52">
        <v>1020148.47</v>
      </c>
      <c r="K6" s="52"/>
      <c r="L6" s="52">
        <v>499192</v>
      </c>
      <c r="M6" s="52"/>
      <c r="N6" s="52">
        <v>15051363.470000001</v>
      </c>
      <c r="O6" s="52"/>
      <c r="P6" s="52">
        <v>8975966</v>
      </c>
      <c r="Q6" s="52"/>
      <c r="R6" s="52">
        <v>16334609.470000001</v>
      </c>
      <c r="S6" s="52"/>
      <c r="T6" s="52">
        <v>126574660.47</v>
      </c>
      <c r="U6" s="52"/>
      <c r="V6" s="98">
        <v>54409445.590000004</v>
      </c>
      <c r="W6" s="98"/>
      <c r="X6" s="98">
        <v>66981329.590000004</v>
      </c>
    </row>
    <row r="7" spans="2:24">
      <c r="B7" s="17" t="s">
        <v>10</v>
      </c>
      <c r="C7" s="14"/>
      <c r="D7" s="52">
        <v>169275243.46000001</v>
      </c>
      <c r="E7" s="52">
        <v>329829598.18000001</v>
      </c>
      <c r="F7" s="52">
        <v>336518375.01999998</v>
      </c>
      <c r="G7" s="58">
        <v>330822543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77"/>
    </row>
    <row r="8" spans="2:24">
      <c r="B8" s="17"/>
      <c r="C8" s="14" t="s">
        <v>199</v>
      </c>
      <c r="D8" s="52"/>
      <c r="E8" s="52"/>
      <c r="F8" s="52"/>
      <c r="G8" s="58"/>
      <c r="H8" s="52">
        <v>323041773</v>
      </c>
      <c r="I8" s="52"/>
      <c r="J8" s="52">
        <v>384610179.70999998</v>
      </c>
      <c r="K8" s="52"/>
      <c r="L8" s="52">
        <v>455396151.89999998</v>
      </c>
      <c r="M8" s="52"/>
      <c r="N8" s="52">
        <v>501528179.89999998</v>
      </c>
      <c r="O8" s="52"/>
      <c r="P8" s="56">
        <v>518778859.89999998</v>
      </c>
      <c r="Q8" s="56"/>
      <c r="R8" s="52">
        <v>531114547.89999998</v>
      </c>
      <c r="S8" s="52"/>
      <c r="T8" s="57">
        <v>424369711.89999998</v>
      </c>
      <c r="U8" s="57"/>
      <c r="V8" s="98">
        <v>240139266.90000001</v>
      </c>
      <c r="W8" s="98"/>
      <c r="X8" s="98">
        <v>246318620.90000001</v>
      </c>
    </row>
    <row r="9" spans="2:24">
      <c r="B9" s="17"/>
      <c r="C9" s="14" t="s">
        <v>240</v>
      </c>
      <c r="D9" s="52"/>
      <c r="E9" s="52"/>
      <c r="F9" s="52"/>
      <c r="G9" s="58"/>
      <c r="H9" s="79">
        <v>8322980</v>
      </c>
      <c r="I9" s="79"/>
      <c r="J9" s="79">
        <v>9480812</v>
      </c>
      <c r="K9" s="79"/>
      <c r="L9" s="79">
        <v>7728812</v>
      </c>
      <c r="M9" s="79"/>
      <c r="N9" s="79">
        <v>7964724</v>
      </c>
      <c r="O9" s="79"/>
      <c r="P9" s="79">
        <v>1873600</v>
      </c>
      <c r="Q9" s="79"/>
      <c r="R9" s="79">
        <v>1363200</v>
      </c>
      <c r="S9" s="79"/>
      <c r="T9" s="79">
        <v>4834540</v>
      </c>
      <c r="U9" s="106"/>
      <c r="V9" s="99">
        <v>4486536</v>
      </c>
      <c r="W9" s="99"/>
      <c r="X9" s="99">
        <v>2613944</v>
      </c>
    </row>
    <row r="10" spans="2:24">
      <c r="B10" s="17"/>
      <c r="C10" s="14" t="s">
        <v>241</v>
      </c>
      <c r="D10" s="52"/>
      <c r="E10" s="52"/>
      <c r="F10" s="52"/>
      <c r="G10" s="58"/>
      <c r="H10" s="79">
        <v>7653142</v>
      </c>
      <c r="I10" s="79"/>
      <c r="J10" s="79">
        <v>13004041</v>
      </c>
      <c r="K10" s="79"/>
      <c r="L10" s="79">
        <v>16812978.140000001</v>
      </c>
      <c r="M10" s="79"/>
      <c r="N10" s="79">
        <v>18387621.140000001</v>
      </c>
      <c r="O10" s="79"/>
      <c r="P10" s="79">
        <v>20223441.140000001</v>
      </c>
      <c r="Q10" s="79"/>
      <c r="R10" s="79">
        <v>5299573</v>
      </c>
      <c r="S10" s="79"/>
      <c r="T10" s="79">
        <v>4558676</v>
      </c>
      <c r="U10" s="106"/>
      <c r="V10" s="99">
        <v>6598408</v>
      </c>
      <c r="W10" s="99"/>
      <c r="X10" s="99">
        <v>6538856.2999999998</v>
      </c>
    </row>
    <row r="11" spans="2:24">
      <c r="B11" s="17"/>
      <c r="C11" s="14" t="s">
        <v>242</v>
      </c>
      <c r="D11" s="52"/>
      <c r="E11" s="52"/>
      <c r="F11" s="52"/>
      <c r="G11" s="58"/>
      <c r="H11" s="79">
        <v>0</v>
      </c>
      <c r="I11" s="79"/>
      <c r="J11" s="79">
        <v>350000</v>
      </c>
      <c r="K11" s="79"/>
      <c r="L11" s="79">
        <v>175000</v>
      </c>
      <c r="M11" s="79"/>
      <c r="N11" s="79">
        <v>1000</v>
      </c>
      <c r="O11" s="79"/>
      <c r="P11" s="79">
        <v>1000</v>
      </c>
      <c r="Q11" s="79"/>
      <c r="R11" s="79">
        <v>1000</v>
      </c>
      <c r="S11" s="79"/>
      <c r="T11" s="79">
        <v>151000</v>
      </c>
      <c r="U11" s="106"/>
      <c r="V11" s="99">
        <v>482250</v>
      </c>
      <c r="W11" s="99"/>
      <c r="X11" s="99">
        <v>543750</v>
      </c>
    </row>
    <row r="12" spans="2:24">
      <c r="B12" s="61"/>
      <c r="C12" s="14" t="s">
        <v>243</v>
      </c>
      <c r="D12" s="52"/>
      <c r="E12" s="52"/>
      <c r="F12" s="52"/>
      <c r="G12" s="58"/>
      <c r="H12" s="80">
        <v>5157453.75</v>
      </c>
      <c r="I12" s="80"/>
      <c r="J12" s="80">
        <v>4771846.75</v>
      </c>
      <c r="K12" s="80"/>
      <c r="L12" s="80">
        <v>6709202.75</v>
      </c>
      <c r="M12" s="80"/>
      <c r="N12" s="80">
        <v>6709202.75</v>
      </c>
      <c r="O12" s="80"/>
      <c r="P12" s="80">
        <v>7616641.75</v>
      </c>
      <c r="Q12" s="80"/>
      <c r="R12" s="80">
        <v>12209202.75</v>
      </c>
      <c r="S12" s="80"/>
      <c r="T12" s="80">
        <v>16929202.75</v>
      </c>
      <c r="U12" s="106"/>
      <c r="V12" s="99">
        <v>10092535.75</v>
      </c>
      <c r="W12" s="99"/>
      <c r="X12" s="99">
        <v>8276720.75</v>
      </c>
    </row>
    <row r="13" spans="2:24">
      <c r="B13" s="17" t="s">
        <v>11</v>
      </c>
      <c r="C13" s="14"/>
      <c r="D13" s="52">
        <v>87596094.140000001</v>
      </c>
      <c r="E13" s="52">
        <v>180884543.81</v>
      </c>
      <c r="F13" s="52">
        <v>125388900.73999999</v>
      </c>
      <c r="G13" s="58">
        <v>100725297.05</v>
      </c>
      <c r="H13" s="52">
        <v>151957700.91999999</v>
      </c>
      <c r="I13" s="52"/>
      <c r="J13" s="52">
        <v>108627714.95</v>
      </c>
      <c r="K13" s="52"/>
      <c r="L13" s="52">
        <v>105873767</v>
      </c>
      <c r="M13" s="52"/>
      <c r="N13" s="52">
        <v>102247829</v>
      </c>
      <c r="O13" s="52"/>
      <c r="P13" s="60">
        <v>147742735.63999999</v>
      </c>
      <c r="Q13" s="60"/>
      <c r="R13" s="52">
        <v>123100912.54000001</v>
      </c>
      <c r="S13" s="52"/>
      <c r="T13" s="57">
        <v>118468177.90000001</v>
      </c>
      <c r="U13" s="57"/>
      <c r="V13" s="98">
        <v>104309972.23</v>
      </c>
      <c r="W13" s="98"/>
      <c r="X13" s="98">
        <v>94290705.569999993</v>
      </c>
    </row>
    <row r="14" spans="2:24">
      <c r="B14" s="13"/>
      <c r="C14" s="13"/>
      <c r="D14" s="3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38"/>
      <c r="S14" s="38"/>
      <c r="T14" s="38"/>
      <c r="U14" s="38"/>
      <c r="V14" s="38"/>
      <c r="W14" s="38"/>
      <c r="X14" s="13"/>
    </row>
    <row r="15" spans="2:24" ht="15.75" thickBot="1">
      <c r="B15" s="15" t="s">
        <v>12</v>
      </c>
      <c r="C15" s="15"/>
      <c r="D15" s="16">
        <f t="shared" ref="D15:F15" si="1">SUM(D18:D28)</f>
        <v>166999125.56</v>
      </c>
      <c r="E15" s="16">
        <f t="shared" si="1"/>
        <v>166691780.12</v>
      </c>
      <c r="F15" s="16">
        <f t="shared" si="1"/>
        <v>163509742.68000001</v>
      </c>
      <c r="G15" s="16">
        <f>SUM(G18:G28)</f>
        <v>182340277.24000001</v>
      </c>
      <c r="H15" s="16">
        <f>SUM(H18:H23)</f>
        <v>176781467.38000003</v>
      </c>
      <c r="I15" s="16"/>
      <c r="J15" s="16">
        <f t="shared" ref="J15:T15" si="2">SUM(J18:J23)</f>
        <v>177375003.94</v>
      </c>
      <c r="K15" s="16"/>
      <c r="L15" s="16">
        <f>SUM(L18:L23)</f>
        <v>173879210.91999999</v>
      </c>
      <c r="M15" s="16"/>
      <c r="N15" s="16">
        <f t="shared" si="2"/>
        <v>168623607.09</v>
      </c>
      <c r="O15" s="16"/>
      <c r="P15" s="16">
        <f t="shared" si="2"/>
        <v>152542186.47999999</v>
      </c>
      <c r="Q15" s="16"/>
      <c r="R15" s="16">
        <f t="shared" si="2"/>
        <v>151856053.47999999</v>
      </c>
      <c r="S15" s="16"/>
      <c r="T15" s="16">
        <f t="shared" si="2"/>
        <v>145689449.68000001</v>
      </c>
      <c r="U15" s="16"/>
      <c r="V15" s="16">
        <f>SUM(V17:V23)</f>
        <v>404711003.93000001</v>
      </c>
      <c r="W15" s="16"/>
      <c r="X15" s="95">
        <f>SUM(X17:X23)</f>
        <v>378549021.73000002</v>
      </c>
    </row>
    <row r="16" spans="2:24" ht="15.75" thickTop="1">
      <c r="B16" s="15"/>
      <c r="C16" s="15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96"/>
    </row>
    <row r="17" spans="2:24" ht="15.75">
      <c r="B17" s="14"/>
      <c r="C17" s="72" t="s">
        <v>246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8"/>
      <c r="S17" s="38"/>
      <c r="T17" s="38"/>
      <c r="U17" s="38"/>
      <c r="V17" s="99">
        <v>250000000</v>
      </c>
      <c r="W17" s="99"/>
      <c r="X17" s="99">
        <v>229452257</v>
      </c>
    </row>
    <row r="18" spans="2:24">
      <c r="B18" s="17" t="s">
        <v>13</v>
      </c>
      <c r="C18" s="14"/>
      <c r="D18" s="52">
        <v>10598400.560000001</v>
      </c>
      <c r="E18" s="52">
        <v>14455175.119999999</v>
      </c>
      <c r="F18" s="52">
        <v>14170749.68</v>
      </c>
      <c r="G18" s="58">
        <v>13886324.24</v>
      </c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77"/>
    </row>
    <row r="19" spans="2:24">
      <c r="B19" s="17"/>
      <c r="C19" s="14" t="s">
        <v>201</v>
      </c>
      <c r="D19" s="52"/>
      <c r="E19" s="52"/>
      <c r="F19" s="52"/>
      <c r="G19" s="58"/>
      <c r="H19" s="58">
        <v>431500</v>
      </c>
      <c r="I19" s="58"/>
      <c r="J19" s="52">
        <v>431500</v>
      </c>
      <c r="K19" s="52"/>
      <c r="L19" s="52">
        <v>431500</v>
      </c>
      <c r="M19" s="52"/>
      <c r="N19" s="52">
        <v>431500</v>
      </c>
      <c r="O19" s="52"/>
      <c r="P19" s="52">
        <v>431500</v>
      </c>
      <c r="Q19" s="52"/>
      <c r="R19" s="52">
        <v>10678012</v>
      </c>
      <c r="S19" s="52"/>
      <c r="T19" s="52">
        <v>13488003.619999999</v>
      </c>
      <c r="U19" s="52"/>
      <c r="V19" s="98">
        <v>13488003.619999999</v>
      </c>
      <c r="W19" s="98"/>
      <c r="X19" s="98">
        <v>13488003.619999999</v>
      </c>
    </row>
    <row r="20" spans="2:24">
      <c r="B20" s="17"/>
      <c r="C20" s="14" t="s">
        <v>202</v>
      </c>
      <c r="D20" s="52"/>
      <c r="E20" s="52"/>
      <c r="F20" s="52"/>
      <c r="G20" s="58"/>
      <c r="H20" s="58">
        <f>8399560</f>
        <v>8399560</v>
      </c>
      <c r="I20" s="58"/>
      <c r="J20" s="52">
        <f>8399560</f>
        <v>8399560</v>
      </c>
      <c r="K20" s="52"/>
      <c r="L20" s="52">
        <f>8719560</f>
        <v>8719560</v>
      </c>
      <c r="M20" s="52"/>
      <c r="N20" s="52">
        <f>8719560</f>
        <v>8719560</v>
      </c>
      <c r="O20" s="52"/>
      <c r="P20" s="52">
        <f>8719560</f>
        <v>8719560</v>
      </c>
      <c r="Q20" s="52"/>
      <c r="R20" s="52">
        <f>8719560</f>
        <v>8719560</v>
      </c>
      <c r="S20" s="52"/>
      <c r="T20" s="52">
        <f>10094160</f>
        <v>10094160</v>
      </c>
      <c r="U20" s="52"/>
      <c r="V20" s="98">
        <v>11267565</v>
      </c>
      <c r="W20" s="98"/>
      <c r="X20" s="98">
        <v>11267565</v>
      </c>
    </row>
    <row r="21" spans="2:24">
      <c r="B21" s="17"/>
      <c r="C21" s="14" t="s">
        <v>203</v>
      </c>
      <c r="D21" s="52"/>
      <c r="E21" s="52"/>
      <c r="F21" s="52"/>
      <c r="G21" s="58"/>
      <c r="H21" s="58">
        <f>7772016</f>
        <v>7772016</v>
      </c>
      <c r="I21" s="58"/>
      <c r="J21" s="52">
        <f>8893016</f>
        <v>8893016</v>
      </c>
      <c r="K21" s="52"/>
      <c r="L21" s="52">
        <f>8893016</f>
        <v>8893016</v>
      </c>
      <c r="M21" s="52"/>
      <c r="N21" s="52">
        <f>8893016</f>
        <v>8893016</v>
      </c>
      <c r="O21" s="52"/>
      <c r="P21" s="52">
        <f>10014016</f>
        <v>10014016</v>
      </c>
      <c r="Q21" s="52"/>
      <c r="R21" s="52">
        <f>10014016</f>
        <v>10014016</v>
      </c>
      <c r="S21" s="52"/>
      <c r="T21" s="52">
        <f>10014016</f>
        <v>10014016</v>
      </c>
      <c r="U21" s="52"/>
      <c r="V21" s="98">
        <v>12103916</v>
      </c>
      <c r="W21" s="98"/>
      <c r="X21" s="98">
        <v>12103916</v>
      </c>
    </row>
    <row r="22" spans="2:24">
      <c r="B22" s="17"/>
      <c r="C22" s="14" t="s">
        <v>204</v>
      </c>
      <c r="D22" s="52"/>
      <c r="E22" s="52"/>
      <c r="F22" s="52"/>
      <c r="G22" s="58"/>
      <c r="H22" s="58">
        <f>-184727.55-1079446.65</f>
        <v>-1264174.2</v>
      </c>
      <c r="I22" s="58"/>
      <c r="J22" s="52">
        <f>-267860.66-1326474.98</f>
        <v>-1594335.64</v>
      </c>
      <c r="K22" s="52"/>
      <c r="L22" s="52">
        <f>-670993.77-1573503.31</f>
        <v>-2244497.08</v>
      </c>
      <c r="M22" s="52"/>
      <c r="N22" s="52">
        <f>-754126.85-1820531.64</f>
        <v>-2574658.4899999998</v>
      </c>
      <c r="O22" s="52"/>
      <c r="P22" s="52">
        <f>-1826526.88-2898653.64</f>
        <v>-4725180.5199999996</v>
      </c>
      <c r="Q22" s="52"/>
      <c r="R22" s="52">
        <f>-2898926.88-3976775.64</f>
        <v>-6875702.5199999996</v>
      </c>
      <c r="S22" s="52"/>
      <c r="T22" s="52">
        <f>-4006126.88-5054897.64</f>
        <v>-9061024.5199999996</v>
      </c>
      <c r="U22" s="52"/>
      <c r="V22" s="100">
        <v>-11816811.52</v>
      </c>
      <c r="W22" s="100"/>
      <c r="X22" s="102">
        <v>-14698475.52</v>
      </c>
    </row>
    <row r="23" spans="2:24">
      <c r="B23" s="17" t="s">
        <v>14</v>
      </c>
      <c r="C23" s="14"/>
      <c r="D23" s="52">
        <v>156400725</v>
      </c>
      <c r="E23" s="52">
        <v>152236605</v>
      </c>
      <c r="F23" s="52">
        <v>149338993</v>
      </c>
      <c r="G23" s="58">
        <v>168453953</v>
      </c>
      <c r="H23" s="58">
        <v>161442565.58000001</v>
      </c>
      <c r="I23" s="58"/>
      <c r="J23" s="52">
        <v>161245263.58000001</v>
      </c>
      <c r="K23" s="52"/>
      <c r="L23" s="52">
        <v>158079632</v>
      </c>
      <c r="M23" s="52"/>
      <c r="N23" s="52">
        <v>153154189.58000001</v>
      </c>
      <c r="O23" s="52"/>
      <c r="P23" s="52">
        <v>138102291</v>
      </c>
      <c r="Q23" s="52"/>
      <c r="R23" s="52">
        <v>129320168</v>
      </c>
      <c r="S23" s="52"/>
      <c r="T23" s="52">
        <v>121154294.58</v>
      </c>
      <c r="U23" s="52"/>
      <c r="V23" s="98">
        <v>129668330.83</v>
      </c>
      <c r="W23" s="98"/>
      <c r="X23" s="98">
        <v>126935755.63</v>
      </c>
    </row>
    <row r="24" spans="2:24">
      <c r="B24" s="17"/>
      <c r="C24" s="14" t="s">
        <v>236</v>
      </c>
      <c r="D24" s="52"/>
      <c r="E24" s="52"/>
      <c r="F24" s="52"/>
      <c r="G24" s="58"/>
      <c r="H24" s="52">
        <v>0</v>
      </c>
      <c r="I24" s="52"/>
      <c r="J24" s="52">
        <v>0</v>
      </c>
      <c r="K24" s="52"/>
      <c r="L24" s="52">
        <v>0</v>
      </c>
      <c r="M24" s="52"/>
      <c r="N24" s="52">
        <v>0</v>
      </c>
      <c r="O24" s="52"/>
      <c r="P24" s="52">
        <v>2679485</v>
      </c>
      <c r="Q24" s="52"/>
      <c r="R24" s="52">
        <v>2381764</v>
      </c>
      <c r="S24" s="52"/>
      <c r="T24" s="52">
        <v>2084043</v>
      </c>
      <c r="U24" s="52"/>
      <c r="V24" s="98">
        <v>1786322</v>
      </c>
      <c r="W24" s="98"/>
      <c r="X24" s="98">
        <v>1488601</v>
      </c>
    </row>
    <row r="25" spans="2:24">
      <c r="B25" s="17"/>
      <c r="C25" s="14" t="s">
        <v>237</v>
      </c>
      <c r="D25" s="52"/>
      <c r="E25" s="52"/>
      <c r="F25" s="52"/>
      <c r="G25" s="58"/>
      <c r="H25" s="52">
        <v>155939670.58000001</v>
      </c>
      <c r="I25" s="52"/>
      <c r="J25" s="52">
        <v>151663660.58000001</v>
      </c>
      <c r="K25" s="52"/>
      <c r="L25" s="52">
        <v>147693479.58000001</v>
      </c>
      <c r="M25" s="52"/>
      <c r="N25" s="52">
        <v>143723300.58000001</v>
      </c>
      <c r="O25" s="52"/>
      <c r="P25" s="52">
        <v>127676401.58</v>
      </c>
      <c r="Q25" s="52"/>
      <c r="R25" s="52">
        <v>120107973.58</v>
      </c>
      <c r="S25" s="52"/>
      <c r="T25" s="52">
        <v>113155795.58</v>
      </c>
      <c r="U25" s="52"/>
      <c r="V25" s="98">
        <v>105895492.58</v>
      </c>
      <c r="W25" s="98"/>
      <c r="X25" s="98">
        <v>98635191.579999998</v>
      </c>
    </row>
    <row r="26" spans="2:24">
      <c r="B26" s="17"/>
      <c r="C26" s="14" t="s">
        <v>238</v>
      </c>
      <c r="D26" s="52"/>
      <c r="E26" s="52"/>
      <c r="F26" s="52"/>
      <c r="G26" s="58"/>
      <c r="H26" s="52">
        <v>5502895</v>
      </c>
      <c r="I26" s="52"/>
      <c r="J26" s="52">
        <v>5372020</v>
      </c>
      <c r="K26" s="52"/>
      <c r="L26" s="52">
        <v>4922179</v>
      </c>
      <c r="M26" s="52"/>
      <c r="N26" s="52">
        <v>4472338</v>
      </c>
      <c r="O26" s="52"/>
      <c r="P26" s="52">
        <v>4099321</v>
      </c>
      <c r="Q26" s="52"/>
      <c r="R26" s="52">
        <v>3653693</v>
      </c>
      <c r="S26" s="52"/>
      <c r="T26" s="52">
        <v>3208065</v>
      </c>
      <c r="U26" s="52"/>
      <c r="V26" s="98">
        <v>2762437</v>
      </c>
      <c r="W26" s="98"/>
      <c r="X26" s="98">
        <v>2316809</v>
      </c>
    </row>
    <row r="27" spans="2:24">
      <c r="B27" s="17"/>
      <c r="C27" s="14" t="s">
        <v>239</v>
      </c>
      <c r="D27" s="52"/>
      <c r="E27" s="52"/>
      <c r="F27" s="52"/>
      <c r="G27" s="58"/>
      <c r="H27" s="52">
        <v>0</v>
      </c>
      <c r="I27" s="52"/>
      <c r="J27" s="52">
        <v>4209583</v>
      </c>
      <c r="K27" s="52"/>
      <c r="L27" s="52">
        <v>5463973</v>
      </c>
      <c r="M27" s="52"/>
      <c r="N27" s="52">
        <v>4958551</v>
      </c>
      <c r="O27" s="52"/>
      <c r="P27" s="52">
        <v>3647083</v>
      </c>
      <c r="Q27" s="52"/>
      <c r="R27" s="52">
        <v>3176737</v>
      </c>
      <c r="S27" s="52"/>
      <c r="T27" s="52">
        <v>2706391</v>
      </c>
      <c r="U27" s="52"/>
      <c r="V27" s="98">
        <v>2236045</v>
      </c>
      <c r="W27" s="98"/>
      <c r="X27" s="98">
        <v>3238499</v>
      </c>
    </row>
    <row r="28" spans="2:24">
      <c r="B28" s="17"/>
      <c r="C28" s="14" t="s">
        <v>247</v>
      </c>
      <c r="D28" s="5"/>
      <c r="E28" s="20"/>
      <c r="F28" s="20"/>
      <c r="G28" s="20"/>
      <c r="H28" s="20"/>
      <c r="I28" s="20"/>
      <c r="J28" s="20"/>
      <c r="K28" s="20"/>
      <c r="L28" s="78"/>
      <c r="M28" s="78"/>
      <c r="N28" s="78"/>
      <c r="O28" s="78"/>
      <c r="P28" s="78"/>
      <c r="Q28" s="78"/>
      <c r="R28" s="52"/>
      <c r="S28" s="52"/>
      <c r="T28" s="52"/>
      <c r="U28" s="52"/>
      <c r="V28" s="78">
        <v>16988034</v>
      </c>
      <c r="W28" s="78"/>
      <c r="X28" s="98">
        <v>21256655.050000001</v>
      </c>
    </row>
    <row r="29" spans="2:24" ht="15.75" thickBot="1">
      <c r="B29" s="15" t="s">
        <v>15</v>
      </c>
      <c r="C29" s="15"/>
      <c r="D29" s="16">
        <f t="shared" ref="D29:T29" si="3">+D4+D15</f>
        <v>424443705.16000003</v>
      </c>
      <c r="E29" s="16">
        <f t="shared" si="3"/>
        <v>684388470.30999994</v>
      </c>
      <c r="F29" s="16">
        <f t="shared" si="3"/>
        <v>641945756.44000006</v>
      </c>
      <c r="G29" s="16">
        <f t="shared" si="3"/>
        <v>750076091.75999999</v>
      </c>
      <c r="H29" s="16">
        <f t="shared" si="3"/>
        <v>686681747.51999998</v>
      </c>
      <c r="I29" s="16"/>
      <c r="J29" s="16">
        <f t="shared" si="3"/>
        <v>699239746.81999993</v>
      </c>
      <c r="K29" s="16"/>
      <c r="L29" s="16">
        <f t="shared" si="3"/>
        <v>767074314.70999992</v>
      </c>
      <c r="M29" s="16"/>
      <c r="N29" s="16">
        <f t="shared" si="3"/>
        <v>820513527.35000002</v>
      </c>
      <c r="O29" s="16"/>
      <c r="P29" s="16">
        <f t="shared" si="3"/>
        <v>857754430.90999997</v>
      </c>
      <c r="Q29" s="16"/>
      <c r="R29" s="16">
        <f t="shared" si="3"/>
        <v>841279099.13999999</v>
      </c>
      <c r="S29" s="16"/>
      <c r="T29" s="16">
        <f t="shared" si="3"/>
        <v>841575418.70000005</v>
      </c>
      <c r="U29" s="16"/>
      <c r="V29" s="16">
        <f>+V4+V15</f>
        <v>825229418.4000001</v>
      </c>
      <c r="W29" s="16"/>
      <c r="X29" s="86">
        <f>X4+X15</f>
        <v>804112948.84000003</v>
      </c>
    </row>
    <row r="30" spans="2:24" ht="16.5" thickTop="1" thickBot="1">
      <c r="B30" s="17"/>
      <c r="C30" s="17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V30" s="13"/>
      <c r="W30" s="13"/>
      <c r="X30" s="13"/>
    </row>
    <row r="31" spans="2:24" s="43" customFormat="1" ht="15.75" thickBot="1">
      <c r="B31" s="42" t="s">
        <v>16</v>
      </c>
      <c r="C31" s="42"/>
      <c r="D31" s="47" t="s">
        <v>35</v>
      </c>
      <c r="E31" s="47" t="s">
        <v>36</v>
      </c>
      <c r="F31" s="47" t="s">
        <v>37</v>
      </c>
      <c r="G31" s="47" t="s">
        <v>38</v>
      </c>
      <c r="H31" s="44" t="s">
        <v>40</v>
      </c>
      <c r="I31" s="44"/>
      <c r="J31" s="44" t="s">
        <v>41</v>
      </c>
      <c r="K31" s="44"/>
      <c r="L31" s="44" t="s">
        <v>42</v>
      </c>
      <c r="M31" s="44"/>
      <c r="N31" s="44" t="s">
        <v>43</v>
      </c>
      <c r="O31" s="44"/>
      <c r="P31" s="44" t="s">
        <v>44</v>
      </c>
      <c r="Q31" s="44"/>
      <c r="R31" s="44" t="s">
        <v>195</v>
      </c>
      <c r="S31" s="44"/>
      <c r="T31" s="44" t="s">
        <v>196</v>
      </c>
      <c r="U31" s="44"/>
      <c r="V31" s="44" t="s">
        <v>208</v>
      </c>
      <c r="W31" s="44"/>
      <c r="X31" s="46" t="s">
        <v>35</v>
      </c>
    </row>
    <row r="32" spans="2:24">
      <c r="B32" s="13"/>
      <c r="C32" s="13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13"/>
    </row>
    <row r="33" spans="2:24">
      <c r="B33" s="19" t="s">
        <v>17</v>
      </c>
      <c r="C33" s="19"/>
      <c r="D33" s="19">
        <f t="shared" ref="D33:R33" si="4">SUM(D35:D40)</f>
        <v>260926184.75</v>
      </c>
      <c r="E33" s="19">
        <f t="shared" si="4"/>
        <v>429735765.30000001</v>
      </c>
      <c r="F33" s="19">
        <f t="shared" si="4"/>
        <v>388098413.31999999</v>
      </c>
      <c r="G33" s="19">
        <f>SUM(G35:G40)</f>
        <v>493003356.31999999</v>
      </c>
      <c r="H33" s="19">
        <f t="shared" si="4"/>
        <v>423784454.19999999</v>
      </c>
      <c r="I33" s="19"/>
      <c r="J33" s="19">
        <f t="shared" si="4"/>
        <v>432730528.02999997</v>
      </c>
      <c r="K33" s="19"/>
      <c r="L33" s="19">
        <f t="shared" si="4"/>
        <v>520238506.44999999</v>
      </c>
      <c r="M33" s="19"/>
      <c r="N33" s="19">
        <f t="shared" si="4"/>
        <v>587832652.30999994</v>
      </c>
      <c r="O33" s="19"/>
      <c r="P33" s="19">
        <f t="shared" si="4"/>
        <v>652957963.60000002</v>
      </c>
      <c r="Q33" s="19"/>
      <c r="R33" s="19">
        <f t="shared" si="4"/>
        <v>658180390</v>
      </c>
      <c r="S33" s="19"/>
      <c r="T33" s="19">
        <f>SUM(T35:T40)</f>
        <v>152929881.92000002</v>
      </c>
      <c r="U33" s="19"/>
      <c r="V33" s="19">
        <f>SUM(V35:V40)</f>
        <v>174454572.72</v>
      </c>
      <c r="W33" s="19"/>
      <c r="X33" s="87">
        <f>SUM(X35:X40)</f>
        <v>144706607.25999999</v>
      </c>
    </row>
    <row r="34" spans="2:24">
      <c r="B34" s="17"/>
      <c r="C34" s="17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38"/>
      <c r="S34" s="38"/>
      <c r="T34" s="38"/>
      <c r="U34" s="38"/>
      <c r="V34" s="38"/>
      <c r="W34" s="38"/>
      <c r="X34" s="81"/>
    </row>
    <row r="35" spans="2:24">
      <c r="B35" s="17" t="s">
        <v>18</v>
      </c>
      <c r="C35" s="14"/>
      <c r="D35" s="52">
        <v>178672729.06999999</v>
      </c>
      <c r="E35" s="52">
        <v>297405714.66000003</v>
      </c>
      <c r="F35" s="52">
        <v>321473108.27999997</v>
      </c>
      <c r="G35" s="58">
        <v>406405616.89999998</v>
      </c>
      <c r="H35" s="52">
        <v>386626653.06999999</v>
      </c>
      <c r="I35" s="52"/>
      <c r="J35" s="52">
        <v>377013785.70999998</v>
      </c>
      <c r="K35" s="52"/>
      <c r="L35" s="52">
        <v>429934511.70999998</v>
      </c>
      <c r="M35" s="52"/>
      <c r="N35" s="52">
        <v>499545655.70999998</v>
      </c>
      <c r="O35" s="52"/>
      <c r="P35" s="52">
        <v>551544586</v>
      </c>
      <c r="Q35" s="52"/>
      <c r="R35" s="52">
        <v>589387424</v>
      </c>
      <c r="S35" s="52"/>
      <c r="T35" s="52">
        <v>79130691</v>
      </c>
      <c r="U35" s="52"/>
      <c r="V35" s="101">
        <v>85669279</v>
      </c>
      <c r="W35" s="101"/>
      <c r="X35" s="103">
        <v>74179807</v>
      </c>
    </row>
    <row r="36" spans="2:24">
      <c r="B36" s="17" t="s">
        <v>19</v>
      </c>
      <c r="C36" s="14"/>
      <c r="D36" s="52">
        <v>71765640</v>
      </c>
      <c r="E36" s="52">
        <v>81820458.959999993</v>
      </c>
      <c r="F36" s="52">
        <v>27631326</v>
      </c>
      <c r="G36" s="58">
        <v>22510096.379999999</v>
      </c>
      <c r="H36" s="52">
        <v>21350542.579999998</v>
      </c>
      <c r="I36" s="52"/>
      <c r="J36" s="52">
        <v>14971465</v>
      </c>
      <c r="K36" s="52"/>
      <c r="L36" s="52">
        <v>25318289.140000001</v>
      </c>
      <c r="M36" s="52"/>
      <c r="N36" s="52">
        <v>15884966</v>
      </c>
      <c r="O36" s="52"/>
      <c r="P36" s="52">
        <v>14474536</v>
      </c>
      <c r="Q36" s="52"/>
      <c r="R36" s="52">
        <v>14106489</v>
      </c>
      <c r="S36" s="52"/>
      <c r="T36" s="52">
        <v>22537119.960000001</v>
      </c>
      <c r="U36" s="52"/>
      <c r="V36" s="74">
        <v>16742582.76</v>
      </c>
      <c r="W36" s="74"/>
      <c r="X36" s="85">
        <v>20224910.620000001</v>
      </c>
    </row>
    <row r="37" spans="2:24">
      <c r="B37" s="17" t="s">
        <v>20</v>
      </c>
      <c r="C37" s="14"/>
      <c r="D37" s="52">
        <v>6854031.6799999997</v>
      </c>
      <c r="E37" s="52">
        <v>24944615.68</v>
      </c>
      <c r="F37" s="52">
        <v>35765376.039999999</v>
      </c>
      <c r="G37" s="58">
        <v>62614693.039999999</v>
      </c>
      <c r="H37" s="52">
        <v>11093606.550000001</v>
      </c>
      <c r="I37" s="52"/>
      <c r="J37" s="52">
        <v>31923373.32</v>
      </c>
      <c r="K37" s="52"/>
      <c r="L37" s="52">
        <v>43366915.600000001</v>
      </c>
      <c r="M37" s="52"/>
      <c r="N37" s="52">
        <v>55312021.600000001</v>
      </c>
      <c r="O37" s="52"/>
      <c r="P37" s="52">
        <v>69552222.599999994</v>
      </c>
      <c r="Q37" s="52"/>
      <c r="R37" s="52">
        <v>26089552</v>
      </c>
      <c r="S37" s="52"/>
      <c r="T37" s="52">
        <v>37515472.960000001</v>
      </c>
      <c r="U37" s="52"/>
      <c r="V37" s="101">
        <v>42517988.960000001</v>
      </c>
      <c r="W37" s="101"/>
      <c r="X37" s="103">
        <v>25821366.640000001</v>
      </c>
    </row>
    <row r="38" spans="2:24">
      <c r="B38" s="17" t="s">
        <v>27</v>
      </c>
      <c r="C38" s="14"/>
      <c r="D38" s="52">
        <v>1716000</v>
      </c>
      <c r="E38" s="52">
        <v>5583902</v>
      </c>
      <c r="F38" s="52">
        <v>0</v>
      </c>
      <c r="G38" s="58">
        <v>1047399</v>
      </c>
      <c r="H38" s="52">
        <v>221800</v>
      </c>
      <c r="I38" s="52"/>
      <c r="J38" s="52">
        <v>0</v>
      </c>
      <c r="K38" s="52"/>
      <c r="L38" s="52">
        <v>11197242</v>
      </c>
      <c r="M38" s="52"/>
      <c r="N38" s="52">
        <v>1000000</v>
      </c>
      <c r="O38" s="52"/>
      <c r="P38" s="52">
        <v>0</v>
      </c>
      <c r="Q38" s="52"/>
      <c r="R38" s="52">
        <v>10495616</v>
      </c>
      <c r="S38" s="52"/>
      <c r="T38" s="52">
        <v>2167</v>
      </c>
      <c r="U38" s="52"/>
      <c r="V38" s="101">
        <v>8131337</v>
      </c>
      <c r="W38" s="101"/>
      <c r="X38" s="103">
        <v>2167</v>
      </c>
    </row>
    <row r="39" spans="2:24">
      <c r="B39" s="17" t="s">
        <v>197</v>
      </c>
      <c r="C39" s="14"/>
      <c r="D39" s="52">
        <v>1917784</v>
      </c>
      <c r="E39" s="52">
        <v>19981074</v>
      </c>
      <c r="F39" s="52">
        <v>3228603</v>
      </c>
      <c r="G39" s="58">
        <v>425551</v>
      </c>
      <c r="H39" s="52">
        <v>4491852</v>
      </c>
      <c r="I39" s="52"/>
      <c r="J39" s="52">
        <v>8821904</v>
      </c>
      <c r="K39" s="52"/>
      <c r="L39" s="52">
        <v>10421548</v>
      </c>
      <c r="M39" s="52"/>
      <c r="N39" s="52">
        <v>16090009</v>
      </c>
      <c r="O39" s="52"/>
      <c r="P39" s="52">
        <v>17386619</v>
      </c>
      <c r="Q39" s="52"/>
      <c r="R39" s="52">
        <v>18101309</v>
      </c>
      <c r="S39" s="52"/>
      <c r="T39" s="52">
        <v>11902271</v>
      </c>
      <c r="U39" s="52"/>
      <c r="V39" s="101">
        <v>19551225</v>
      </c>
      <c r="W39" s="101"/>
      <c r="X39" s="103">
        <v>22636196</v>
      </c>
    </row>
    <row r="40" spans="2:24">
      <c r="B40" s="17" t="s">
        <v>198</v>
      </c>
      <c r="C40" s="14"/>
      <c r="D40" s="5">
        <v>0</v>
      </c>
      <c r="E40" s="5">
        <v>0</v>
      </c>
      <c r="F40" s="5">
        <v>0</v>
      </c>
      <c r="G40" s="58">
        <v>0</v>
      </c>
      <c r="H40" s="5">
        <v>0</v>
      </c>
      <c r="I40" s="5"/>
      <c r="J40" s="5">
        <v>0</v>
      </c>
      <c r="K40" s="5"/>
      <c r="L40" s="5">
        <v>0</v>
      </c>
      <c r="M40" s="5"/>
      <c r="N40" s="5">
        <v>0</v>
      </c>
      <c r="O40" s="5"/>
      <c r="P40" s="5">
        <v>0</v>
      </c>
      <c r="Q40" s="5"/>
      <c r="R40" s="38">
        <v>0</v>
      </c>
      <c r="S40" s="38"/>
      <c r="T40" s="52">
        <v>1842160</v>
      </c>
      <c r="U40" s="52"/>
      <c r="V40" s="101">
        <v>1842160</v>
      </c>
      <c r="W40" s="101"/>
      <c r="X40" s="103">
        <v>1842160</v>
      </c>
    </row>
    <row r="41" spans="2:24">
      <c r="B41" s="17"/>
      <c r="C41" s="17"/>
      <c r="D41" s="20"/>
      <c r="E41" s="20"/>
      <c r="F41" s="5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T41" s="38"/>
      <c r="U41" s="38"/>
      <c r="V41" s="38"/>
      <c r="W41" s="38"/>
      <c r="X41" s="13"/>
    </row>
    <row r="42" spans="2:24" ht="15.75" thickBot="1">
      <c r="B42" s="15" t="s">
        <v>21</v>
      </c>
      <c r="C42" s="15"/>
      <c r="D42" s="16">
        <f>+D33</f>
        <v>260926184.75</v>
      </c>
      <c r="E42" s="16">
        <f t="shared" ref="E42:R42" si="5">+E33</f>
        <v>429735765.30000001</v>
      </c>
      <c r="F42" s="16">
        <f t="shared" si="5"/>
        <v>388098413.31999999</v>
      </c>
      <c r="G42" s="16">
        <f t="shared" si="5"/>
        <v>493003356.31999999</v>
      </c>
      <c r="H42" s="16">
        <f t="shared" si="5"/>
        <v>423784454.19999999</v>
      </c>
      <c r="I42" s="16"/>
      <c r="J42" s="16">
        <f t="shared" si="5"/>
        <v>432730528.02999997</v>
      </c>
      <c r="K42" s="16"/>
      <c r="L42" s="16">
        <f t="shared" si="5"/>
        <v>520238506.44999999</v>
      </c>
      <c r="M42" s="16"/>
      <c r="N42" s="16">
        <f t="shared" si="5"/>
        <v>587832652.30999994</v>
      </c>
      <c r="O42" s="16"/>
      <c r="P42" s="16">
        <f t="shared" si="5"/>
        <v>652957963.60000002</v>
      </c>
      <c r="Q42" s="16"/>
      <c r="R42" s="16">
        <f t="shared" si="5"/>
        <v>658180390</v>
      </c>
      <c r="S42" s="16"/>
      <c r="T42" s="16">
        <f>+T33</f>
        <v>152929881.92000002</v>
      </c>
      <c r="U42" s="16"/>
      <c r="V42" s="16">
        <f>+V33</f>
        <v>174454572.72</v>
      </c>
      <c r="W42" s="16"/>
      <c r="X42" s="88">
        <f>X33</f>
        <v>144706607.25999999</v>
      </c>
    </row>
    <row r="43" spans="2:24" ht="15.75" thickTop="1">
      <c r="B43" s="17"/>
      <c r="C43" s="17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13"/>
    </row>
    <row r="44" spans="2:24">
      <c r="B44" s="17" t="s">
        <v>22</v>
      </c>
      <c r="C44" s="17"/>
      <c r="D44" s="21">
        <f t="shared" ref="D44:T44" si="6">+D46+D47+D48</f>
        <v>163517520.41</v>
      </c>
      <c r="E44" s="21">
        <f t="shared" si="6"/>
        <v>254652705.00999999</v>
      </c>
      <c r="F44" s="21">
        <f t="shared" si="6"/>
        <v>253847342.52000007</v>
      </c>
      <c r="G44" s="21">
        <f>+G46+G47+G48</f>
        <v>257072735.44000006</v>
      </c>
      <c r="H44" s="21">
        <f t="shared" si="6"/>
        <v>262897293.25999999</v>
      </c>
      <c r="I44" s="21"/>
      <c r="J44" s="21">
        <f t="shared" si="6"/>
        <v>266509218.44999999</v>
      </c>
      <c r="K44" s="21"/>
      <c r="L44" s="21">
        <f t="shared" si="6"/>
        <v>246835808.06000006</v>
      </c>
      <c r="M44" s="21"/>
      <c r="N44" s="21">
        <f t="shared" si="6"/>
        <v>232680874.60000005</v>
      </c>
      <c r="O44" s="21"/>
      <c r="P44" s="21">
        <f t="shared" si="6"/>
        <v>204796467.65000001</v>
      </c>
      <c r="Q44" s="21"/>
      <c r="R44" s="21">
        <f t="shared" si="6"/>
        <v>183098709.01000005</v>
      </c>
      <c r="S44" s="21"/>
      <c r="T44" s="21">
        <f t="shared" si="6"/>
        <v>688645536.77999997</v>
      </c>
      <c r="U44" s="21"/>
      <c r="V44" s="21">
        <f>+V46+V47+V48</f>
        <v>650913070.34000003</v>
      </c>
      <c r="W44" s="21"/>
      <c r="X44" s="82">
        <f>X46+X47+X48</f>
        <v>659406341.34000003</v>
      </c>
    </row>
    <row r="45" spans="2:24">
      <c r="B45" s="17"/>
      <c r="C45" s="17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5"/>
      <c r="S45" s="5"/>
      <c r="T45" s="38"/>
      <c r="U45" s="38"/>
      <c r="V45" s="38"/>
      <c r="W45" s="38"/>
      <c r="X45" s="83"/>
    </row>
    <row r="46" spans="2:24">
      <c r="B46" s="17" t="s">
        <v>23</v>
      </c>
      <c r="C46" s="14"/>
      <c r="D46" s="52">
        <v>149816494</v>
      </c>
      <c r="E46" s="52">
        <v>200000000</v>
      </c>
      <c r="F46" s="52">
        <v>200000000</v>
      </c>
      <c r="G46" s="58">
        <v>200000000</v>
      </c>
      <c r="H46" s="52">
        <v>200000000</v>
      </c>
      <c r="I46" s="52"/>
      <c r="J46" s="52">
        <v>200000000</v>
      </c>
      <c r="K46" s="52"/>
      <c r="L46" s="52">
        <v>200000000</v>
      </c>
      <c r="M46" s="52"/>
      <c r="N46" s="52">
        <v>200000000</v>
      </c>
      <c r="O46" s="52"/>
      <c r="P46" s="52">
        <v>200000000</v>
      </c>
      <c r="Q46" s="52"/>
      <c r="R46" s="52">
        <v>200000000</v>
      </c>
      <c r="S46" s="52"/>
      <c r="T46" s="52">
        <v>750000000</v>
      </c>
      <c r="U46" s="52"/>
      <c r="V46" s="75">
        <v>750000000</v>
      </c>
      <c r="W46" s="75"/>
      <c r="X46" s="104">
        <v>750000000</v>
      </c>
    </row>
    <row r="47" spans="2:24">
      <c r="B47" s="17" t="s">
        <v>6</v>
      </c>
      <c r="C47" s="14"/>
      <c r="D47" s="38">
        <v>13701026.41</v>
      </c>
      <c r="E47" s="50">
        <v>54652705.009999983</v>
      </c>
      <c r="F47" s="38">
        <v>53847342.520000078</v>
      </c>
      <c r="G47" s="59">
        <v>57072735.440000072</v>
      </c>
      <c r="H47" s="38">
        <f>+H110</f>
        <v>5507186.9199999981</v>
      </c>
      <c r="I47" s="38"/>
      <c r="J47" s="38">
        <f t="shared" ref="J47:R47" si="7">+J110</f>
        <v>9119112.4499999918</v>
      </c>
      <c r="K47" s="38"/>
      <c r="L47" s="38">
        <f t="shared" si="7"/>
        <v>-10554298.27999993</v>
      </c>
      <c r="M47" s="38"/>
      <c r="N47" s="38">
        <f t="shared" si="7"/>
        <v>-24709231.739999954</v>
      </c>
      <c r="O47" s="38"/>
      <c r="P47" s="38">
        <f t="shared" si="7"/>
        <v>-52593638.690000005</v>
      </c>
      <c r="Q47" s="38"/>
      <c r="R47" s="38">
        <f t="shared" si="7"/>
        <v>-74291397.329999968</v>
      </c>
      <c r="S47" s="38"/>
      <c r="T47" s="38">
        <f>+T110</f>
        <v>-118744569.56000009</v>
      </c>
      <c r="U47" s="38"/>
      <c r="V47" s="68">
        <v>-156477036</v>
      </c>
      <c r="W47" s="68"/>
      <c r="X47" s="68">
        <f>-147914653-69112</f>
        <v>-147983765</v>
      </c>
    </row>
    <row r="48" spans="2:24">
      <c r="B48" s="17" t="s">
        <v>24</v>
      </c>
      <c r="C48" s="14"/>
      <c r="D48" s="5">
        <v>0</v>
      </c>
      <c r="E48" s="5"/>
      <c r="F48" s="40"/>
      <c r="G48" s="40"/>
      <c r="H48" s="52">
        <v>57390106.340000004</v>
      </c>
      <c r="I48" s="52"/>
      <c r="J48" s="52">
        <v>57390106</v>
      </c>
      <c r="K48" s="52"/>
      <c r="L48" s="52">
        <v>57390106.340000004</v>
      </c>
      <c r="M48" s="52"/>
      <c r="N48" s="52">
        <v>57390106.340000004</v>
      </c>
      <c r="O48" s="52"/>
      <c r="P48" s="52">
        <v>57390106.340000004</v>
      </c>
      <c r="Q48" s="52"/>
      <c r="R48" s="52">
        <v>57390106.340000004</v>
      </c>
      <c r="S48" s="52"/>
      <c r="T48" s="52">
        <v>57390106.340000004</v>
      </c>
      <c r="U48" s="52"/>
      <c r="V48" s="75">
        <v>57390106.340000004</v>
      </c>
      <c r="W48" s="75"/>
      <c r="X48" s="104">
        <v>57390106.340000004</v>
      </c>
    </row>
    <row r="49" spans="2:24">
      <c r="B49" s="17"/>
      <c r="C49" s="1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T49" s="38"/>
      <c r="U49" s="38"/>
      <c r="V49" s="38"/>
      <c r="W49" s="38"/>
      <c r="X49" s="83"/>
    </row>
    <row r="50" spans="2:24">
      <c r="B50" s="15" t="s">
        <v>25</v>
      </c>
      <c r="C50" s="15"/>
      <c r="D50" s="19">
        <f t="shared" ref="D50:T50" si="8">+D44</f>
        <v>163517520.41</v>
      </c>
      <c r="E50" s="19">
        <f t="shared" si="8"/>
        <v>254652705.00999999</v>
      </c>
      <c r="F50" s="19">
        <f t="shared" si="8"/>
        <v>253847342.52000007</v>
      </c>
      <c r="G50" s="19">
        <f t="shared" si="8"/>
        <v>257072735.44000006</v>
      </c>
      <c r="H50" s="19">
        <f t="shared" si="8"/>
        <v>262897293.25999999</v>
      </c>
      <c r="I50" s="19"/>
      <c r="J50" s="19">
        <f t="shared" si="8"/>
        <v>266509218.44999999</v>
      </c>
      <c r="K50" s="19"/>
      <c r="L50" s="19">
        <f t="shared" si="8"/>
        <v>246835808.06000006</v>
      </c>
      <c r="M50" s="19"/>
      <c r="N50" s="19">
        <f t="shared" si="8"/>
        <v>232680874.60000005</v>
      </c>
      <c r="O50" s="19"/>
      <c r="P50" s="19">
        <f t="shared" si="8"/>
        <v>204796467.65000001</v>
      </c>
      <c r="Q50" s="19"/>
      <c r="R50" s="19">
        <f t="shared" si="8"/>
        <v>183098709.01000005</v>
      </c>
      <c r="S50" s="19"/>
      <c r="T50" s="19">
        <f t="shared" si="8"/>
        <v>688645536.77999997</v>
      </c>
      <c r="U50" s="19"/>
      <c r="V50" s="71">
        <f>V44</f>
        <v>650913070.34000003</v>
      </c>
      <c r="W50" s="71"/>
      <c r="X50" s="90">
        <f>X44</f>
        <v>659406341.34000003</v>
      </c>
    </row>
    <row r="51" spans="2:24">
      <c r="B51" s="17"/>
      <c r="C51" s="17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3"/>
    </row>
    <row r="52" spans="2:24" ht="15.75" thickBot="1">
      <c r="B52" s="15" t="s">
        <v>26</v>
      </c>
      <c r="C52" s="15"/>
      <c r="D52" s="16">
        <f>+D42+D50</f>
        <v>424443705.15999997</v>
      </c>
      <c r="E52" s="16">
        <f>+E42+E50</f>
        <v>684388470.30999994</v>
      </c>
      <c r="F52" s="16">
        <f t="shared" ref="F52:T52" si="9">+F42+F50+0.22</f>
        <v>641945756.06000006</v>
      </c>
      <c r="G52" s="16">
        <f t="shared" si="9"/>
        <v>750076091.98000002</v>
      </c>
      <c r="H52" s="16">
        <f t="shared" si="9"/>
        <v>686681747.68000007</v>
      </c>
      <c r="I52" s="16"/>
      <c r="J52" s="16">
        <f t="shared" si="9"/>
        <v>699239746.70000005</v>
      </c>
      <c r="K52" s="16"/>
      <c r="L52" s="16">
        <f t="shared" si="9"/>
        <v>767074314.73000002</v>
      </c>
      <c r="M52" s="16"/>
      <c r="N52" s="16">
        <f t="shared" si="9"/>
        <v>820513527.13</v>
      </c>
      <c r="O52" s="16"/>
      <c r="P52" s="16">
        <f t="shared" si="9"/>
        <v>857754431.47000003</v>
      </c>
      <c r="Q52" s="16"/>
      <c r="R52" s="16">
        <f t="shared" si="9"/>
        <v>841279099.23000002</v>
      </c>
      <c r="S52" s="16"/>
      <c r="T52" s="16">
        <f t="shared" si="9"/>
        <v>841575418.92000008</v>
      </c>
      <c r="U52" s="16"/>
      <c r="V52" s="16">
        <f>+V42+V50</f>
        <v>825367643.06000006</v>
      </c>
      <c r="W52" s="16"/>
      <c r="X52" s="89">
        <f>X42+X50</f>
        <v>804112948.60000002</v>
      </c>
    </row>
    <row r="53" spans="2:24" ht="16.5" thickTop="1" thickBot="1">
      <c r="V53" s="13"/>
      <c r="W53" s="13"/>
      <c r="X53" s="13"/>
    </row>
    <row r="54" spans="2:24" ht="15.75" thickBot="1">
      <c r="B54" s="41" t="s">
        <v>0</v>
      </c>
      <c r="C54" s="41"/>
      <c r="D54" s="48" t="s">
        <v>35</v>
      </c>
      <c r="E54" s="49" t="s">
        <v>36</v>
      </c>
      <c r="F54" s="49" t="s">
        <v>37</v>
      </c>
      <c r="G54" s="49" t="s">
        <v>38</v>
      </c>
      <c r="H54" s="45" t="s">
        <v>40</v>
      </c>
      <c r="I54" s="45"/>
      <c r="J54" s="46" t="s">
        <v>41</v>
      </c>
      <c r="K54" s="46"/>
      <c r="L54" s="46" t="s">
        <v>42</v>
      </c>
      <c r="M54" s="46"/>
      <c r="N54" s="46" t="s">
        <v>43</v>
      </c>
      <c r="O54" s="46"/>
      <c r="P54" s="46" t="s">
        <v>44</v>
      </c>
      <c r="Q54" s="46"/>
      <c r="R54" s="46" t="s">
        <v>195</v>
      </c>
      <c r="S54" s="46"/>
      <c r="T54" s="46" t="s">
        <v>196</v>
      </c>
      <c r="U54" s="46"/>
      <c r="V54" s="46" t="s">
        <v>208</v>
      </c>
      <c r="W54" s="46"/>
      <c r="X54" s="46" t="s">
        <v>35</v>
      </c>
    </row>
    <row r="55" spans="2:24">
      <c r="B55" s="3"/>
      <c r="C55" s="3"/>
      <c r="D55" s="35"/>
      <c r="E55" s="10"/>
      <c r="F55" s="10"/>
      <c r="G55" s="10"/>
      <c r="H55" s="35"/>
      <c r="I55" s="3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3"/>
    </row>
    <row r="56" spans="2:24">
      <c r="B56" s="4" t="s">
        <v>1</v>
      </c>
      <c r="C56" s="4"/>
      <c r="D56" s="24">
        <f>+D58</f>
        <v>145861070.5</v>
      </c>
      <c r="E56" s="24">
        <f>+E58</f>
        <v>380311877.5</v>
      </c>
      <c r="F56" s="24">
        <f t="shared" ref="F56:L56" si="10">+F58</f>
        <v>640428977.70000005</v>
      </c>
      <c r="G56" s="24">
        <f t="shared" si="10"/>
        <v>843992753.70000005</v>
      </c>
      <c r="H56" s="24">
        <f t="shared" si="10"/>
        <v>184231322.40000001</v>
      </c>
      <c r="I56" s="24"/>
      <c r="J56" s="24">
        <f t="shared" si="10"/>
        <v>370531330.05000001</v>
      </c>
      <c r="K56" s="24"/>
      <c r="L56" s="24">
        <f t="shared" si="10"/>
        <v>527451676.85000002</v>
      </c>
      <c r="M56" s="24"/>
      <c r="N56" s="24">
        <f>+N58</f>
        <v>720054241.85000002</v>
      </c>
      <c r="O56" s="24"/>
      <c r="P56" s="24">
        <f t="shared" ref="P56" si="11">+P58</f>
        <v>886953681.85000002</v>
      </c>
      <c r="Q56" s="24"/>
      <c r="R56" s="24">
        <f>+R58</f>
        <v>982426766.85000002</v>
      </c>
      <c r="S56" s="24"/>
      <c r="T56" s="24">
        <f>+T58</f>
        <v>1101250999.8499999</v>
      </c>
      <c r="U56" s="24"/>
      <c r="V56" s="24">
        <f>+V58</f>
        <v>1172494764.53</v>
      </c>
      <c r="W56" s="24"/>
      <c r="X56" s="91">
        <f>X58</f>
        <v>1408060452.53</v>
      </c>
    </row>
    <row r="57" spans="2:24">
      <c r="B57" s="2"/>
      <c r="C57" s="2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V57" s="13"/>
      <c r="W57" s="13"/>
      <c r="X57" s="73"/>
    </row>
    <row r="58" spans="2:24">
      <c r="B58" s="2" t="s">
        <v>2</v>
      </c>
      <c r="C58" s="2"/>
      <c r="D58" s="53">
        <v>145861070.5</v>
      </c>
      <c r="E58" s="53">
        <v>380311877.5</v>
      </c>
      <c r="F58" s="53">
        <v>640428977.70000005</v>
      </c>
      <c r="G58" s="53">
        <v>843992753.70000005</v>
      </c>
      <c r="H58" s="53">
        <v>184231322.40000001</v>
      </c>
      <c r="I58" s="53"/>
      <c r="J58" s="53">
        <v>370531330.05000001</v>
      </c>
      <c r="K58" s="53"/>
      <c r="L58" s="53">
        <v>527451676.85000002</v>
      </c>
      <c r="M58" s="53"/>
      <c r="N58" s="53">
        <v>720054241.85000002</v>
      </c>
      <c r="O58" s="53"/>
      <c r="P58" s="53">
        <v>886953681.85000002</v>
      </c>
      <c r="Q58" s="53"/>
      <c r="R58" s="53">
        <v>982426766.85000002</v>
      </c>
      <c r="S58" s="53"/>
      <c r="T58" s="53">
        <v>1101250999.8499999</v>
      </c>
      <c r="U58" s="53"/>
      <c r="V58" s="76">
        <v>1172494764.53</v>
      </c>
      <c r="W58" s="76"/>
      <c r="X58" s="77">
        <v>1408060452.53</v>
      </c>
    </row>
    <row r="59" spans="2:24">
      <c r="B59" s="2"/>
      <c r="C59" s="2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6"/>
      <c r="S59" s="26"/>
      <c r="T59" s="26"/>
      <c r="U59" s="26"/>
      <c r="V59" s="26"/>
      <c r="W59" s="26"/>
      <c r="X59" s="73"/>
    </row>
    <row r="60" spans="2:24">
      <c r="B60" s="4" t="s">
        <v>3</v>
      </c>
      <c r="C60" s="4"/>
      <c r="D60" s="24">
        <f t="shared" ref="D60:P60" si="12">+D62</f>
        <v>95571350.650000006</v>
      </c>
      <c r="E60" s="24">
        <f t="shared" si="12"/>
        <v>243084558.83000001</v>
      </c>
      <c r="F60" s="24">
        <f t="shared" si="12"/>
        <v>450857792.45999998</v>
      </c>
      <c r="G60" s="24">
        <f t="shared" si="12"/>
        <v>610298874.64999998</v>
      </c>
      <c r="H60" s="24">
        <f t="shared" si="12"/>
        <v>125553586.87</v>
      </c>
      <c r="I60" s="24"/>
      <c r="J60" s="24">
        <f t="shared" si="12"/>
        <v>254317390.30000001</v>
      </c>
      <c r="K60" s="24"/>
      <c r="L60" s="24">
        <f t="shared" si="12"/>
        <v>369577405.26999998</v>
      </c>
      <c r="M60" s="24"/>
      <c r="N60" s="24">
        <f t="shared" si="12"/>
        <v>512536201.33999997</v>
      </c>
      <c r="O60" s="24"/>
      <c r="P60" s="24">
        <f t="shared" si="12"/>
        <v>622736618.85000002</v>
      </c>
      <c r="Q60" s="24"/>
      <c r="R60" s="24">
        <f>+R62</f>
        <v>686188967.23000002</v>
      </c>
      <c r="S60" s="24"/>
      <c r="T60" s="24">
        <f>+T62</f>
        <v>773921656.12</v>
      </c>
      <c r="U60" s="24"/>
      <c r="V60" s="24">
        <f>+V62</f>
        <v>823097943.39999998</v>
      </c>
      <c r="W60" s="24"/>
      <c r="X60" s="91">
        <f>X62</f>
        <v>975071578.39999998</v>
      </c>
    </row>
    <row r="61" spans="2:24">
      <c r="B61" s="2"/>
      <c r="C61" s="2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6"/>
      <c r="S61" s="26"/>
      <c r="T61" s="26"/>
      <c r="U61" s="26"/>
      <c r="V61" s="26"/>
      <c r="W61" s="26"/>
      <c r="X61" s="73"/>
    </row>
    <row r="62" spans="2:24">
      <c r="B62" s="2" t="s">
        <v>4</v>
      </c>
      <c r="C62" s="2"/>
      <c r="D62" s="53">
        <v>95571350.650000006</v>
      </c>
      <c r="E62" s="53">
        <v>243084558.83000001</v>
      </c>
      <c r="F62" s="53">
        <v>450857792.45999998</v>
      </c>
      <c r="G62" s="53">
        <v>610298874.64999998</v>
      </c>
      <c r="H62" s="53">
        <v>125553586.87</v>
      </c>
      <c r="I62" s="53"/>
      <c r="J62" s="53">
        <v>254317390.30000001</v>
      </c>
      <c r="K62" s="53"/>
      <c r="L62" s="53">
        <v>369577405.26999998</v>
      </c>
      <c r="M62" s="53"/>
      <c r="N62" s="53">
        <v>512536201.33999997</v>
      </c>
      <c r="O62" s="53"/>
      <c r="P62" s="53">
        <v>622736618.85000002</v>
      </c>
      <c r="Q62" s="53"/>
      <c r="R62" s="53">
        <v>686188967.23000002</v>
      </c>
      <c r="S62" s="53"/>
      <c r="T62" s="53">
        <v>773921656.12</v>
      </c>
      <c r="U62" s="53"/>
      <c r="V62" s="77">
        <v>823097943.39999998</v>
      </c>
      <c r="W62" s="77"/>
      <c r="X62" s="77">
        <v>975071578.39999998</v>
      </c>
    </row>
    <row r="63" spans="2:24">
      <c r="B63" s="2"/>
      <c r="C63" s="2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6"/>
      <c r="S63" s="26"/>
      <c r="T63" s="26"/>
      <c r="U63" s="26"/>
      <c r="V63" s="26"/>
      <c r="W63" s="26"/>
      <c r="X63" s="13"/>
    </row>
    <row r="64" spans="2:24">
      <c r="B64" s="6" t="s">
        <v>5</v>
      </c>
      <c r="C64" s="6"/>
      <c r="D64" s="24">
        <f>+D56-D60</f>
        <v>50289719.849999994</v>
      </c>
      <c r="E64" s="24">
        <f>+E56-E60</f>
        <v>137227318.66999999</v>
      </c>
      <c r="F64" s="24">
        <f t="shared" ref="F64:V64" si="13">+F56-F60</f>
        <v>189571185.24000007</v>
      </c>
      <c r="G64" s="24">
        <f t="shared" si="13"/>
        <v>233693879.05000007</v>
      </c>
      <c r="H64" s="24">
        <f t="shared" si="13"/>
        <v>58677735.530000001</v>
      </c>
      <c r="I64" s="24"/>
      <c r="J64" s="24">
        <f t="shared" si="13"/>
        <v>116213939.75</v>
      </c>
      <c r="K64" s="24"/>
      <c r="L64" s="24">
        <f t="shared" si="13"/>
        <v>157874271.58000004</v>
      </c>
      <c r="M64" s="24"/>
      <c r="N64" s="24">
        <f t="shared" si="13"/>
        <v>207518040.51000005</v>
      </c>
      <c r="O64" s="24"/>
      <c r="P64" s="24">
        <f t="shared" si="13"/>
        <v>264217063</v>
      </c>
      <c r="Q64" s="24"/>
      <c r="R64" s="24">
        <f t="shared" si="13"/>
        <v>296237799.62</v>
      </c>
      <c r="S64" s="24"/>
      <c r="T64" s="24">
        <f t="shared" si="13"/>
        <v>327329343.7299999</v>
      </c>
      <c r="U64" s="24"/>
      <c r="V64" s="24">
        <f t="shared" si="13"/>
        <v>349396821.13</v>
      </c>
      <c r="W64" s="24"/>
      <c r="X64" s="91">
        <f>X56-X60</f>
        <v>432988874.13</v>
      </c>
    </row>
    <row r="65" spans="2:24">
      <c r="B65" s="7"/>
      <c r="C65" s="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6"/>
      <c r="S65" s="26"/>
      <c r="V65" s="13"/>
      <c r="W65" s="13"/>
    </row>
    <row r="66" spans="2:24">
      <c r="B66" s="7" t="s">
        <v>28</v>
      </c>
      <c r="C66" s="7"/>
      <c r="D66" s="8">
        <f t="shared" ref="D66:P66" si="14">+D64/D56</f>
        <v>0.3447782172282905</v>
      </c>
      <c r="E66" s="8">
        <f t="shared" si="14"/>
        <v>0.3608283800444807</v>
      </c>
      <c r="F66" s="8">
        <f t="shared" si="14"/>
        <v>0.29600657034729311</v>
      </c>
      <c r="G66" s="8">
        <f t="shared" si="14"/>
        <v>0.27689085957847848</v>
      </c>
      <c r="H66" s="8">
        <f t="shared" si="14"/>
        <v>0.31850032212546286</v>
      </c>
      <c r="I66" s="8"/>
      <c r="J66" s="8">
        <f t="shared" si="14"/>
        <v>0.31364133158272456</v>
      </c>
      <c r="K66" s="8"/>
      <c r="L66" s="8">
        <f t="shared" si="14"/>
        <v>0.29931513825653699</v>
      </c>
      <c r="M66" s="8"/>
      <c r="N66" s="8">
        <f t="shared" si="14"/>
        <v>0.28819778906771543</v>
      </c>
      <c r="O66" s="8"/>
      <c r="P66" s="8">
        <f t="shared" si="14"/>
        <v>0.29789274051932274</v>
      </c>
      <c r="Q66" s="8"/>
      <c r="R66" s="8">
        <f>+R64/R56</f>
        <v>0.30153677568236548</v>
      </c>
      <c r="S66" s="8"/>
      <c r="T66" s="8">
        <f>+T64/T56</f>
        <v>0.29723409447490629</v>
      </c>
      <c r="U66" s="8"/>
      <c r="V66" s="8">
        <f>+V64/V56</f>
        <v>0.29799435502815003</v>
      </c>
      <c r="W66" s="8"/>
      <c r="X66" s="97">
        <f>+X64/X56</f>
        <v>0.30750730435756968</v>
      </c>
    </row>
    <row r="67" spans="2:24">
      <c r="B67" s="7"/>
      <c r="C67" s="7"/>
      <c r="D67" s="10"/>
      <c r="E67" s="10"/>
      <c r="F67" s="10"/>
      <c r="G67" s="10"/>
      <c r="H67" s="66">
        <f>SUM(H69:H80)-H68</f>
        <v>0</v>
      </c>
      <c r="I67" s="66"/>
      <c r="J67" s="66">
        <f>+H68+SUM(J69:J80)-J68</f>
        <v>22735507.43999999</v>
      </c>
      <c r="K67" s="66"/>
      <c r="L67" s="66">
        <f>+J68+SUM(L69:L80)-L68</f>
        <v>48288697.879999995</v>
      </c>
      <c r="M67" s="66"/>
      <c r="N67" s="66">
        <f>+L68+SUM(N69:N80)-N68</f>
        <v>69081085.319999978</v>
      </c>
      <c r="O67" s="66"/>
      <c r="P67" s="66">
        <f>+N68+SUM(P69:P80)-P68</f>
        <v>87852039.760000005</v>
      </c>
      <c r="Q67" s="66"/>
      <c r="R67" s="66">
        <f>+P68+SUM(R69:R80)-R68</f>
        <v>122246514.75999999</v>
      </c>
      <c r="S67" s="66"/>
      <c r="T67" s="66">
        <f>+R68+SUM(T69:T80)-T68</f>
        <v>145960387.75999999</v>
      </c>
      <c r="U67" s="66"/>
      <c r="V67" s="66">
        <f>+T68+SUM(V69:V80)-V68</f>
        <v>168857529.75999999</v>
      </c>
      <c r="W67" s="66"/>
      <c r="X67" s="66">
        <f t="shared" ref="X67" si="15">+V68+SUM(X69:X80)-X68</f>
        <v>196852297.50999996</v>
      </c>
    </row>
    <row r="68" spans="2:24">
      <c r="B68" s="6" t="s">
        <v>30</v>
      </c>
      <c r="C68" s="6"/>
      <c r="D68" s="24">
        <v>26328728.440000001</v>
      </c>
      <c r="E68" s="24">
        <v>52218137.880000003</v>
      </c>
      <c r="F68" s="24">
        <v>78253084.319999993</v>
      </c>
      <c r="G68" s="24">
        <v>100119990.76000001</v>
      </c>
      <c r="H68" s="24">
        <v>22735507.440000001</v>
      </c>
      <c r="I68" s="24"/>
      <c r="J68" s="24">
        <v>48288697.880000003</v>
      </c>
      <c r="K68" s="24"/>
      <c r="L68" s="24">
        <v>69081085.319999993</v>
      </c>
      <c r="M68" s="24"/>
      <c r="N68" s="24">
        <v>87852039.760000005</v>
      </c>
      <c r="O68" s="24"/>
      <c r="P68" s="24">
        <v>122246514.76000001</v>
      </c>
      <c r="Q68" s="24"/>
      <c r="R68" s="24">
        <v>145960387.75999999</v>
      </c>
      <c r="S68" s="24"/>
      <c r="T68" s="24">
        <v>168857529.75999999</v>
      </c>
      <c r="U68" s="24"/>
      <c r="V68" s="71">
        <v>196852297.50999999</v>
      </c>
      <c r="W68" s="71"/>
      <c r="X68" s="91">
        <v>225967059.66999999</v>
      </c>
    </row>
    <row r="69" spans="2:24">
      <c r="B69" s="7"/>
      <c r="C69" s="9" t="s">
        <v>207</v>
      </c>
      <c r="D69" s="26"/>
      <c r="E69" s="26"/>
      <c r="F69" s="26"/>
      <c r="G69" s="26"/>
      <c r="H69" s="26">
        <v>2837400</v>
      </c>
      <c r="I69" s="26"/>
      <c r="J69" s="26">
        <v>6533100</v>
      </c>
      <c r="K69" s="26"/>
      <c r="L69" s="26">
        <v>9934907</v>
      </c>
      <c r="M69" s="26"/>
      <c r="N69" s="26">
        <v>13261407</v>
      </c>
      <c r="O69" s="26"/>
      <c r="P69" s="26">
        <v>16587737</v>
      </c>
      <c r="Q69" s="26"/>
      <c r="R69" s="26">
        <v>19611921</v>
      </c>
      <c r="S69" s="26"/>
      <c r="T69" s="26">
        <v>21373670</v>
      </c>
      <c r="U69" s="26"/>
      <c r="V69" s="73">
        <v>24617034</v>
      </c>
      <c r="W69" s="73"/>
      <c r="X69" s="73">
        <v>28001977</v>
      </c>
    </row>
    <row r="70" spans="2:24">
      <c r="B70" s="7"/>
      <c r="C70" s="9" t="s">
        <v>211</v>
      </c>
      <c r="D70" s="26"/>
      <c r="E70" s="26"/>
      <c r="F70" s="26"/>
      <c r="G70" s="26"/>
      <c r="H70" s="26">
        <v>1000000</v>
      </c>
      <c r="I70" s="26"/>
      <c r="J70" s="26">
        <v>3400000</v>
      </c>
      <c r="K70" s="26"/>
      <c r="L70" s="26">
        <v>4900000</v>
      </c>
      <c r="M70" s="26"/>
      <c r="N70" s="26">
        <v>6000000</v>
      </c>
      <c r="O70" s="26"/>
      <c r="P70" s="26">
        <v>8033333</v>
      </c>
      <c r="Q70" s="26"/>
      <c r="R70" s="26">
        <v>9133333</v>
      </c>
      <c r="S70" s="26"/>
      <c r="T70" s="26">
        <v>11133333</v>
      </c>
      <c r="U70" s="26"/>
      <c r="V70" s="73">
        <v>12233333</v>
      </c>
      <c r="W70" s="73"/>
      <c r="X70" s="73">
        <v>14433333</v>
      </c>
    </row>
    <row r="71" spans="2:24">
      <c r="B71" s="7"/>
      <c r="C71" s="9" t="s">
        <v>212</v>
      </c>
      <c r="D71" s="26"/>
      <c r="E71" s="26"/>
      <c r="F71" s="26"/>
      <c r="G71" s="26"/>
      <c r="H71" s="26">
        <v>3059157</v>
      </c>
      <c r="I71" s="26"/>
      <c r="J71" s="26">
        <v>5430795</v>
      </c>
      <c r="K71" s="26"/>
      <c r="L71" s="26">
        <v>7505054</v>
      </c>
      <c r="M71" s="26"/>
      <c r="N71" s="26">
        <v>9950342</v>
      </c>
      <c r="O71" s="26"/>
      <c r="P71" s="26">
        <v>12079118</v>
      </c>
      <c r="Q71" s="26"/>
      <c r="R71" s="26">
        <v>13299178</v>
      </c>
      <c r="S71" s="26"/>
      <c r="T71" s="26">
        <v>14841450</v>
      </c>
      <c r="U71" s="26"/>
      <c r="V71" s="73">
        <v>15712281</v>
      </c>
      <c r="W71" s="73"/>
      <c r="X71" s="73">
        <v>18818334</v>
      </c>
    </row>
    <row r="72" spans="2:24">
      <c r="B72" s="7"/>
      <c r="C72" s="9" t="s">
        <v>213</v>
      </c>
      <c r="D72" s="26"/>
      <c r="E72" s="26"/>
      <c r="F72" s="26"/>
      <c r="G72" s="26"/>
      <c r="H72" s="26">
        <v>5000000</v>
      </c>
      <c r="I72" s="26"/>
      <c r="J72" s="26">
        <v>10997000</v>
      </c>
      <c r="K72" s="26"/>
      <c r="L72" s="26">
        <v>16344000</v>
      </c>
      <c r="M72" s="26"/>
      <c r="N72" s="26">
        <v>21691000</v>
      </c>
      <c r="O72" s="26"/>
      <c r="P72" s="26">
        <v>27038000</v>
      </c>
      <c r="Q72" s="26"/>
      <c r="R72" s="26">
        <v>32385000</v>
      </c>
      <c r="S72" s="26"/>
      <c r="T72" s="26">
        <v>37732000</v>
      </c>
      <c r="U72" s="26"/>
      <c r="V72" s="73">
        <v>45567000</v>
      </c>
      <c r="W72" s="73"/>
      <c r="X72" s="73">
        <v>50914000</v>
      </c>
    </row>
    <row r="73" spans="2:24">
      <c r="B73" s="7"/>
      <c r="C73" s="9" t="s">
        <v>214</v>
      </c>
      <c r="D73" s="26"/>
      <c r="E73" s="26"/>
      <c r="F73" s="26"/>
      <c r="G73" s="26"/>
      <c r="H73" s="26">
        <v>852437</v>
      </c>
      <c r="I73" s="26"/>
      <c r="J73" s="26">
        <v>1543901</v>
      </c>
      <c r="K73" s="26"/>
      <c r="L73" s="26">
        <v>2367034</v>
      </c>
      <c r="M73" s="26"/>
      <c r="N73" s="26">
        <v>3175997</v>
      </c>
      <c r="O73" s="26"/>
      <c r="P73" s="26">
        <v>3739038</v>
      </c>
      <c r="Q73" s="26"/>
      <c r="R73" s="26">
        <v>4437899</v>
      </c>
      <c r="S73" s="26"/>
      <c r="T73" s="26">
        <v>5525138</v>
      </c>
      <c r="U73" s="26"/>
      <c r="V73" s="73">
        <v>6963635</v>
      </c>
      <c r="W73" s="73"/>
      <c r="X73" s="73">
        <v>7701046</v>
      </c>
    </row>
    <row r="74" spans="2:24">
      <c r="B74" s="7"/>
      <c r="C74" s="9" t="s">
        <v>210</v>
      </c>
      <c r="D74" s="26"/>
      <c r="E74" s="26"/>
      <c r="F74" s="26"/>
      <c r="G74" s="26"/>
      <c r="H74" s="26">
        <v>131300</v>
      </c>
      <c r="I74" s="26"/>
      <c r="J74" s="26">
        <v>152800</v>
      </c>
      <c r="K74" s="26"/>
      <c r="L74" s="26">
        <v>2179300</v>
      </c>
      <c r="M74" s="26"/>
      <c r="N74" s="26">
        <v>2196500</v>
      </c>
      <c r="O74" s="26"/>
      <c r="P74" s="26">
        <v>2196500</v>
      </c>
      <c r="Q74" s="26"/>
      <c r="R74" s="26">
        <v>2196500</v>
      </c>
      <c r="S74" s="26"/>
      <c r="T74" s="26">
        <v>2286500</v>
      </c>
      <c r="U74" s="26"/>
      <c r="V74" s="73">
        <v>2289625</v>
      </c>
      <c r="W74" s="73"/>
      <c r="X74" s="73">
        <v>2306825</v>
      </c>
    </row>
    <row r="75" spans="2:24">
      <c r="B75" s="7"/>
      <c r="C75" s="9" t="s">
        <v>215</v>
      </c>
      <c r="D75" s="26"/>
      <c r="E75" s="26"/>
      <c r="F75" s="26"/>
      <c r="G75" s="26"/>
      <c r="H75" s="26">
        <v>833988</v>
      </c>
      <c r="I75" s="26"/>
      <c r="J75" s="26">
        <v>1274654</v>
      </c>
      <c r="K75" s="26"/>
      <c r="L75" s="26">
        <v>1294654</v>
      </c>
      <c r="M75" s="26"/>
      <c r="N75" s="26">
        <f>+L75</f>
        <v>1294654</v>
      </c>
      <c r="O75" s="26"/>
      <c r="P75" s="26">
        <v>1308654</v>
      </c>
      <c r="Q75" s="26"/>
      <c r="R75" s="26">
        <v>1308654</v>
      </c>
      <c r="S75" s="26"/>
      <c r="T75" s="26">
        <v>1708654</v>
      </c>
      <c r="U75" s="26"/>
      <c r="V75" s="73">
        <v>1802035</v>
      </c>
      <c r="W75" s="73"/>
      <c r="X75" s="73">
        <v>2222885</v>
      </c>
    </row>
    <row r="76" spans="2:24">
      <c r="B76" s="7"/>
      <c r="C76" s="9" t="s">
        <v>227</v>
      </c>
      <c r="D76" s="26"/>
      <c r="E76" s="26"/>
      <c r="F76" s="26"/>
      <c r="G76" s="26"/>
      <c r="H76" s="26">
        <v>0</v>
      </c>
      <c r="I76" s="26"/>
      <c r="J76" s="26">
        <v>0</v>
      </c>
      <c r="K76" s="26"/>
      <c r="L76" s="26">
        <v>0</v>
      </c>
      <c r="M76" s="26"/>
      <c r="N76" s="26">
        <v>0</v>
      </c>
      <c r="O76" s="26"/>
      <c r="P76" s="26">
        <v>0</v>
      </c>
      <c r="Q76" s="26"/>
      <c r="R76" s="26">
        <v>729681</v>
      </c>
      <c r="S76" s="26"/>
      <c r="T76" s="26">
        <v>729681</v>
      </c>
      <c r="U76" s="26"/>
      <c r="V76" s="73">
        <v>729681</v>
      </c>
      <c r="W76" s="73"/>
      <c r="X76" s="73">
        <v>729681</v>
      </c>
    </row>
    <row r="77" spans="2:24">
      <c r="B77" s="7"/>
      <c r="C77" s="9" t="s">
        <v>218</v>
      </c>
      <c r="D77" s="26"/>
      <c r="E77" s="26"/>
      <c r="F77" s="26"/>
      <c r="G77" s="26"/>
      <c r="H77" s="26">
        <v>0</v>
      </c>
      <c r="I77" s="26"/>
      <c r="J77" s="26">
        <v>0</v>
      </c>
      <c r="K77" s="26"/>
      <c r="L77" s="26">
        <v>0</v>
      </c>
      <c r="M77" s="26"/>
      <c r="N77" s="26">
        <v>0</v>
      </c>
      <c r="O77" s="26"/>
      <c r="P77" s="26">
        <v>0</v>
      </c>
      <c r="Q77" s="26"/>
      <c r="R77" s="26">
        <v>20500</v>
      </c>
      <c r="S77" s="26"/>
      <c r="T77" s="26">
        <v>20500</v>
      </c>
      <c r="U77" s="26"/>
      <c r="V77" s="73">
        <v>330459</v>
      </c>
      <c r="W77" s="73"/>
      <c r="X77" s="73">
        <v>330459</v>
      </c>
    </row>
    <row r="78" spans="2:24">
      <c r="B78" s="7"/>
      <c r="C78" s="9" t="s">
        <v>209</v>
      </c>
      <c r="D78" s="26"/>
      <c r="E78" s="26"/>
      <c r="F78" s="26"/>
      <c r="G78" s="26"/>
      <c r="H78" s="64">
        <v>299022.44</v>
      </c>
      <c r="I78" s="64"/>
      <c r="J78" s="64">
        <v>629183.88</v>
      </c>
      <c r="K78" s="64"/>
      <c r="L78" s="64">
        <v>1279345.32</v>
      </c>
      <c r="M78" s="64"/>
      <c r="N78" s="64">
        <v>1609506.76</v>
      </c>
      <c r="O78" s="64"/>
      <c r="P78" s="64">
        <v>3760028.76</v>
      </c>
      <c r="Q78" s="64"/>
      <c r="R78" s="64">
        <v>5910550.7599999998</v>
      </c>
      <c r="S78" s="64"/>
      <c r="T78" s="64">
        <v>8095872.7599999998</v>
      </c>
      <c r="U78" s="64"/>
      <c r="V78" s="73">
        <v>10851659.76</v>
      </c>
      <c r="W78" s="73"/>
      <c r="X78" s="73">
        <v>13733323.76</v>
      </c>
    </row>
    <row r="79" spans="2:24">
      <c r="B79" s="7"/>
      <c r="C79" s="9" t="s">
        <v>216</v>
      </c>
      <c r="D79" s="26"/>
      <c r="E79" s="26"/>
      <c r="F79" s="26"/>
      <c r="G79" s="26"/>
      <c r="H79" s="64">
        <v>8440137</v>
      </c>
      <c r="I79" s="64"/>
      <c r="J79" s="64">
        <v>17357245</v>
      </c>
      <c r="K79" s="64"/>
      <c r="L79" s="64">
        <v>21995677</v>
      </c>
      <c r="M79" s="64"/>
      <c r="N79" s="64">
        <v>26921119</v>
      </c>
      <c r="O79" s="64"/>
      <c r="P79" s="64">
        <v>45269190</v>
      </c>
      <c r="Q79" s="64"/>
      <c r="R79" s="64">
        <v>54051313</v>
      </c>
      <c r="S79" s="64"/>
      <c r="T79" s="64">
        <v>62217186</v>
      </c>
      <c r="U79" s="64"/>
      <c r="V79" s="73">
        <v>72235550.75</v>
      </c>
      <c r="W79" s="73"/>
      <c r="X79" s="73">
        <v>82782366.909999996</v>
      </c>
    </row>
    <row r="80" spans="2:24">
      <c r="B80" s="7"/>
      <c r="C80" s="9" t="s">
        <v>217</v>
      </c>
      <c r="D80" s="26"/>
      <c r="E80" s="26"/>
      <c r="F80" s="26"/>
      <c r="G80" s="26"/>
      <c r="H80" s="26">
        <v>282066</v>
      </c>
      <c r="I80" s="26"/>
      <c r="J80" s="26">
        <v>970019</v>
      </c>
      <c r="K80" s="26"/>
      <c r="L80" s="26">
        <v>1281114</v>
      </c>
      <c r="M80" s="26"/>
      <c r="N80" s="26">
        <f>470400+L80</f>
        <v>1751514</v>
      </c>
      <c r="O80" s="26"/>
      <c r="P80" s="26">
        <v>2234916</v>
      </c>
      <c r="Q80" s="26"/>
      <c r="R80" s="26">
        <v>2875858</v>
      </c>
      <c r="S80" s="26"/>
      <c r="T80" s="26">
        <f>317687+R80</f>
        <v>3193545</v>
      </c>
      <c r="U80" s="26"/>
      <c r="V80" s="73">
        <v>3520004</v>
      </c>
      <c r="W80" s="73"/>
      <c r="X80" s="73">
        <v>3992829</v>
      </c>
    </row>
    <row r="81" spans="2:25">
      <c r="B81" s="7"/>
      <c r="C81" s="7"/>
      <c r="D81" s="26"/>
      <c r="E81" s="26"/>
      <c r="F81" s="26"/>
      <c r="G81" s="26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</row>
    <row r="82" spans="2:25">
      <c r="B82" s="6" t="s">
        <v>31</v>
      </c>
      <c r="C82" s="6"/>
      <c r="D82" s="24">
        <v>9674364</v>
      </c>
      <c r="E82" s="24">
        <v>28932846.02</v>
      </c>
      <c r="F82" s="24">
        <v>54945583.07</v>
      </c>
      <c r="G82" s="24">
        <v>75363592.180000007</v>
      </c>
      <c r="H82" s="24">
        <v>28905573.510000002</v>
      </c>
      <c r="I82" s="24"/>
      <c r="J82" s="24">
        <v>56953701.549999997</v>
      </c>
      <c r="K82" s="24"/>
      <c r="L82" s="24">
        <v>97269154.269999996</v>
      </c>
      <c r="M82" s="24"/>
      <c r="N82" s="24">
        <v>134658581.36000001</v>
      </c>
      <c r="O82" s="24"/>
      <c r="P82" s="24">
        <v>183509393.80000001</v>
      </c>
      <c r="Q82" s="24"/>
      <c r="R82" s="24">
        <v>212320554.52000001</v>
      </c>
      <c r="S82" s="24"/>
      <c r="T82" s="24">
        <v>261926919.37</v>
      </c>
      <c r="U82" s="24"/>
      <c r="V82" s="71">
        <v>296104085.44</v>
      </c>
      <c r="W82" s="71"/>
      <c r="X82" s="91">
        <v>340515342.13999999</v>
      </c>
    </row>
    <row r="83" spans="2:25">
      <c r="B83" s="7"/>
      <c r="C83" s="9" t="s">
        <v>222</v>
      </c>
      <c r="D83" s="26"/>
      <c r="E83" s="26"/>
      <c r="F83" s="26"/>
      <c r="G83" s="26"/>
      <c r="H83" s="64">
        <f>9474042-12767</f>
        <v>9461275</v>
      </c>
      <c r="I83" s="64"/>
      <c r="J83" s="64">
        <v>22824966</v>
      </c>
      <c r="K83" s="64"/>
      <c r="L83" s="64">
        <v>36529638</v>
      </c>
      <c r="M83" s="64"/>
      <c r="N83" s="64">
        <v>52942011</v>
      </c>
      <c r="O83" s="64"/>
      <c r="P83" s="64">
        <v>67703353</v>
      </c>
      <c r="Q83" s="64"/>
      <c r="R83" s="64">
        <v>82751244</v>
      </c>
      <c r="S83" s="64"/>
      <c r="T83" s="64">
        <v>98238393</v>
      </c>
      <c r="U83" s="64"/>
      <c r="V83" s="69">
        <v>111389810</v>
      </c>
      <c r="W83" s="69"/>
      <c r="X83" s="69">
        <v>128678339</v>
      </c>
    </row>
    <row r="84" spans="2:25">
      <c r="B84" s="7"/>
      <c r="C84" s="9" t="s">
        <v>220</v>
      </c>
      <c r="D84" s="26"/>
      <c r="E84" s="26"/>
      <c r="F84" s="26"/>
      <c r="G84" s="26"/>
      <c r="H84" s="64">
        <v>3350480</v>
      </c>
      <c r="I84" s="64"/>
      <c r="J84" s="64">
        <v>7683726</v>
      </c>
      <c r="K84" s="64"/>
      <c r="L84" s="64">
        <v>12016972</v>
      </c>
      <c r="M84" s="64"/>
      <c r="N84" s="64">
        <v>16350218</v>
      </c>
      <c r="O84" s="64"/>
      <c r="P84" s="64">
        <v>20510024</v>
      </c>
      <c r="Q84" s="64"/>
      <c r="R84" s="64">
        <v>24307214</v>
      </c>
      <c r="S84" s="64"/>
      <c r="T84" s="64">
        <v>28640220</v>
      </c>
      <c r="U84" s="64"/>
      <c r="V84" s="64">
        <v>33473466</v>
      </c>
      <c r="W84" s="64"/>
      <c r="X84" s="69">
        <v>37443946</v>
      </c>
    </row>
    <row r="85" spans="2:25">
      <c r="B85" s="7"/>
      <c r="C85" s="9" t="s">
        <v>223</v>
      </c>
      <c r="D85" s="26"/>
      <c r="E85" s="26"/>
      <c r="F85" s="26"/>
      <c r="G85" s="26"/>
      <c r="H85" s="64">
        <v>2932531</v>
      </c>
      <c r="I85" s="64"/>
      <c r="J85" s="64">
        <v>5209047</v>
      </c>
      <c r="K85" s="64"/>
      <c r="L85" s="64">
        <v>9216407</v>
      </c>
      <c r="M85" s="64"/>
      <c r="N85" s="64">
        <v>12055298</v>
      </c>
      <c r="O85" s="64"/>
      <c r="P85" s="64">
        <v>13831645</v>
      </c>
      <c r="Q85" s="64"/>
      <c r="R85" s="64">
        <f>+P85</f>
        <v>13831645</v>
      </c>
      <c r="S85" s="64"/>
      <c r="T85" s="64">
        <v>18804575</v>
      </c>
      <c r="U85" s="64"/>
      <c r="V85" s="64">
        <v>20548534.739999902</v>
      </c>
      <c r="W85" s="64"/>
      <c r="X85" s="69">
        <v>29839681.739999902</v>
      </c>
    </row>
    <row r="86" spans="2:25">
      <c r="B86" s="7"/>
      <c r="C86" s="9" t="s">
        <v>225</v>
      </c>
      <c r="D86" s="26"/>
      <c r="E86" s="26"/>
      <c r="F86" s="26"/>
      <c r="G86" s="26"/>
      <c r="H86" s="64">
        <v>0</v>
      </c>
      <c r="I86" s="64"/>
      <c r="J86" s="64">
        <v>1000000</v>
      </c>
      <c r="K86" s="64"/>
      <c r="L86" s="64">
        <v>2000000</v>
      </c>
      <c r="M86" s="64"/>
      <c r="N86" s="64">
        <v>3000000</v>
      </c>
      <c r="O86" s="64"/>
      <c r="P86" s="64">
        <v>4000000</v>
      </c>
      <c r="Q86" s="64"/>
      <c r="R86" s="64">
        <v>4000000</v>
      </c>
      <c r="S86" s="64"/>
      <c r="T86" s="64">
        <v>5000000</v>
      </c>
      <c r="U86" s="64"/>
      <c r="V86" s="64">
        <v>6000000</v>
      </c>
      <c r="W86" s="64"/>
      <c r="X86" s="69">
        <f>+V86</f>
        <v>6000000</v>
      </c>
    </row>
    <row r="87" spans="2:25">
      <c r="B87" s="7"/>
      <c r="C87" s="9" t="s">
        <v>224</v>
      </c>
      <c r="D87" s="26"/>
      <c r="E87" s="26"/>
      <c r="F87" s="26"/>
      <c r="G87" s="26"/>
      <c r="H87" s="64">
        <v>0</v>
      </c>
      <c r="I87" s="64"/>
      <c r="J87" s="64">
        <v>0</v>
      </c>
      <c r="K87" s="64"/>
      <c r="L87" s="64">
        <v>0</v>
      </c>
      <c r="M87" s="64"/>
      <c r="N87" s="64">
        <v>0</v>
      </c>
      <c r="O87" s="64"/>
      <c r="P87" s="64">
        <v>12000000</v>
      </c>
      <c r="Q87" s="64"/>
      <c r="R87" s="64">
        <v>13876267</v>
      </c>
      <c r="S87" s="64"/>
      <c r="T87" s="64">
        <v>13876267</v>
      </c>
      <c r="U87" s="64"/>
      <c r="V87" s="64">
        <v>13876267</v>
      </c>
      <c r="W87" s="64"/>
      <c r="X87" s="69">
        <v>13888194.7000001</v>
      </c>
    </row>
    <row r="88" spans="2:25">
      <c r="B88" s="7"/>
      <c r="C88" s="9" t="s">
        <v>226</v>
      </c>
      <c r="D88" s="26"/>
      <c r="E88" s="26"/>
      <c r="F88" s="26"/>
      <c r="G88" s="26"/>
      <c r="H88" s="64">
        <v>0</v>
      </c>
      <c r="I88" s="64"/>
      <c r="J88" s="64">
        <v>0</v>
      </c>
      <c r="K88" s="64"/>
      <c r="L88" s="64">
        <v>0</v>
      </c>
      <c r="M88" s="64"/>
      <c r="N88" s="64">
        <v>1000000</v>
      </c>
      <c r="O88" s="64"/>
      <c r="P88" s="64">
        <v>1800000</v>
      </c>
      <c r="Q88" s="64"/>
      <c r="R88" s="64">
        <v>1800000</v>
      </c>
      <c r="S88" s="64"/>
      <c r="T88" s="64">
        <v>2700000</v>
      </c>
      <c r="U88" s="64"/>
      <c r="V88" s="64">
        <v>3200000</v>
      </c>
      <c r="W88" s="64"/>
      <c r="X88" s="69">
        <v>4000000</v>
      </c>
    </row>
    <row r="89" spans="2:25">
      <c r="B89" s="7"/>
      <c r="C89" s="9" t="s">
        <v>244</v>
      </c>
      <c r="D89" s="26"/>
      <c r="E89" s="26"/>
      <c r="F89" s="26"/>
      <c r="G89" s="26"/>
      <c r="H89" s="64">
        <v>1916736.89</v>
      </c>
      <c r="I89" s="64"/>
      <c r="J89" s="64">
        <v>4508064.93</v>
      </c>
      <c r="K89" s="64"/>
      <c r="L89" s="64">
        <v>7006241.9000000004</v>
      </c>
      <c r="M89" s="64"/>
      <c r="N89" s="64">
        <v>11187746.380000001</v>
      </c>
      <c r="O89" s="64"/>
      <c r="P89" s="64">
        <v>16526099.82</v>
      </c>
      <c r="Q89" s="64"/>
      <c r="R89" s="64">
        <v>18111802.539999999</v>
      </c>
      <c r="S89" s="64"/>
      <c r="T89" s="64">
        <v>21446436.670000002</v>
      </c>
      <c r="U89" s="64"/>
      <c r="V89" s="64">
        <v>26109508</v>
      </c>
      <c r="W89" s="64"/>
      <c r="X89" s="69">
        <v>29343386</v>
      </c>
    </row>
    <row r="90" spans="2:25">
      <c r="B90" s="7"/>
      <c r="C90" s="62" t="s">
        <v>245</v>
      </c>
      <c r="D90" s="63"/>
      <c r="E90" s="63"/>
      <c r="F90" s="63"/>
      <c r="G90" s="63"/>
      <c r="H90" s="63">
        <v>8015566</v>
      </c>
      <c r="I90" s="63"/>
      <c r="J90" s="63">
        <v>8418690</v>
      </c>
      <c r="K90" s="63"/>
      <c r="L90" s="63">
        <v>9602200</v>
      </c>
      <c r="M90" s="63"/>
      <c r="N90" s="63">
        <v>10217200</v>
      </c>
      <c r="O90" s="63"/>
      <c r="P90" s="63">
        <v>11457410</v>
      </c>
      <c r="Q90" s="63"/>
      <c r="R90" s="63">
        <v>11588490</v>
      </c>
      <c r="S90" s="63"/>
      <c r="T90" s="63">
        <v>11748490</v>
      </c>
      <c r="U90" s="63"/>
      <c r="V90" s="69">
        <v>12121140</v>
      </c>
      <c r="W90" s="69"/>
      <c r="X90" s="105">
        <v>12870579</v>
      </c>
    </row>
    <row r="91" spans="2:25">
      <c r="B91" s="7"/>
      <c r="C91" s="62" t="s">
        <v>221</v>
      </c>
      <c r="D91" s="63"/>
      <c r="E91" s="63"/>
      <c r="F91" s="63"/>
      <c r="G91" s="63"/>
      <c r="H91" s="63">
        <v>1127384.79</v>
      </c>
      <c r="I91" s="63"/>
      <c r="J91" s="63">
        <v>1195384.79</v>
      </c>
      <c r="K91" s="63"/>
      <c r="L91" s="63">
        <v>10287485.789999999</v>
      </c>
      <c r="M91" s="63"/>
      <c r="N91" s="63">
        <v>14425818.4</v>
      </c>
      <c r="O91" s="63"/>
      <c r="P91" s="63">
        <v>17250818.399999999</v>
      </c>
      <c r="Q91" s="63"/>
      <c r="R91" s="63">
        <v>18308818.399999999</v>
      </c>
      <c r="S91" s="63"/>
      <c r="T91" s="63">
        <v>30308818.399999999</v>
      </c>
      <c r="U91" s="63"/>
      <c r="V91" s="69">
        <v>33265428.399999999</v>
      </c>
      <c r="W91" s="69"/>
      <c r="X91" s="105">
        <v>35492470.399999999</v>
      </c>
    </row>
    <row r="92" spans="2:25">
      <c r="B92" s="7"/>
      <c r="C92" s="62" t="s">
        <v>215</v>
      </c>
      <c r="D92" s="63"/>
      <c r="E92" s="63"/>
      <c r="F92" s="63"/>
      <c r="G92" s="63"/>
      <c r="H92" s="63">
        <v>0</v>
      </c>
      <c r="I92" s="63"/>
      <c r="J92" s="63">
        <v>598000</v>
      </c>
      <c r="K92" s="63"/>
      <c r="L92" s="63">
        <v>598000</v>
      </c>
      <c r="M92" s="63"/>
      <c r="N92" s="63">
        <v>598000</v>
      </c>
      <c r="O92" s="63"/>
      <c r="P92" s="63">
        <v>612500</v>
      </c>
      <c r="Q92" s="63"/>
      <c r="R92" s="63">
        <v>612500</v>
      </c>
      <c r="S92" s="63"/>
      <c r="T92" s="63">
        <v>612500</v>
      </c>
      <c r="U92" s="63"/>
      <c r="V92" s="69">
        <v>1312400</v>
      </c>
      <c r="W92" s="69"/>
      <c r="X92" s="105">
        <v>1733250</v>
      </c>
    </row>
    <row r="93" spans="2:25">
      <c r="B93" s="7"/>
      <c r="C93" s="9" t="s">
        <v>218</v>
      </c>
      <c r="D93" s="26"/>
      <c r="E93" s="26"/>
      <c r="F93" s="26"/>
      <c r="G93" s="26"/>
      <c r="H93" s="64">
        <v>1021667.83</v>
      </c>
      <c r="I93" s="64"/>
      <c r="J93" s="64">
        <v>3723745.83</v>
      </c>
      <c r="K93" s="64"/>
      <c r="L93" s="64">
        <v>7755528.5800000001</v>
      </c>
      <c r="M93" s="64"/>
      <c r="N93" s="64">
        <v>9865518.5800000001</v>
      </c>
      <c r="O93" s="64"/>
      <c r="P93" s="64">
        <v>12957513.58</v>
      </c>
      <c r="Q93" s="64"/>
      <c r="R93" s="64">
        <v>18086591.579999998</v>
      </c>
      <c r="S93" s="64"/>
      <c r="T93" s="64">
        <v>23106086.579999998</v>
      </c>
      <c r="U93" s="64"/>
      <c r="V93" s="69">
        <v>25386089.579999998</v>
      </c>
      <c r="W93" s="69"/>
      <c r="X93" s="105">
        <v>28982193.579999998</v>
      </c>
    </row>
    <row r="94" spans="2:25">
      <c r="B94" s="7"/>
      <c r="C94" s="9" t="s">
        <v>219</v>
      </c>
      <c r="D94" s="26"/>
      <c r="E94" s="26"/>
      <c r="F94" s="26"/>
      <c r="G94" s="26"/>
      <c r="H94" s="64">
        <v>1079932</v>
      </c>
      <c r="I94" s="64"/>
      <c r="J94" s="64">
        <v>1792077</v>
      </c>
      <c r="K94" s="64"/>
      <c r="L94" s="64">
        <v>2256681</v>
      </c>
      <c r="M94" s="64"/>
      <c r="N94" s="64">
        <v>3016771</v>
      </c>
      <c r="O94" s="64"/>
      <c r="P94" s="64">
        <v>4860030</v>
      </c>
      <c r="Q94" s="64"/>
      <c r="R94" s="64">
        <v>5045982</v>
      </c>
      <c r="S94" s="64"/>
      <c r="T94" s="64">
        <v>7445132.7199999997</v>
      </c>
      <c r="U94" s="64"/>
      <c r="V94" s="69">
        <v>9421441.7200000007</v>
      </c>
      <c r="W94" s="69"/>
      <c r="X94" s="105">
        <v>12243301.720000001</v>
      </c>
    </row>
    <row r="95" spans="2:25">
      <c r="B95" s="11"/>
      <c r="C95" s="11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6"/>
      <c r="S95" s="26"/>
      <c r="V95" s="67"/>
      <c r="W95" s="67"/>
      <c r="X95" s="67"/>
      <c r="Y95" s="67"/>
    </row>
    <row r="96" spans="2:25">
      <c r="B96" s="12" t="s">
        <v>32</v>
      </c>
      <c r="C96" s="12"/>
      <c r="D96" s="29">
        <f t="shared" ref="D96:X96" si="16">+D68+D82</f>
        <v>36003092.439999998</v>
      </c>
      <c r="E96" s="29">
        <f t="shared" si="16"/>
        <v>81150983.900000006</v>
      </c>
      <c r="F96" s="29">
        <f t="shared" si="16"/>
        <v>133198667.38999999</v>
      </c>
      <c r="G96" s="29">
        <f t="shared" si="16"/>
        <v>175483582.94</v>
      </c>
      <c r="H96" s="29">
        <f t="shared" si="16"/>
        <v>51641080.950000003</v>
      </c>
      <c r="I96" s="29"/>
      <c r="J96" s="29">
        <f t="shared" si="16"/>
        <v>105242399.43000001</v>
      </c>
      <c r="K96" s="29"/>
      <c r="L96" s="29">
        <f t="shared" si="16"/>
        <v>166350239.58999997</v>
      </c>
      <c r="M96" s="29"/>
      <c r="N96" s="29">
        <f t="shared" si="16"/>
        <v>222510621.12</v>
      </c>
      <c r="O96" s="29"/>
      <c r="P96" s="29">
        <f t="shared" si="16"/>
        <v>305755908.56</v>
      </c>
      <c r="Q96" s="29"/>
      <c r="R96" s="29">
        <f t="shared" si="16"/>
        <v>358280942.27999997</v>
      </c>
      <c r="S96" s="29"/>
      <c r="T96" s="29">
        <f t="shared" si="16"/>
        <v>430784449.13</v>
      </c>
      <c r="U96" s="29"/>
      <c r="V96" s="29">
        <f t="shared" si="16"/>
        <v>492956382.94999999</v>
      </c>
      <c r="W96" s="29"/>
      <c r="X96" s="92">
        <f t="shared" si="16"/>
        <v>566482401.80999994</v>
      </c>
    </row>
    <row r="97" spans="2:24">
      <c r="B97" s="11"/>
      <c r="C97" s="11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</row>
    <row r="98" spans="2:24">
      <c r="B98" s="6" t="s">
        <v>29</v>
      </c>
      <c r="C98" s="6"/>
      <c r="D98" s="31">
        <f t="shared" ref="D98:X98" si="17">+D64-D96</f>
        <v>14286627.409999996</v>
      </c>
      <c r="E98" s="31">
        <f t="shared" si="17"/>
        <v>56076334.769999981</v>
      </c>
      <c r="F98" s="31">
        <f t="shared" si="17"/>
        <v>56372517.850000083</v>
      </c>
      <c r="G98" s="31">
        <f t="shared" si="17"/>
        <v>58210296.110000074</v>
      </c>
      <c r="H98" s="31">
        <f t="shared" si="17"/>
        <v>7036654.5799999982</v>
      </c>
      <c r="I98" s="31"/>
      <c r="J98" s="31">
        <f t="shared" si="17"/>
        <v>10971540.319999993</v>
      </c>
      <c r="K98" s="31"/>
      <c r="L98" s="31">
        <f t="shared" si="17"/>
        <v>-8475968.0099999309</v>
      </c>
      <c r="M98" s="31"/>
      <c r="N98" s="31">
        <f t="shared" si="17"/>
        <v>-14992580.609999955</v>
      </c>
      <c r="O98" s="31"/>
      <c r="P98" s="31">
        <f t="shared" si="17"/>
        <v>-41538845.560000002</v>
      </c>
      <c r="Q98" s="31"/>
      <c r="R98" s="31">
        <f t="shared" si="17"/>
        <v>-62043142.659999967</v>
      </c>
      <c r="S98" s="31"/>
      <c r="T98" s="31">
        <f t="shared" si="17"/>
        <v>-103455105.4000001</v>
      </c>
      <c r="U98" s="31"/>
      <c r="V98" s="31">
        <f t="shared" si="17"/>
        <v>-143559561.81999999</v>
      </c>
      <c r="W98" s="31"/>
      <c r="X98" s="31">
        <f t="shared" si="17"/>
        <v>-133493527.67999995</v>
      </c>
    </row>
    <row r="99" spans="2:24">
      <c r="B99" s="7"/>
      <c r="C99" s="7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</row>
    <row r="100" spans="2:24">
      <c r="B100" s="6" t="s">
        <v>39</v>
      </c>
      <c r="C100" s="6"/>
      <c r="D100" s="29">
        <v>0</v>
      </c>
      <c r="E100" s="29">
        <v>12</v>
      </c>
      <c r="F100" s="29">
        <v>499.16</v>
      </c>
      <c r="G100" s="29">
        <v>2087986.36</v>
      </c>
      <c r="H100" s="29">
        <v>203874</v>
      </c>
      <c r="I100" s="29"/>
      <c r="J100" s="29">
        <v>706156</v>
      </c>
      <c r="K100" s="29"/>
      <c r="L100" s="29">
        <v>1162170</v>
      </c>
      <c r="M100" s="29"/>
      <c r="N100" s="29">
        <v>1163031</v>
      </c>
      <c r="O100" s="29"/>
      <c r="P100" s="29">
        <v>1936771</v>
      </c>
      <c r="Q100" s="29"/>
      <c r="R100" s="29">
        <v>2437991</v>
      </c>
      <c r="S100" s="29"/>
      <c r="T100" s="29">
        <v>2439258.63</v>
      </c>
      <c r="U100" s="29"/>
      <c r="V100" s="70">
        <f>5307250</f>
        <v>5307250</v>
      </c>
      <c r="W100" s="70"/>
      <c r="X100" s="91">
        <v>11520128.710000001</v>
      </c>
    </row>
    <row r="101" spans="2:24">
      <c r="B101" s="7"/>
      <c r="C101" s="7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84"/>
    </row>
    <row r="102" spans="2:24">
      <c r="B102" s="6" t="s">
        <v>33</v>
      </c>
      <c r="C102" s="6"/>
      <c r="D102" s="29">
        <v>585601</v>
      </c>
      <c r="E102" s="29">
        <v>1423641.76</v>
      </c>
      <c r="F102" s="29">
        <v>2525674.4900000002</v>
      </c>
      <c r="G102" s="29">
        <v>3225547.03</v>
      </c>
      <c r="H102" s="29">
        <v>1733341.66</v>
      </c>
      <c r="I102" s="29"/>
      <c r="J102" s="29">
        <v>2558583.87</v>
      </c>
      <c r="K102" s="29"/>
      <c r="L102" s="29">
        <v>3240500.27</v>
      </c>
      <c r="M102" s="29"/>
      <c r="N102" s="29">
        <v>4408682.13</v>
      </c>
      <c r="O102" s="29"/>
      <c r="P102" s="29">
        <v>6520564.1299999999</v>
      </c>
      <c r="Q102" s="29"/>
      <c r="R102" s="29">
        <v>8215245.6699999999</v>
      </c>
      <c r="S102" s="29"/>
      <c r="T102" s="29">
        <v>11257722.789999999</v>
      </c>
      <c r="U102" s="29"/>
      <c r="V102" s="71">
        <v>11891948</v>
      </c>
      <c r="W102" s="71"/>
      <c r="X102" s="93">
        <v>19539365.789999999</v>
      </c>
    </row>
    <row r="103" spans="2:24">
      <c r="B103" s="7"/>
      <c r="C103" s="7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X103" s="84"/>
    </row>
    <row r="104" spans="2:24">
      <c r="B104" s="6" t="s">
        <v>34</v>
      </c>
      <c r="C104" s="6"/>
      <c r="D104" s="29">
        <f>+D102</f>
        <v>585601</v>
      </c>
      <c r="E104" s="29">
        <f t="shared" ref="E104:F104" si="18">+E102</f>
        <v>1423641.76</v>
      </c>
      <c r="F104" s="29">
        <f t="shared" si="18"/>
        <v>2525674.4900000002</v>
      </c>
      <c r="G104" s="29">
        <f>+G102</f>
        <v>3225547.03</v>
      </c>
      <c r="H104" s="29">
        <f t="shared" ref="H104:P104" si="19">+H102</f>
        <v>1733341.66</v>
      </c>
      <c r="I104" s="29"/>
      <c r="J104" s="29">
        <f t="shared" si="19"/>
        <v>2558583.87</v>
      </c>
      <c r="K104" s="29"/>
      <c r="L104" s="29">
        <f t="shared" si="19"/>
        <v>3240500.27</v>
      </c>
      <c r="M104" s="29"/>
      <c r="N104" s="29">
        <f t="shared" si="19"/>
        <v>4408682.13</v>
      </c>
      <c r="O104" s="29"/>
      <c r="P104" s="29">
        <f t="shared" si="19"/>
        <v>6520564.1299999999</v>
      </c>
      <c r="Q104" s="29"/>
      <c r="R104" s="29">
        <f>+R102</f>
        <v>8215245.6699999999</v>
      </c>
      <c r="S104" s="29"/>
      <c r="T104" s="29">
        <f>+T102</f>
        <v>11257722.789999999</v>
      </c>
      <c r="U104" s="29"/>
      <c r="V104" s="29">
        <f>+V102</f>
        <v>11891948</v>
      </c>
      <c r="W104" s="29"/>
      <c r="X104" s="93">
        <f>X102</f>
        <v>19539365.789999999</v>
      </c>
    </row>
    <row r="105" spans="2:24">
      <c r="B105" s="9"/>
      <c r="C105" s="9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84"/>
    </row>
    <row r="106" spans="2:24">
      <c r="B106" s="6" t="s">
        <v>45</v>
      </c>
      <c r="C106" s="6"/>
      <c r="D106" s="31">
        <f>+D98-D104+D100</f>
        <v>13701026.409999996</v>
      </c>
      <c r="E106" s="31">
        <f t="shared" ref="E106:G106" si="20">+E98-E104+E100</f>
        <v>54652705.009999983</v>
      </c>
      <c r="F106" s="31">
        <f t="shared" si="20"/>
        <v>53847342.520000078</v>
      </c>
      <c r="G106" s="31">
        <f t="shared" si="20"/>
        <v>57072735.440000072</v>
      </c>
      <c r="H106" s="31">
        <f>+H98-H104+H100</f>
        <v>5507186.9199999981</v>
      </c>
      <c r="I106" s="31"/>
      <c r="J106" s="31">
        <f t="shared" ref="J106:P106" si="21">+J98-J104+J100</f>
        <v>9119112.4499999918</v>
      </c>
      <c r="K106" s="31"/>
      <c r="L106" s="31">
        <f t="shared" si="21"/>
        <v>-10554298.27999993</v>
      </c>
      <c r="M106" s="31"/>
      <c r="N106" s="31">
        <f>+N98-N104+N100</f>
        <v>-18238231.739999954</v>
      </c>
      <c r="O106" s="31"/>
      <c r="P106" s="31">
        <f t="shared" si="21"/>
        <v>-46122638.690000005</v>
      </c>
      <c r="Q106" s="31"/>
      <c r="R106" s="31">
        <f>+R98-R104+R100</f>
        <v>-67820397.329999968</v>
      </c>
      <c r="S106" s="31"/>
      <c r="T106" s="31">
        <f t="shared" ref="T106" si="22">+T98-T104+T100</f>
        <v>-112273569.56000009</v>
      </c>
      <c r="U106" s="31"/>
      <c r="V106" s="31">
        <f>+V98-V104+V100</f>
        <v>-150144259.81999999</v>
      </c>
      <c r="W106" s="31"/>
      <c r="X106" s="31">
        <f>+X98-X104+X100</f>
        <v>-141512764.75999993</v>
      </c>
    </row>
    <row r="107" spans="2:24">
      <c r="B107" s="1"/>
      <c r="C107" s="1"/>
      <c r="D107" s="1"/>
      <c r="E107" s="1"/>
      <c r="F107" s="1"/>
      <c r="G107" s="1"/>
      <c r="H107" s="34"/>
      <c r="I107" s="34"/>
      <c r="J107" s="34"/>
      <c r="K107" s="34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61"/>
    </row>
    <row r="108" spans="2:24">
      <c r="B108" s="6" t="s">
        <v>46</v>
      </c>
      <c r="C108" s="6"/>
      <c r="D108" s="6">
        <v>0</v>
      </c>
      <c r="E108" s="6">
        <v>0</v>
      </c>
      <c r="F108" s="6">
        <v>0</v>
      </c>
      <c r="G108" s="6">
        <v>0</v>
      </c>
      <c r="H108" s="29">
        <v>0</v>
      </c>
      <c r="I108" s="29"/>
      <c r="J108" s="29">
        <v>0</v>
      </c>
      <c r="K108" s="29"/>
      <c r="L108" s="29">
        <v>0</v>
      </c>
      <c r="M108" s="29"/>
      <c r="N108" s="29">
        <v>6471000</v>
      </c>
      <c r="O108" s="29"/>
      <c r="P108" s="29">
        <f>+N108</f>
        <v>6471000</v>
      </c>
      <c r="Q108" s="29"/>
      <c r="R108" s="29">
        <f>+P108</f>
        <v>6471000</v>
      </c>
      <c r="S108" s="29"/>
      <c r="T108" s="29">
        <v>6471000</v>
      </c>
      <c r="U108" s="29"/>
      <c r="V108" s="29">
        <f>+T108</f>
        <v>6471000</v>
      </c>
      <c r="W108" s="29"/>
      <c r="X108" s="29">
        <f>+V108</f>
        <v>6471000</v>
      </c>
    </row>
    <row r="109" spans="2:24">
      <c r="B109" s="9"/>
      <c r="C109" s="9"/>
      <c r="D109" s="9"/>
      <c r="E109" s="9"/>
      <c r="F109" s="9"/>
      <c r="G109" s="9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61"/>
    </row>
    <row r="110" spans="2:24">
      <c r="B110" s="6" t="s">
        <v>6</v>
      </c>
      <c r="C110" s="6"/>
      <c r="D110" s="31">
        <f t="shared" ref="D110:G110" si="23">+D106-D108</f>
        <v>13701026.409999996</v>
      </c>
      <c r="E110" s="31">
        <f>+E106-E108</f>
        <v>54652705.009999983</v>
      </c>
      <c r="F110" s="31">
        <f t="shared" si="23"/>
        <v>53847342.520000078</v>
      </c>
      <c r="G110" s="31">
        <f t="shared" si="23"/>
        <v>57072735.440000072</v>
      </c>
      <c r="H110" s="31">
        <f>+H106-H108</f>
        <v>5507186.9199999981</v>
      </c>
      <c r="I110" s="31"/>
      <c r="J110" s="31">
        <f t="shared" ref="J110:X110" si="24">+J106-J108</f>
        <v>9119112.4499999918</v>
      </c>
      <c r="K110" s="31"/>
      <c r="L110" s="31">
        <f t="shared" si="24"/>
        <v>-10554298.27999993</v>
      </c>
      <c r="M110" s="31"/>
      <c r="N110" s="31">
        <f t="shared" si="24"/>
        <v>-24709231.739999954</v>
      </c>
      <c r="O110" s="31"/>
      <c r="P110" s="31">
        <f t="shared" si="24"/>
        <v>-52593638.690000005</v>
      </c>
      <c r="Q110" s="31"/>
      <c r="R110" s="31">
        <f t="shared" si="24"/>
        <v>-74291397.329999968</v>
      </c>
      <c r="S110" s="31"/>
      <c r="T110" s="31">
        <f t="shared" si="24"/>
        <v>-118744569.56000009</v>
      </c>
      <c r="U110" s="31"/>
      <c r="V110" s="31">
        <f t="shared" si="24"/>
        <v>-156615259.81999999</v>
      </c>
      <c r="W110" s="31"/>
      <c r="X110" s="31">
        <f t="shared" si="24"/>
        <v>-147983764.75999993</v>
      </c>
    </row>
    <row r="112" spans="2:24">
      <c r="D112" s="55"/>
      <c r="E112" s="51"/>
      <c r="F112" s="51"/>
      <c r="G112" s="51"/>
      <c r="H112" s="51">
        <f t="shared" ref="H112:X112" si="25">+H29-H42-H50</f>
        <v>6.0000002384185791E-2</v>
      </c>
      <c r="I112" s="51"/>
      <c r="J112" s="51">
        <f t="shared" si="25"/>
        <v>0.3399999737739563</v>
      </c>
      <c r="K112" s="51"/>
      <c r="L112" s="51">
        <f t="shared" si="25"/>
        <v>0.19999986886978149</v>
      </c>
      <c r="M112" s="51"/>
      <c r="N112" s="51">
        <f t="shared" si="25"/>
        <v>0.4400000274181366</v>
      </c>
      <c r="O112" s="51"/>
      <c r="P112" s="51">
        <f t="shared" si="25"/>
        <v>-0.34000006318092346</v>
      </c>
      <c r="Q112" s="51"/>
      <c r="R112" s="51">
        <f t="shared" si="25"/>
        <v>0.12999993562698364</v>
      </c>
      <c r="S112" s="51"/>
      <c r="T112" s="51">
        <f t="shared" si="25"/>
        <v>0</v>
      </c>
      <c r="U112" s="51"/>
      <c r="V112" s="51">
        <f t="shared" si="25"/>
        <v>-138224.65999996662</v>
      </c>
      <c r="W112" s="51"/>
      <c r="X112" s="51">
        <f t="shared" si="25"/>
        <v>0.24000000953674316</v>
      </c>
    </row>
    <row r="113" spans="4:23">
      <c r="D113" s="54"/>
      <c r="P113" s="51"/>
      <c r="Q113" s="51"/>
    </row>
    <row r="114" spans="4:23">
      <c r="P114" s="51"/>
      <c r="Q114" s="51"/>
      <c r="R114" s="51">
        <f>+R106-P106</f>
        <v>-21697758.639999963</v>
      </c>
      <c r="S114" s="51"/>
      <c r="T114" s="51"/>
      <c r="U114" s="51"/>
    </row>
    <row r="116" spans="4:23">
      <c r="V116" s="51"/>
      <c r="W116" s="51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D284"/>
  <sheetViews>
    <sheetView workbookViewId="0">
      <pane xSplit="4" ySplit="6" topLeftCell="M172" activePane="bottomRight" state="frozen"/>
      <selection activeCell="G18" sqref="G18"/>
      <selection pane="topRight" activeCell="G18" sqref="G18"/>
      <selection pane="bottomLeft" activeCell="G18" sqref="G18"/>
      <selection pane="bottomRight" activeCell="Q196" sqref="Q196"/>
    </sheetView>
  </sheetViews>
  <sheetFormatPr baseColWidth="10" defaultColWidth="11.42578125" defaultRowHeight="12.75"/>
  <cols>
    <col min="1" max="1" width="1.85546875" style="167" customWidth="1"/>
    <col min="2" max="2" width="8" style="167" hidden="1" customWidth="1"/>
    <col min="3" max="3" width="1.42578125" style="167" hidden="1" customWidth="1"/>
    <col min="4" max="4" width="36.140625" style="270" customWidth="1"/>
    <col min="5" max="5" width="1.85546875" style="168" customWidth="1"/>
    <col min="6" max="9" width="15.42578125" style="167" hidden="1" customWidth="1"/>
    <col min="10" max="10" width="14.7109375" style="271" customWidth="1"/>
    <col min="11" max="11" width="16" style="167" customWidth="1"/>
    <col min="12" max="12" width="17.28515625" style="167" bestFit="1" customWidth="1"/>
    <col min="13" max="14" width="15.42578125" style="167" bestFit="1" customWidth="1"/>
    <col min="15" max="15" width="16.5703125" style="167" bestFit="1" customWidth="1"/>
    <col min="16" max="16" width="17.28515625" style="167" customWidth="1"/>
    <col min="17" max="18" width="16.5703125" style="167" customWidth="1"/>
    <col min="19" max="20" width="16.5703125" style="167" hidden="1" customWidth="1"/>
    <col min="21" max="21" width="17.28515625" style="167" hidden="1" customWidth="1"/>
    <col min="22" max="22" width="1.85546875" style="168" hidden="1" customWidth="1"/>
    <col min="23" max="23" width="14.7109375" style="167" hidden="1" customWidth="1"/>
    <col min="24" max="24" width="15.42578125" style="167" hidden="1" customWidth="1"/>
    <col min="25" max="25" width="1.85546875" style="168" customWidth="1"/>
    <col min="26" max="27" width="15.42578125" style="167" hidden="1" customWidth="1"/>
    <col min="28" max="28" width="20.7109375" style="167" hidden="1" customWidth="1"/>
    <col min="29" max="29" width="16.7109375" style="167" hidden="1" customWidth="1"/>
    <col min="30" max="30" width="1.85546875" style="168" hidden="1" customWidth="1"/>
    <col min="31" max="31" width="16.28515625" style="167" hidden="1" customWidth="1"/>
    <col min="32" max="32" width="1.85546875" style="168" hidden="1" customWidth="1"/>
    <col min="33" max="33" width="15.42578125" style="167" hidden="1" customWidth="1"/>
    <col min="34" max="34" width="11.42578125" style="166" hidden="1" customWidth="1"/>
    <col min="35" max="43" width="11.42578125" style="167" customWidth="1"/>
    <col min="44" max="16384" width="11.42578125" style="167"/>
  </cols>
  <sheetData>
    <row r="1" spans="4:34" hidden="1">
      <c r="D1" s="380" t="s">
        <v>47</v>
      </c>
      <c r="E1" s="161"/>
      <c r="F1" s="162">
        <v>1</v>
      </c>
      <c r="G1" s="162">
        <v>2</v>
      </c>
      <c r="H1" s="162">
        <v>3</v>
      </c>
      <c r="I1" s="163">
        <v>4</v>
      </c>
      <c r="J1" s="164">
        <v>1</v>
      </c>
      <c r="K1" s="162">
        <f t="shared" ref="K1:R1" si="0">1+J1</f>
        <v>2</v>
      </c>
      <c r="L1" s="162">
        <f t="shared" si="0"/>
        <v>3</v>
      </c>
      <c r="M1" s="162">
        <f t="shared" si="0"/>
        <v>4</v>
      </c>
      <c r="N1" s="162">
        <f t="shared" si="0"/>
        <v>5</v>
      </c>
      <c r="O1" s="162">
        <f t="shared" si="0"/>
        <v>6</v>
      </c>
      <c r="P1" s="162">
        <f t="shared" si="0"/>
        <v>7</v>
      </c>
      <c r="Q1" s="162">
        <f t="shared" si="0"/>
        <v>8</v>
      </c>
      <c r="R1" s="162">
        <f t="shared" si="0"/>
        <v>9</v>
      </c>
      <c r="S1" s="162">
        <f t="shared" ref="S1" si="1">1+R1</f>
        <v>10</v>
      </c>
      <c r="T1" s="162">
        <f t="shared" ref="T1" si="2">1+S1</f>
        <v>11</v>
      </c>
      <c r="U1" s="162">
        <f t="shared" ref="U1" si="3">1+T1</f>
        <v>12</v>
      </c>
      <c r="V1" s="161"/>
      <c r="W1" s="162">
        <f>F1</f>
        <v>1</v>
      </c>
      <c r="X1" s="162">
        <f>I1</f>
        <v>4</v>
      </c>
      <c r="Y1" s="161"/>
      <c r="Z1" s="162">
        <f>L1</f>
        <v>3</v>
      </c>
      <c r="AA1" s="162">
        <f>O1</f>
        <v>6</v>
      </c>
      <c r="AB1" s="162">
        <f>R1</f>
        <v>9</v>
      </c>
      <c r="AC1" s="165">
        <f>U1</f>
        <v>12</v>
      </c>
      <c r="AD1" s="161"/>
      <c r="AE1" s="162">
        <f>X1</f>
        <v>4</v>
      </c>
      <c r="AF1" s="161"/>
      <c r="AG1" s="165">
        <f>N1</f>
        <v>5</v>
      </c>
    </row>
    <row r="2" spans="4:34" hidden="1">
      <c r="D2" s="381"/>
      <c r="F2" s="162">
        <v>30</v>
      </c>
      <c r="G2" s="162">
        <v>31</v>
      </c>
      <c r="H2" s="162">
        <v>30</v>
      </c>
      <c r="I2" s="163">
        <v>31</v>
      </c>
      <c r="J2" s="164">
        <v>31</v>
      </c>
      <c r="K2" s="162">
        <v>28</v>
      </c>
      <c r="L2" s="162">
        <v>31</v>
      </c>
      <c r="M2" s="162">
        <v>30</v>
      </c>
      <c r="N2" s="162">
        <v>31</v>
      </c>
      <c r="O2" s="162">
        <v>30</v>
      </c>
      <c r="P2" s="162">
        <v>31</v>
      </c>
      <c r="Q2" s="162">
        <v>31</v>
      </c>
      <c r="R2" s="162">
        <v>31</v>
      </c>
      <c r="S2" s="162">
        <v>30</v>
      </c>
      <c r="T2" s="162">
        <v>30</v>
      </c>
      <c r="U2" s="162">
        <v>30</v>
      </c>
      <c r="W2" s="162">
        <f>F2</f>
        <v>30</v>
      </c>
      <c r="X2" s="162">
        <f>I2</f>
        <v>31</v>
      </c>
      <c r="Z2" s="162">
        <f>L2</f>
        <v>31</v>
      </c>
      <c r="AA2" s="162">
        <f>O2</f>
        <v>30</v>
      </c>
      <c r="AB2" s="162">
        <f>R2</f>
        <v>31</v>
      </c>
      <c r="AC2" s="165">
        <f>U2</f>
        <v>30</v>
      </c>
      <c r="AE2" s="162">
        <f t="shared" ref="AE2:AE3" si="4">X2</f>
        <v>31</v>
      </c>
      <c r="AG2" s="165">
        <f t="shared" ref="AG2:AG3" si="5">N2</f>
        <v>31</v>
      </c>
    </row>
    <row r="3" spans="4:34" hidden="1">
      <c r="D3" s="382"/>
      <c r="F3" s="162">
        <f>F2</f>
        <v>30</v>
      </c>
      <c r="G3" s="162">
        <f t="shared" ref="G3:I3" si="6">F3+G2</f>
        <v>61</v>
      </c>
      <c r="H3" s="162">
        <f t="shared" si="6"/>
        <v>91</v>
      </c>
      <c r="I3" s="163">
        <f t="shared" si="6"/>
        <v>122</v>
      </c>
      <c r="J3" s="164">
        <f>J2</f>
        <v>31</v>
      </c>
      <c r="K3" s="162">
        <f>J3+K2</f>
        <v>59</v>
      </c>
      <c r="L3" s="162">
        <f t="shared" ref="L3:R3" si="7">K3+L2</f>
        <v>90</v>
      </c>
      <c r="M3" s="162">
        <f t="shared" si="7"/>
        <v>120</v>
      </c>
      <c r="N3" s="162">
        <f t="shared" si="7"/>
        <v>151</v>
      </c>
      <c r="O3" s="162">
        <f t="shared" si="7"/>
        <v>181</v>
      </c>
      <c r="P3" s="162">
        <f t="shared" si="7"/>
        <v>212</v>
      </c>
      <c r="Q3" s="162">
        <f t="shared" si="7"/>
        <v>243</v>
      </c>
      <c r="R3" s="162">
        <f t="shared" si="7"/>
        <v>274</v>
      </c>
      <c r="S3" s="162">
        <f t="shared" ref="S3" si="8">R3+S2</f>
        <v>304</v>
      </c>
      <c r="T3" s="162">
        <f t="shared" ref="T3" si="9">S3+T2</f>
        <v>334</v>
      </c>
      <c r="U3" s="162">
        <f t="shared" ref="U3" si="10">T3+U2</f>
        <v>364</v>
      </c>
      <c r="W3" s="162">
        <f>F3</f>
        <v>30</v>
      </c>
      <c r="X3" s="162">
        <f>I3</f>
        <v>122</v>
      </c>
      <c r="Z3" s="162">
        <f>L3</f>
        <v>90</v>
      </c>
      <c r="AA3" s="162">
        <f>O3</f>
        <v>181</v>
      </c>
      <c r="AB3" s="162">
        <f>R3</f>
        <v>274</v>
      </c>
      <c r="AC3" s="165">
        <f>U3</f>
        <v>364</v>
      </c>
      <c r="AE3" s="162">
        <f t="shared" si="4"/>
        <v>122</v>
      </c>
      <c r="AG3" s="165">
        <f t="shared" si="5"/>
        <v>151</v>
      </c>
    </row>
    <row r="4" spans="4:34" s="173" customFormat="1">
      <c r="D4" s="169"/>
      <c r="E4" s="17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0"/>
      <c r="W4" s="171"/>
      <c r="X4" s="171"/>
      <c r="Y4" s="170"/>
      <c r="Z4" s="171"/>
      <c r="AA4" s="171"/>
      <c r="AB4" s="171"/>
      <c r="AC4" s="171"/>
      <c r="AD4" s="170"/>
      <c r="AE4" s="171"/>
      <c r="AF4" s="170"/>
      <c r="AG4" s="171"/>
    </row>
    <row r="5" spans="4:34">
      <c r="D5" s="174" t="s">
        <v>180</v>
      </c>
      <c r="F5" s="383" t="s">
        <v>182</v>
      </c>
      <c r="G5" s="383"/>
      <c r="H5" s="383"/>
      <c r="I5" s="383"/>
      <c r="J5" s="384" t="s">
        <v>265</v>
      </c>
      <c r="K5" s="384"/>
      <c r="L5" s="384"/>
      <c r="M5" s="384"/>
      <c r="N5" s="384"/>
      <c r="O5" s="384"/>
      <c r="P5" s="384" t="s">
        <v>183</v>
      </c>
      <c r="Q5" s="384"/>
      <c r="R5" s="384"/>
      <c r="S5" s="384"/>
      <c r="T5" s="384"/>
      <c r="U5" s="384"/>
      <c r="W5" s="383" t="s">
        <v>191</v>
      </c>
      <c r="X5" s="383"/>
      <c r="Z5" s="384" t="s">
        <v>48</v>
      </c>
      <c r="AA5" s="384"/>
      <c r="AB5" s="384"/>
      <c r="AC5" s="384"/>
      <c r="AE5" s="175" t="s">
        <v>49</v>
      </c>
      <c r="AG5" s="176" t="s">
        <v>50</v>
      </c>
    </row>
    <row r="6" spans="4:34">
      <c r="D6" s="174" t="s">
        <v>51</v>
      </c>
      <c r="F6" s="177">
        <v>41518</v>
      </c>
      <c r="G6" s="177">
        <v>41548</v>
      </c>
      <c r="H6" s="177">
        <v>41579</v>
      </c>
      <c r="I6" s="177">
        <v>41609</v>
      </c>
      <c r="J6" s="178">
        <v>42005</v>
      </c>
      <c r="K6" s="178">
        <v>42036</v>
      </c>
      <c r="L6" s="178">
        <v>42064</v>
      </c>
      <c r="M6" s="178">
        <v>42095</v>
      </c>
      <c r="N6" s="178">
        <v>42125</v>
      </c>
      <c r="O6" s="178">
        <v>42156</v>
      </c>
      <c r="P6" s="178">
        <v>42186</v>
      </c>
      <c r="Q6" s="178">
        <v>42217</v>
      </c>
      <c r="R6" s="178">
        <v>42248</v>
      </c>
      <c r="S6" s="178">
        <v>42278</v>
      </c>
      <c r="T6" s="178">
        <v>42309</v>
      </c>
      <c r="U6" s="178">
        <v>42339</v>
      </c>
      <c r="W6" s="177">
        <v>41547</v>
      </c>
      <c r="X6" s="177">
        <v>41639</v>
      </c>
      <c r="Z6" s="178">
        <v>41729</v>
      </c>
      <c r="AA6" s="178">
        <v>41820</v>
      </c>
      <c r="AB6" s="178">
        <v>41912</v>
      </c>
      <c r="AC6" s="178">
        <v>42004</v>
      </c>
      <c r="AE6" s="177">
        <v>41639</v>
      </c>
      <c r="AG6" s="178">
        <v>41639</v>
      </c>
    </row>
    <row r="7" spans="4:34" s="182" customFormat="1">
      <c r="D7" s="179"/>
      <c r="E7" s="180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0"/>
      <c r="W7" s="181"/>
      <c r="X7" s="181"/>
      <c r="Y7" s="180"/>
      <c r="Z7" s="181"/>
      <c r="AA7" s="181"/>
      <c r="AB7" s="181"/>
      <c r="AC7" s="181"/>
      <c r="AD7" s="180"/>
      <c r="AE7" s="181"/>
      <c r="AF7" s="180"/>
      <c r="AG7" s="181"/>
    </row>
    <row r="8" spans="4:34">
      <c r="D8" s="183" t="s">
        <v>52</v>
      </c>
      <c r="F8" s="184">
        <f>'CIFRAS EEFF'!D6</f>
        <v>573242</v>
      </c>
      <c r="G8" s="184">
        <f>'CIFRAS EEFF'!E6</f>
        <v>6982548.2000000002</v>
      </c>
      <c r="H8" s="184">
        <f>'CIFRAS EEFF'!F6</f>
        <v>16528738</v>
      </c>
      <c r="I8" s="184" t="e">
        <f>'CIFRAS EEFF'!#REF!</f>
        <v>#REF!</v>
      </c>
      <c r="J8" s="184">
        <f>'CIFRAS EEFF'!G6</f>
        <v>87461479.340000004</v>
      </c>
      <c r="K8" s="184">
        <f>'CIFRAS EEFF'!H6</f>
        <v>98946065.340000004</v>
      </c>
      <c r="L8" s="184">
        <f>'CIFRAS EEFF'!I6</f>
        <v>77506989.340000004</v>
      </c>
      <c r="M8" s="184">
        <f>'CIFRAS EEFF'!J6</f>
        <v>21026092.010000002</v>
      </c>
      <c r="N8" s="184">
        <f>'CIFRAS EEFF'!K6</f>
        <v>22494821</v>
      </c>
      <c r="O8" s="184">
        <f>'CIFRAS EEFF'!L6</f>
        <v>20779401</v>
      </c>
      <c r="P8" s="184">
        <f>'CIFRAS EEFF'!M6</f>
        <v>43224951</v>
      </c>
      <c r="Q8" s="184">
        <f>'CIFRAS EEFF'!N6</f>
        <v>40695911.560000002</v>
      </c>
      <c r="R8" s="184">
        <f>'CIFRAS EEFF'!O6</f>
        <v>33050230</v>
      </c>
      <c r="S8" s="184" t="e">
        <f>'CIFRAS EEFF'!#REF!</f>
        <v>#REF!</v>
      </c>
      <c r="T8" s="184" t="e">
        <f>'CIFRAS EEFF'!#REF!</f>
        <v>#REF!</v>
      </c>
      <c r="U8" s="184" t="e">
        <f>'CIFRAS EEFF'!#REF!</f>
        <v>#REF!</v>
      </c>
      <c r="W8" s="184">
        <f>F8</f>
        <v>573242</v>
      </c>
      <c r="X8" s="184" t="e">
        <f>I8</f>
        <v>#REF!</v>
      </c>
      <c r="Z8" s="184">
        <f>L8</f>
        <v>77506989.340000004</v>
      </c>
      <c r="AA8" s="184">
        <f>O8</f>
        <v>20779401</v>
      </c>
      <c r="AB8" s="184">
        <f t="shared" ref="AB8:AC10" si="11">R8</f>
        <v>33050230</v>
      </c>
      <c r="AC8" s="184" t="e">
        <f t="shared" si="11"/>
        <v>#REF!</v>
      </c>
      <c r="AE8" s="184" t="e">
        <f>I8</f>
        <v>#REF!</v>
      </c>
      <c r="AG8" s="184">
        <f>N8</f>
        <v>22494821</v>
      </c>
    </row>
    <row r="9" spans="4:34">
      <c r="D9" s="183" t="s">
        <v>53</v>
      </c>
      <c r="F9" s="184">
        <f>+'CIFRAS EEFF'!D7</f>
        <v>169275243.46000001</v>
      </c>
      <c r="G9" s="184">
        <f>+'CIFRAS EEFF'!E7</f>
        <v>329829598.18000001</v>
      </c>
      <c r="H9" s="184">
        <f>+'CIFRAS EEFF'!F7</f>
        <v>336518375.01999998</v>
      </c>
      <c r="I9" s="184" t="e">
        <f>+'CIFRAS EEFF'!#REF!</f>
        <v>#REF!</v>
      </c>
      <c r="J9" s="184">
        <f>+'CIFRAS EEFF'!G8+'CIFRAS EEFF'!G9</f>
        <v>481050912.56999999</v>
      </c>
      <c r="K9" s="184">
        <f>+'CIFRAS EEFF'!H8+'CIFRAS EEFF'!H9</f>
        <v>317290981.66999996</v>
      </c>
      <c r="L9" s="184">
        <f>+'CIFRAS EEFF'!I8+'CIFRAS EEFF'!I9</f>
        <v>577065563.67000008</v>
      </c>
      <c r="M9" s="184">
        <f>+'CIFRAS EEFF'!J8+'CIFRAS EEFF'!J9</f>
        <v>638927300.54999995</v>
      </c>
      <c r="N9" s="184">
        <f>+'CIFRAS EEFF'!K8+'CIFRAS EEFF'!K9</f>
        <v>598091821.54999995</v>
      </c>
      <c r="O9" s="184">
        <f>+'CIFRAS EEFF'!L8+'CIFRAS EEFF'!L9</f>
        <v>701839570</v>
      </c>
      <c r="P9" s="184">
        <f>+'CIFRAS EEFF'!M8+'CIFRAS EEFF'!M9</f>
        <v>601006556</v>
      </c>
      <c r="Q9" s="184">
        <f>+'CIFRAS EEFF'!N8+'CIFRAS EEFF'!N9</f>
        <v>820478973</v>
      </c>
      <c r="R9" s="184">
        <f>+'CIFRAS EEFF'!O8+'CIFRAS EEFF'!O9</f>
        <v>722568502</v>
      </c>
      <c r="S9" s="184" t="e">
        <f>+'CIFRAS EEFF'!#REF!+'CIFRAS EEFF'!#REF!</f>
        <v>#REF!</v>
      </c>
      <c r="T9" s="184" t="e">
        <f>+'CIFRAS EEFF'!#REF!+'CIFRAS EEFF'!#REF!</f>
        <v>#REF!</v>
      </c>
      <c r="U9" s="184" t="e">
        <f>+'CIFRAS EEFF'!#REF!+'CIFRAS EEFF'!#REF!</f>
        <v>#REF!</v>
      </c>
      <c r="W9" s="184">
        <f>F9</f>
        <v>169275243.46000001</v>
      </c>
      <c r="X9" s="184" t="e">
        <f>I9</f>
        <v>#REF!</v>
      </c>
      <c r="Z9" s="184">
        <f>L9</f>
        <v>577065563.67000008</v>
      </c>
      <c r="AA9" s="184">
        <f>O9</f>
        <v>701839570</v>
      </c>
      <c r="AB9" s="184">
        <f t="shared" si="11"/>
        <v>722568502</v>
      </c>
      <c r="AC9" s="184" t="e">
        <f t="shared" si="11"/>
        <v>#REF!</v>
      </c>
      <c r="AE9" s="184" t="e">
        <f>I9</f>
        <v>#REF!</v>
      </c>
      <c r="AG9" s="184">
        <f>N9</f>
        <v>598091821.54999995</v>
      </c>
    </row>
    <row r="10" spans="4:34">
      <c r="D10" s="183" t="s">
        <v>228</v>
      </c>
      <c r="F10" s="184">
        <v>0</v>
      </c>
      <c r="G10" s="184">
        <v>0</v>
      </c>
      <c r="H10" s="184">
        <v>0</v>
      </c>
      <c r="I10" s="184">
        <v>0</v>
      </c>
      <c r="J10" s="184">
        <f>+'CIFRAS EEFF'!G10</f>
        <v>6693136</v>
      </c>
      <c r="K10" s="184">
        <f>+'CIFRAS EEFF'!H10</f>
        <v>23407732</v>
      </c>
      <c r="L10" s="184">
        <f>+'CIFRAS EEFF'!I10</f>
        <v>21055230</v>
      </c>
      <c r="M10" s="184">
        <f>+'CIFRAS EEFF'!J10</f>
        <v>5751501</v>
      </c>
      <c r="N10" s="184">
        <f>+'CIFRAS EEFF'!K10</f>
        <v>362980</v>
      </c>
      <c r="O10" s="184">
        <f>+'CIFRAS EEFF'!L10</f>
        <v>833280</v>
      </c>
      <c r="P10" s="184">
        <f>+'CIFRAS EEFF'!M10</f>
        <v>11718222</v>
      </c>
      <c r="Q10" s="184">
        <f>+'CIFRAS EEFF'!N10</f>
        <v>6166501</v>
      </c>
      <c r="R10" s="184">
        <f>+'CIFRAS EEFF'!O10</f>
        <v>3258404</v>
      </c>
      <c r="S10" s="184" t="e">
        <f>+'CIFRAS EEFF'!#REF!</f>
        <v>#REF!</v>
      </c>
      <c r="T10" s="184" t="e">
        <f>+'CIFRAS EEFF'!#REF!</f>
        <v>#REF!</v>
      </c>
      <c r="U10" s="184" t="e">
        <f>+'CIFRAS EEFF'!#REF!</f>
        <v>#REF!</v>
      </c>
      <c r="V10" s="184" t="e">
        <f>+'CIFRAS EEFF'!#REF!</f>
        <v>#REF!</v>
      </c>
      <c r="W10" s="184">
        <f>F10</f>
        <v>0</v>
      </c>
      <c r="X10" s="184">
        <f>I10</f>
        <v>0</v>
      </c>
      <c r="Z10" s="184">
        <f>L10</f>
        <v>21055230</v>
      </c>
      <c r="AA10" s="184">
        <f>O10</f>
        <v>833280</v>
      </c>
      <c r="AB10" s="184">
        <f t="shared" si="11"/>
        <v>3258404</v>
      </c>
      <c r="AC10" s="184" t="e">
        <f t="shared" si="11"/>
        <v>#REF!</v>
      </c>
      <c r="AE10" s="184">
        <f>I10</f>
        <v>0</v>
      </c>
      <c r="AG10" s="184">
        <f>N10</f>
        <v>362980</v>
      </c>
    </row>
    <row r="11" spans="4:34">
      <c r="D11" s="183" t="s">
        <v>229</v>
      </c>
      <c r="F11" s="184"/>
      <c r="G11" s="184"/>
      <c r="H11" s="184"/>
      <c r="I11" s="184"/>
      <c r="J11" s="184">
        <f>+'CIFRAS EEFF'!G11</f>
        <v>8061030.75</v>
      </c>
      <c r="K11" s="184">
        <f>+'CIFRAS EEFF'!H11</f>
        <v>7750713.75</v>
      </c>
      <c r="L11" s="184">
        <f>+'CIFRAS EEFF'!I11</f>
        <v>14103885.75</v>
      </c>
      <c r="M11" s="184">
        <f>+'CIFRAS EEFF'!J11</f>
        <v>16780066.84</v>
      </c>
      <c r="N11" s="184">
        <f>+'CIFRAS EEFF'!K11</f>
        <v>9891563.8399999999</v>
      </c>
      <c r="O11" s="184">
        <f>+'CIFRAS EEFF'!L11</f>
        <v>10988582</v>
      </c>
      <c r="P11" s="184">
        <f>+'CIFRAS EEFF'!M11</f>
        <v>12392522.33</v>
      </c>
      <c r="Q11" s="184">
        <f>+'CIFRAS EEFF'!N11</f>
        <v>14147285.300000001</v>
      </c>
      <c r="R11" s="184">
        <f>+'CIFRAS EEFF'!O11</f>
        <v>15133211</v>
      </c>
      <c r="S11" s="184" t="e">
        <f>+'CIFRAS EEFF'!#REF!</f>
        <v>#REF!</v>
      </c>
      <c r="T11" s="184" t="e">
        <f>+'CIFRAS EEFF'!#REF!</f>
        <v>#REF!</v>
      </c>
      <c r="U11" s="184" t="e">
        <f>+'CIFRAS EEFF'!#REF!</f>
        <v>#REF!</v>
      </c>
      <c r="W11" s="184"/>
      <c r="X11" s="184"/>
      <c r="Z11" s="184"/>
      <c r="AA11" s="184"/>
      <c r="AB11" s="184"/>
      <c r="AC11" s="184"/>
      <c r="AE11" s="184"/>
      <c r="AG11" s="184"/>
    </row>
    <row r="12" spans="4:34" ht="25.5">
      <c r="D12" s="183" t="s">
        <v>231</v>
      </c>
      <c r="F12" s="184"/>
      <c r="G12" s="184"/>
      <c r="H12" s="184"/>
      <c r="I12" s="184"/>
      <c r="J12" s="184">
        <f>+'CIFRAS EEFF'!G12</f>
        <v>0</v>
      </c>
      <c r="K12" s="184">
        <f>+'CIFRAS EEFF'!H12</f>
        <v>0</v>
      </c>
      <c r="L12" s="184">
        <f>+'CIFRAS EEFF'!I12</f>
        <v>305074</v>
      </c>
      <c r="M12" s="184">
        <f>+'CIFRAS EEFF'!J12</f>
        <v>750000</v>
      </c>
      <c r="N12" s="184">
        <f>+'CIFRAS EEFF'!K12</f>
        <v>250000</v>
      </c>
      <c r="O12" s="184">
        <f>+'CIFRAS EEFF'!L12</f>
        <v>0</v>
      </c>
      <c r="P12" s="184">
        <f>+'CIFRAS EEFF'!M12</f>
        <v>0</v>
      </c>
      <c r="Q12" s="184">
        <f>+'CIFRAS EEFF'!N12</f>
        <v>0</v>
      </c>
      <c r="R12" s="184">
        <f>+'CIFRAS EEFF'!O12</f>
        <v>0</v>
      </c>
      <c r="S12" s="184" t="e">
        <f>+'CIFRAS EEFF'!#REF!</f>
        <v>#REF!</v>
      </c>
      <c r="T12" s="184" t="e">
        <f>+'CIFRAS EEFF'!#REF!</f>
        <v>#REF!</v>
      </c>
      <c r="U12" s="184" t="e">
        <f>+'CIFRAS EEFF'!#REF!</f>
        <v>#REF!</v>
      </c>
      <c r="W12" s="184"/>
      <c r="X12" s="184"/>
      <c r="Z12" s="184"/>
      <c r="AA12" s="184"/>
      <c r="AB12" s="184"/>
      <c r="AC12" s="184"/>
      <c r="AE12" s="184"/>
      <c r="AG12" s="184"/>
    </row>
    <row r="13" spans="4:34">
      <c r="D13" s="183" t="s">
        <v>230</v>
      </c>
      <c r="F13" s="184"/>
      <c r="G13" s="184"/>
      <c r="H13" s="184"/>
      <c r="I13" s="184"/>
      <c r="J13" s="184">
        <f>+'CIFRAS EEFF'!G13</f>
        <v>4941512.87</v>
      </c>
      <c r="K13" s="184">
        <f>+'CIFRAS EEFF'!H13</f>
        <v>4941512.87</v>
      </c>
      <c r="L13" s="184">
        <f>+'CIFRAS EEFF'!I13</f>
        <v>4941512.87</v>
      </c>
      <c r="M13" s="184">
        <f>+'CIFRAS EEFF'!J13</f>
        <v>5178637.87</v>
      </c>
      <c r="N13" s="184">
        <f>+'CIFRAS EEFF'!K13</f>
        <v>6795328.8700000001</v>
      </c>
      <c r="O13" s="184">
        <f>+'CIFRAS EEFF'!L13</f>
        <v>7826012.8700000001</v>
      </c>
      <c r="P13" s="184">
        <f>+'CIFRAS EEFF'!M13</f>
        <v>4918512.87</v>
      </c>
      <c r="Q13" s="184">
        <f>+'CIFRAS EEFF'!N13</f>
        <v>4670012.87</v>
      </c>
      <c r="R13" s="184">
        <f>+'CIFRAS EEFF'!O13</f>
        <v>4936693</v>
      </c>
      <c r="S13" s="184" t="e">
        <f>+'CIFRAS EEFF'!#REF!</f>
        <v>#REF!</v>
      </c>
      <c r="T13" s="184" t="e">
        <f>+'CIFRAS EEFF'!#REF!</f>
        <v>#REF!</v>
      </c>
      <c r="U13" s="184" t="e">
        <f>+'CIFRAS EEFF'!#REF!</f>
        <v>#REF!</v>
      </c>
      <c r="W13" s="184"/>
      <c r="X13" s="184"/>
      <c r="Z13" s="184"/>
      <c r="AA13" s="184"/>
      <c r="AB13" s="184"/>
      <c r="AC13" s="184"/>
      <c r="AE13" s="184"/>
      <c r="AG13" s="184"/>
    </row>
    <row r="14" spans="4:34" s="189" customFormat="1">
      <c r="D14" s="185" t="s">
        <v>54</v>
      </c>
      <c r="E14" s="186"/>
      <c r="F14" s="187">
        <f>(F92/(F9+F10+F20))*$I$1/F1</f>
        <v>3.4467194970413306</v>
      </c>
      <c r="G14" s="187">
        <f>(G92/(G9+G10+G20))*$I$1/G1</f>
        <v>2.3061112744190408</v>
      </c>
      <c r="H14" s="187">
        <f>(H92/(H9+H10+H20))*$I$1/H1</f>
        <v>2.5374700669740569</v>
      </c>
      <c r="I14" s="187" t="e">
        <f>(I92/(I9+I10+I20))*$I$1/I1</f>
        <v>#REF!</v>
      </c>
      <c r="J14" s="187">
        <f t="shared" ref="J14:Q14" si="12">(J92/(J9+J20))*$U$1/J1</f>
        <v>3.2017414285143428</v>
      </c>
      <c r="K14" s="187">
        <f t="shared" si="12"/>
        <v>3.3056492575980752</v>
      </c>
      <c r="L14" s="187">
        <f t="shared" si="12"/>
        <v>3.3934324612026798</v>
      </c>
      <c r="M14" s="187">
        <f t="shared" si="12"/>
        <v>3.1250392326031902</v>
      </c>
      <c r="N14" s="187">
        <f t="shared" si="12"/>
        <v>3.4546462064057293</v>
      </c>
      <c r="O14" s="187">
        <f t="shared" si="12"/>
        <v>3.1788321767038585</v>
      </c>
      <c r="P14" s="187">
        <f t="shared" si="12"/>
        <v>3.9251420336063214</v>
      </c>
      <c r="Q14" s="187">
        <f t="shared" si="12"/>
        <v>3.1853090633682823</v>
      </c>
      <c r="R14" s="187">
        <f t="shared" ref="R14" si="13">(R92/(R9+R20))*$U$1/R1</f>
        <v>3.7381637245331607</v>
      </c>
      <c r="S14" s="187" t="e">
        <f t="shared" ref="S14:U14" si="14">(S92/(S9+S20))*$U$1/S1</f>
        <v>#REF!</v>
      </c>
      <c r="T14" s="187" t="e">
        <f t="shared" si="14"/>
        <v>#REF!</v>
      </c>
      <c r="U14" s="187" t="e">
        <f t="shared" si="14"/>
        <v>#REF!</v>
      </c>
      <c r="V14" s="186"/>
      <c r="W14" s="187">
        <f>(W92/(W9+W10+W20))*$U$1/W1</f>
        <v>10.340158491123992</v>
      </c>
      <c r="X14" s="187" t="e">
        <f>(X92/(X9+X10+X20))*$U$1/X1</f>
        <v>#REF!</v>
      </c>
      <c r="Y14" s="186"/>
      <c r="Z14" s="187">
        <f>(Z92/(Z9+Z10+Z20))*$U$1/Z1</f>
        <v>3.2739758201424638</v>
      </c>
      <c r="AA14" s="187">
        <f>(AA92/(AA9+AA10+AA20))*$U$1/AA1</f>
        <v>3.1750624888950809</v>
      </c>
      <c r="AB14" s="187">
        <f>(AB92/(AB9+AB10+AB20))*$U$1/AB1</f>
        <v>3.7213822473903537</v>
      </c>
      <c r="AC14" s="187" t="e">
        <f>(AC92/(AC9+AC10+AC20))*$U$1/AC1</f>
        <v>#REF!</v>
      </c>
      <c r="AD14" s="186"/>
      <c r="AE14" s="187" t="e">
        <f>(AE92/(AE9+AE10+AE20))*$U$1/AE1</f>
        <v>#REF!</v>
      </c>
      <c r="AF14" s="186"/>
      <c r="AG14" s="187">
        <f>(AG92/(AG9+AG10+AG20))*$U$1/AG1</f>
        <v>3.4525508644070468</v>
      </c>
      <c r="AH14" s="188"/>
    </row>
    <row r="15" spans="4:34" s="189" customFormat="1">
      <c r="D15" s="185" t="s">
        <v>55</v>
      </c>
      <c r="E15" s="186"/>
      <c r="F15" s="187">
        <f>(F9+F10+F20)/F95</f>
        <v>34.815713928275329</v>
      </c>
      <c r="G15" s="187">
        <f>(G9+G10+G20)/G95</f>
        <v>52.902911213915473</v>
      </c>
      <c r="H15" s="187">
        <f>(H9+H10+H20)/H95</f>
        <v>47.816656012034784</v>
      </c>
      <c r="I15" s="187" t="e">
        <f>(I9+I10+I20)/I95</f>
        <v>#REF!</v>
      </c>
      <c r="J15" s="187">
        <f t="shared" ref="J15:Q15" si="15">(J9+J20)/J95</f>
        <v>116.18677157593382</v>
      </c>
      <c r="K15" s="187">
        <f t="shared" si="15"/>
        <v>107.08940132905106</v>
      </c>
      <c r="L15" s="187">
        <f t="shared" si="15"/>
        <v>106.0872742027142</v>
      </c>
      <c r="M15" s="187">
        <f t="shared" si="15"/>
        <v>115.19855374747286</v>
      </c>
      <c r="N15" s="187">
        <f t="shared" si="15"/>
        <v>104.90220368384607</v>
      </c>
      <c r="O15" s="187">
        <f t="shared" si="15"/>
        <v>113.87829865726317</v>
      </c>
      <c r="P15" s="187">
        <f t="shared" si="15"/>
        <v>92.58991606340993</v>
      </c>
      <c r="Q15" s="187">
        <f t="shared" si="15"/>
        <v>114.43159603940036</v>
      </c>
      <c r="R15" s="187">
        <f t="shared" ref="R15" si="16">(R9+R20)/R95</f>
        <v>97.730693531610328</v>
      </c>
      <c r="S15" s="187" t="e">
        <f t="shared" ref="S15:U15" si="17">(S9+S20)/S95</f>
        <v>#REF!</v>
      </c>
      <c r="T15" s="187" t="e">
        <f t="shared" si="17"/>
        <v>#REF!</v>
      </c>
      <c r="U15" s="187" t="e">
        <f t="shared" si="17"/>
        <v>#REF!</v>
      </c>
      <c r="V15" s="186"/>
      <c r="W15" s="187">
        <f>(W9+W10+W20)/W95</f>
        <v>34.815713928275329</v>
      </c>
      <c r="X15" s="187" t="e">
        <f>(X9+X10+X20)/X95</f>
        <v>#REF!</v>
      </c>
      <c r="Y15" s="186"/>
      <c r="Z15" s="187">
        <f>(Z9+Z10+Z20)/Z95</f>
        <v>109.95805093769292</v>
      </c>
      <c r="AA15" s="187">
        <f>(AA9+AA10+AA20)/AA95</f>
        <v>114.01350406995475</v>
      </c>
      <c r="AB15" s="187">
        <f>(AB9+AB10+AB20)/AB95</f>
        <v>98.171407570272052</v>
      </c>
      <c r="AC15" s="187" t="e">
        <f t="shared" ref="AC15:AD15" si="18">(AC9+AC10+AC20)/AC95</f>
        <v>#REF!</v>
      </c>
      <c r="AD15" s="187" t="e">
        <f t="shared" si="18"/>
        <v>#DIV/0!</v>
      </c>
      <c r="AE15" s="187" t="e">
        <f>(AE9+AE10+AE20)/AE95</f>
        <v>#REF!</v>
      </c>
      <c r="AF15" s="186"/>
      <c r="AG15" s="187">
        <f>(AG9+AG10+AG20)/AG95</f>
        <v>104.96586849336391</v>
      </c>
      <c r="AH15" s="188"/>
    </row>
    <row r="16" spans="4:34" s="189" customFormat="1">
      <c r="D16" s="185" t="s">
        <v>56</v>
      </c>
      <c r="E16" s="186"/>
      <c r="F16" s="190" t="e">
        <f>(F9+F10)/F$46</f>
        <v>#REF!</v>
      </c>
      <c r="G16" s="190" t="e">
        <f>(G9+G10)/G$46</f>
        <v>#REF!</v>
      </c>
      <c r="H16" s="190" t="e">
        <f>(H9+H10)/H$46</f>
        <v>#REF!</v>
      </c>
      <c r="I16" s="190" t="e">
        <f>(I9+I10)/I$46</f>
        <v>#REF!</v>
      </c>
      <c r="J16" s="190">
        <f t="shared" ref="J16:Q16" si="19">(J9)/J$46</f>
        <v>0.66585363773714923</v>
      </c>
      <c r="K16" s="190">
        <f t="shared" si="19"/>
        <v>0.54172862310363301</v>
      </c>
      <c r="L16" s="190">
        <f t="shared" si="19"/>
        <v>0.67834026631195277</v>
      </c>
      <c r="M16" s="190">
        <f t="shared" si="19"/>
        <v>0.75768952581059212</v>
      </c>
      <c r="N16" s="190">
        <f t="shared" si="19"/>
        <v>0.74295777188288414</v>
      </c>
      <c r="O16" s="190">
        <f t="shared" si="19"/>
        <v>0.75644152695059086</v>
      </c>
      <c r="P16" s="190">
        <f t="shared" si="19"/>
        <v>0.71324646513320589</v>
      </c>
      <c r="Q16" s="190">
        <f t="shared" si="19"/>
        <v>0.78221707787835915</v>
      </c>
      <c r="R16" s="190">
        <f t="shared" ref="R16" si="20">(R9)/R$46</f>
        <v>0.77146287472981712</v>
      </c>
      <c r="S16" s="190" t="e">
        <f t="shared" ref="S16:U16" si="21">(S9)/S$46</f>
        <v>#REF!</v>
      </c>
      <c r="T16" s="190" t="e">
        <f t="shared" si="21"/>
        <v>#REF!</v>
      </c>
      <c r="U16" s="190" t="e">
        <f t="shared" si="21"/>
        <v>#REF!</v>
      </c>
      <c r="V16" s="186"/>
      <c r="W16" s="190" t="e">
        <f>(W9+W10)/W$46</f>
        <v>#REF!</v>
      </c>
      <c r="X16" s="190" t="e">
        <f>(X9+X10)/X$46</f>
        <v>#REF!</v>
      </c>
      <c r="Y16" s="186"/>
      <c r="Z16" s="190" t="e">
        <f>(Z9+Z10)/Z$46</f>
        <v>#REF!</v>
      </c>
      <c r="AA16" s="190" t="e">
        <f>(AA9+AA10)/AA$46</f>
        <v>#REF!</v>
      </c>
      <c r="AB16" s="190" t="e">
        <f>(AB9+AB10)/AB$46</f>
        <v>#REF!</v>
      </c>
      <c r="AC16" s="190" t="e">
        <f>(AC9+AC10)/AC$46</f>
        <v>#REF!</v>
      </c>
      <c r="AD16" s="186"/>
      <c r="AE16" s="190" t="e">
        <f>(AE9+AE10)/AE$46</f>
        <v>#REF!</v>
      </c>
      <c r="AF16" s="186"/>
      <c r="AG16" s="190" t="e">
        <f>(AG9+AG10)/AG$46</f>
        <v>#REF!</v>
      </c>
      <c r="AH16" s="188"/>
    </row>
    <row r="17" spans="4:34" s="189" customFormat="1">
      <c r="D17" s="185" t="s">
        <v>57</v>
      </c>
      <c r="E17" s="186"/>
      <c r="F17" s="190">
        <f>(F9+F10+F20)/F$47</f>
        <v>-108.24463108201509</v>
      </c>
      <c r="G17" s="190">
        <f>(G9+G10+G20)/G$47</f>
        <v>3.0556187727829474</v>
      </c>
      <c r="H17" s="190">
        <f>(H9+H10+H20)/H$47</f>
        <v>3.596580417370411</v>
      </c>
      <c r="I17" s="190" t="e">
        <f>(I9+I10+I20)/I$47</f>
        <v>#REF!</v>
      </c>
      <c r="J17" s="190">
        <f t="shared" ref="J17:Q17" si="22">(J9+J20)/J$47</f>
        <v>0.9561672192171432</v>
      </c>
      <c r="K17" s="190">
        <f t="shared" si="22"/>
        <v>0.77968750514637097</v>
      </c>
      <c r="L17" s="190">
        <f t="shared" si="22"/>
        <v>1.0469867584784849</v>
      </c>
      <c r="M17" s="190">
        <f t="shared" si="22"/>
        <v>1.2393263237390881</v>
      </c>
      <c r="N17" s="190">
        <f t="shared" si="22"/>
        <v>1.340738789412121</v>
      </c>
      <c r="O17" s="190">
        <f t="shared" si="22"/>
        <v>1.692715800884371</v>
      </c>
      <c r="P17" s="190">
        <f t="shared" si="22"/>
        <v>1.2091952245213635</v>
      </c>
      <c r="Q17" s="190">
        <f t="shared" si="22"/>
        <v>1.6436122811845042</v>
      </c>
      <c r="R17" s="190">
        <f t="shared" ref="R17" si="23">(R9+R20)/R$47</f>
        <v>1.3883035415658918</v>
      </c>
      <c r="S17" s="190" t="e">
        <f t="shared" ref="S17:U17" si="24">(S9+S20)/S$47</f>
        <v>#REF!</v>
      </c>
      <c r="T17" s="190" t="e">
        <f t="shared" si="24"/>
        <v>#REF!</v>
      </c>
      <c r="U17" s="190" t="e">
        <f t="shared" si="24"/>
        <v>#REF!</v>
      </c>
      <c r="V17" s="186"/>
      <c r="W17" s="190">
        <f>(W9+W10+W20)/W$47</f>
        <v>-48.619885416932235</v>
      </c>
      <c r="X17" s="190" t="e">
        <f>(X9+X10+X20)/X$47</f>
        <v>#REF!</v>
      </c>
      <c r="Y17" s="186"/>
      <c r="Z17" s="190">
        <f>(Z9+Z10+Z20)/Z$47</f>
        <v>1.53771544739626</v>
      </c>
      <c r="AA17" s="190">
        <f>(AA9+AA10+AA20)/AA$47</f>
        <v>1.9150037800886748</v>
      </c>
      <c r="AB17" s="190">
        <f>(AB9+AB10+AB20)/AB$47</f>
        <v>1.6203447399648032</v>
      </c>
      <c r="AC17" s="190" t="e">
        <f>(AC9+AC10+AC20)/AC$47</f>
        <v>#REF!</v>
      </c>
      <c r="AD17" s="186"/>
      <c r="AE17" s="190" t="e">
        <f>(AE9+AE10+AE20)/AE$47</f>
        <v>#REF!</v>
      </c>
      <c r="AF17" s="186"/>
      <c r="AG17" s="190">
        <f>(AG9+AG10+AG20)/AG$47</f>
        <v>1.3944978378202784</v>
      </c>
      <c r="AH17" s="188"/>
    </row>
    <row r="18" spans="4:34" s="189" customFormat="1">
      <c r="D18" s="185" t="s">
        <v>58</v>
      </c>
      <c r="E18" s="186"/>
      <c r="F18" s="190">
        <f>(F9+F10)/(F$92*$I$1/F1)</f>
        <v>0.29013094940229445</v>
      </c>
      <c r="G18" s="190">
        <f>(G9+G10)/(G$92*$I$1/G1)</f>
        <v>0.43363041978619243</v>
      </c>
      <c r="H18" s="190">
        <f>(H9+H10)/(H$92*$I$1/H1)</f>
        <v>0.39409331878050646</v>
      </c>
      <c r="I18" s="190" t="e">
        <f>(I9+I10)/(I$92*$I$1/I1)</f>
        <v>#REF!</v>
      </c>
      <c r="J18" s="190">
        <f t="shared" ref="J18:Q18" si="25">(J9+J10)/(J$92*$U$1/J1)</f>
        <v>0.31667565716418777</v>
      </c>
      <c r="K18" s="190">
        <f t="shared" si="25"/>
        <v>0.32482989681931479</v>
      </c>
      <c r="L18" s="190">
        <f t="shared" si="25"/>
        <v>0.30543903038248033</v>
      </c>
      <c r="M18" s="190">
        <f t="shared" si="25"/>
        <v>0.32287652508563319</v>
      </c>
      <c r="N18" s="190">
        <f t="shared" si="25"/>
        <v>0.28964091747616977</v>
      </c>
      <c r="O18" s="190">
        <f t="shared" si="25"/>
        <v>0.31495443113247168</v>
      </c>
      <c r="P18" s="190">
        <f t="shared" si="25"/>
        <v>0.25973522795490966</v>
      </c>
      <c r="Q18" s="190">
        <f t="shared" si="25"/>
        <v>0.31630077744003882</v>
      </c>
      <c r="R18" s="190">
        <f t="shared" ref="R18" si="26">(R9+R10)/(R$92*$U$1/R1)</f>
        <v>0.26871735648797096</v>
      </c>
      <c r="S18" s="190" t="e">
        <f t="shared" ref="S18:U18" si="27">(S9+S10)/(S$92*$U$1/S1)</f>
        <v>#REF!</v>
      </c>
      <c r="T18" s="190" t="e">
        <f t="shared" si="27"/>
        <v>#REF!</v>
      </c>
      <c r="U18" s="190" t="e">
        <f t="shared" si="27"/>
        <v>#REF!</v>
      </c>
      <c r="V18" s="186"/>
      <c r="W18" s="190">
        <f>(W9+W10)/(W$92*$U$1/W1)</f>
        <v>9.6710316467431473E-2</v>
      </c>
      <c r="X18" s="190" t="e">
        <f>(X9+X10)/(X$92*$U$1/X1)</f>
        <v>#REF!</v>
      </c>
      <c r="Y18" s="186"/>
      <c r="Z18" s="190">
        <f>(Z9+Z10)/(Z$92*$U$1/Z1)</f>
        <v>0.30543903038248033</v>
      </c>
      <c r="AA18" s="190">
        <f>(AA9+AA10)/(AA$92*$U$1/AA1)</f>
        <v>0.31495443113247168</v>
      </c>
      <c r="AB18" s="190">
        <f>(AB9+AB10)/(AB$92*$U$1/AB1)</f>
        <v>0.26871735648797096</v>
      </c>
      <c r="AC18" s="190" t="e">
        <f>(AC9+AC10)/(AC$92*$U$1/AC1)</f>
        <v>#REF!</v>
      </c>
      <c r="AD18" s="186"/>
      <c r="AE18" s="190" t="e">
        <f>(AE9+AE10)/(AE$92*$U$1/AE1)</f>
        <v>#REF!</v>
      </c>
      <c r="AF18" s="186"/>
      <c r="AG18" s="190">
        <f>(AG9+AG10)/(AG$92*$U$1/AG1)</f>
        <v>0.28964091747616977</v>
      </c>
      <c r="AH18" s="188"/>
    </row>
    <row r="19" spans="4:34" s="195" customFormat="1">
      <c r="D19" s="198" t="s">
        <v>59</v>
      </c>
      <c r="E19" s="192"/>
      <c r="F19" s="193">
        <f>F8+F9+F10</f>
        <v>169848485.46000001</v>
      </c>
      <c r="G19" s="193">
        <f t="shared" ref="G19:I19" si="28">G8+G9+G10</f>
        <v>336812146.38</v>
      </c>
      <c r="H19" s="193">
        <f t="shared" si="28"/>
        <v>353047113.01999998</v>
      </c>
      <c r="I19" s="193" t="e">
        <f t="shared" si="28"/>
        <v>#REF!</v>
      </c>
      <c r="J19" s="193">
        <f>SUM(J8:J13)</f>
        <v>588208071.52999997</v>
      </c>
      <c r="K19" s="193">
        <f t="shared" ref="K19:V19" si="29">SUM(K8:K13)</f>
        <v>452337005.63</v>
      </c>
      <c r="L19" s="193">
        <f t="shared" si="29"/>
        <v>694978255.63000011</v>
      </c>
      <c r="M19" s="193">
        <f t="shared" si="29"/>
        <v>688413598.26999998</v>
      </c>
      <c r="N19" s="193">
        <f t="shared" si="29"/>
        <v>637886515.25999999</v>
      </c>
      <c r="O19" s="193">
        <f t="shared" si="29"/>
        <v>742266845.87</v>
      </c>
      <c r="P19" s="193">
        <f t="shared" si="29"/>
        <v>673260764.20000005</v>
      </c>
      <c r="Q19" s="193">
        <f t="shared" si="29"/>
        <v>886158683.7299999</v>
      </c>
      <c r="R19" s="193">
        <f t="shared" ref="R19" si="30">SUM(R8:R13)</f>
        <v>778947040</v>
      </c>
      <c r="S19" s="193" t="e">
        <f t="shared" ref="S19:U19" si="31">SUM(S8:S13)</f>
        <v>#REF!</v>
      </c>
      <c r="T19" s="193" t="e">
        <f t="shared" si="31"/>
        <v>#REF!</v>
      </c>
      <c r="U19" s="193" t="e">
        <f t="shared" si="31"/>
        <v>#REF!</v>
      </c>
      <c r="V19" s="193" t="e">
        <f t="shared" si="29"/>
        <v>#REF!</v>
      </c>
      <c r="W19" s="193">
        <f t="shared" ref="W19:X19" si="32">W8+W9+W10</f>
        <v>169848485.46000001</v>
      </c>
      <c r="X19" s="193" t="e">
        <f t="shared" si="32"/>
        <v>#REF!</v>
      </c>
      <c r="Y19" s="192"/>
      <c r="Z19" s="193">
        <f t="shared" ref="Z19:AG19" si="33">Z8+Z9+Z10</f>
        <v>675627783.01000011</v>
      </c>
      <c r="AA19" s="193">
        <f t="shared" si="33"/>
        <v>723452251</v>
      </c>
      <c r="AB19" s="193">
        <f t="shared" si="33"/>
        <v>758877136</v>
      </c>
      <c r="AC19" s="193" t="e">
        <f t="shared" si="33"/>
        <v>#REF!</v>
      </c>
      <c r="AD19" s="192"/>
      <c r="AE19" s="193" t="e">
        <f t="shared" si="33"/>
        <v>#REF!</v>
      </c>
      <c r="AF19" s="192"/>
      <c r="AG19" s="193">
        <f t="shared" si="33"/>
        <v>620949622.54999995</v>
      </c>
      <c r="AH19" s="194"/>
    </row>
    <row r="20" spans="4:34" s="195" customFormat="1">
      <c r="D20" s="183" t="s">
        <v>60</v>
      </c>
      <c r="E20" s="192"/>
      <c r="F20" s="184">
        <v>0</v>
      </c>
      <c r="G20" s="184"/>
      <c r="H20" s="184"/>
      <c r="I20" s="184"/>
      <c r="J20" s="184">
        <v>0</v>
      </c>
      <c r="K20" s="184">
        <v>0</v>
      </c>
      <c r="L20" s="184">
        <v>0</v>
      </c>
      <c r="M20" s="184">
        <v>0</v>
      </c>
      <c r="N20" s="184">
        <v>0</v>
      </c>
      <c r="O20" s="184">
        <v>0</v>
      </c>
      <c r="P20" s="184">
        <v>0</v>
      </c>
      <c r="Q20" s="184">
        <v>0</v>
      </c>
      <c r="R20" s="184">
        <v>0</v>
      </c>
      <c r="S20" s="184">
        <v>0</v>
      </c>
      <c r="T20" s="184">
        <v>0</v>
      </c>
      <c r="U20" s="184">
        <v>0</v>
      </c>
      <c r="V20" s="192"/>
      <c r="W20" s="184">
        <f>F20</f>
        <v>0</v>
      </c>
      <c r="X20" s="184">
        <f>I20</f>
        <v>0</v>
      </c>
      <c r="Y20" s="192"/>
      <c r="Z20" s="184">
        <f>L20</f>
        <v>0</v>
      </c>
      <c r="AA20" s="184">
        <f>O20</f>
        <v>0</v>
      </c>
      <c r="AB20" s="184">
        <f>R20</f>
        <v>0</v>
      </c>
      <c r="AC20" s="184">
        <f>U20</f>
        <v>0</v>
      </c>
      <c r="AD20" s="192"/>
      <c r="AE20" s="184">
        <f>I20</f>
        <v>0</v>
      </c>
      <c r="AF20" s="192"/>
      <c r="AG20" s="184">
        <f>N20</f>
        <v>0</v>
      </c>
      <c r="AH20" s="194"/>
    </row>
    <row r="21" spans="4:34" s="195" customFormat="1">
      <c r="D21" s="183" t="s">
        <v>177</v>
      </c>
      <c r="E21" s="192"/>
      <c r="F21" s="184">
        <f>'CIFRAS EEFF'!D14</f>
        <v>87596094.140000001</v>
      </c>
      <c r="G21" s="184">
        <f>'CIFRAS EEFF'!E14</f>
        <v>180884543.81</v>
      </c>
      <c r="H21" s="184">
        <f>'CIFRAS EEFF'!F14</f>
        <v>125388900.73999999</v>
      </c>
      <c r="I21" s="184" t="e">
        <f>'CIFRAS EEFF'!#REF!</f>
        <v>#REF!</v>
      </c>
      <c r="J21" s="235">
        <f>'CIFRAS EEFF'!G14</f>
        <v>105783915.42</v>
      </c>
      <c r="K21" s="235">
        <f>'CIFRAS EEFF'!H14</f>
        <v>104748463.3</v>
      </c>
      <c r="L21" s="235">
        <f>'CIFRAS EEFF'!I14</f>
        <v>126428079.25</v>
      </c>
      <c r="M21" s="235">
        <f>'CIFRAS EEFF'!J14</f>
        <v>125046701.34</v>
      </c>
      <c r="N21" s="235">
        <f>'CIFRAS EEFF'!K14</f>
        <v>123052360.14</v>
      </c>
      <c r="O21" s="235">
        <f>'CIFRAS EEFF'!L14</f>
        <v>126366146.87</v>
      </c>
      <c r="P21" s="235">
        <f>'CIFRAS EEFF'!M14</f>
        <v>111074071</v>
      </c>
      <c r="Q21" s="235">
        <f>'CIFRAS EEFF'!N14</f>
        <v>104908236.28</v>
      </c>
      <c r="R21" s="235">
        <f>'CIFRAS EEFF'!O14</f>
        <v>100681779</v>
      </c>
      <c r="S21" s="184" t="e">
        <f>'CIFRAS EEFF'!#REF!</f>
        <v>#REF!</v>
      </c>
      <c r="T21" s="184" t="e">
        <f>'CIFRAS EEFF'!#REF!</f>
        <v>#REF!</v>
      </c>
      <c r="U21" s="184" t="e">
        <f>'CIFRAS EEFF'!#REF!</f>
        <v>#REF!</v>
      </c>
      <c r="V21" s="192"/>
      <c r="W21" s="184">
        <f>F21</f>
        <v>87596094.140000001</v>
      </c>
      <c r="X21" s="184" t="e">
        <f>I21</f>
        <v>#REF!</v>
      </c>
      <c r="Y21" s="192"/>
      <c r="Z21" s="184">
        <f>L21</f>
        <v>126428079.25</v>
      </c>
      <c r="AA21" s="184">
        <f>O21</f>
        <v>126366146.87</v>
      </c>
      <c r="AB21" s="184">
        <f>R21</f>
        <v>100681779</v>
      </c>
      <c r="AC21" s="184" t="e">
        <f>S21</f>
        <v>#REF!</v>
      </c>
      <c r="AD21" s="192"/>
      <c r="AE21" s="184" t="e">
        <f>I21</f>
        <v>#REF!</v>
      </c>
      <c r="AF21" s="192"/>
      <c r="AG21" s="184">
        <f>N21</f>
        <v>123052360.14</v>
      </c>
      <c r="AH21" s="194"/>
    </row>
    <row r="22" spans="4:34" s="189" customFormat="1">
      <c r="D22" s="185" t="s">
        <v>61</v>
      </c>
      <c r="E22" s="186"/>
      <c r="F22" s="187">
        <f t="shared" ref="F22:Q22" si="34">F21/F$95</f>
        <v>18.016341270441998</v>
      </c>
      <c r="G22" s="187">
        <f t="shared" si="34"/>
        <v>29.012917621564419</v>
      </c>
      <c r="H22" s="187">
        <f t="shared" si="34"/>
        <v>17.816792126300438</v>
      </c>
      <c r="I22" s="187" t="e">
        <f t="shared" si="34"/>
        <v>#REF!</v>
      </c>
      <c r="J22" s="377">
        <f t="shared" si="34"/>
        <v>25.549669060284689</v>
      </c>
      <c r="K22" s="377">
        <f t="shared" si="34"/>
        <v>35.35382621306848</v>
      </c>
      <c r="L22" s="377">
        <f t="shared" si="34"/>
        <v>23.242437523073608</v>
      </c>
      <c r="M22" s="377">
        <f t="shared" si="34"/>
        <v>22.545912708472351</v>
      </c>
      <c r="N22" s="377">
        <f t="shared" si="34"/>
        <v>21.582745796006719</v>
      </c>
      <c r="O22" s="377">
        <f t="shared" si="34"/>
        <v>20.5037766870703</v>
      </c>
      <c r="P22" s="377">
        <f t="shared" si="34"/>
        <v>17.111858112095593</v>
      </c>
      <c r="Q22" s="377">
        <f t="shared" si="34"/>
        <v>14.631474187942322</v>
      </c>
      <c r="R22" s="377">
        <f t="shared" ref="R22" si="35">R21/R$95</f>
        <v>13.61767093421728</v>
      </c>
      <c r="S22" s="187" t="e">
        <f t="shared" ref="S22:U22" si="36">S21/S$95</f>
        <v>#REF!</v>
      </c>
      <c r="T22" s="187" t="e">
        <f t="shared" si="36"/>
        <v>#REF!</v>
      </c>
      <c r="U22" s="187" t="e">
        <f t="shared" si="36"/>
        <v>#REF!</v>
      </c>
      <c r="V22" s="186"/>
      <c r="W22" s="187">
        <f>W21/W$95</f>
        <v>18.016341270441998</v>
      </c>
      <c r="X22" s="187" t="e">
        <f>X21/X$95</f>
        <v>#REF!</v>
      </c>
      <c r="Y22" s="186"/>
      <c r="Z22" s="187">
        <f>Z21/Z$95</f>
        <v>23.242437523073608</v>
      </c>
      <c r="AA22" s="187">
        <f>AA21/AA$95</f>
        <v>20.5037766870703</v>
      </c>
      <c r="AB22" s="187">
        <f>AB21/AB$95</f>
        <v>13.61767093421728</v>
      </c>
      <c r="AC22" s="187" t="e">
        <f>AC21/AC$95</f>
        <v>#REF!</v>
      </c>
      <c r="AD22" s="186"/>
      <c r="AE22" s="187" t="e">
        <f>AE21/AE$95</f>
        <v>#REF!</v>
      </c>
      <c r="AF22" s="186"/>
      <c r="AG22" s="187">
        <f>AG21/AG$95</f>
        <v>21.582745796006719</v>
      </c>
      <c r="AH22" s="188"/>
    </row>
    <row r="23" spans="4:34" s="189" customFormat="1">
      <c r="D23" s="185" t="s">
        <v>62</v>
      </c>
      <c r="E23" s="186"/>
      <c r="F23" s="190">
        <f>F21/(F92*(12/9))</f>
        <v>0.45040853176105</v>
      </c>
      <c r="G23" s="190">
        <f>G21/(G92*(12/10))</f>
        <v>0.39635133362792929</v>
      </c>
      <c r="H23" s="190">
        <f>H21/(H92*(12/11))</f>
        <v>0.17947318075943666</v>
      </c>
      <c r="I23" s="190" t="e">
        <f>I21/I92</f>
        <v>#REF!</v>
      </c>
      <c r="J23" s="236">
        <f>J21/(J92*12)</f>
        <v>6.868190607603411E-2</v>
      </c>
      <c r="K23" s="236">
        <f>K21/(K92*(12/2))</f>
        <v>9.9869565573639782E-2</v>
      </c>
      <c r="L23" s="236">
        <f>L21/(L92*(12/3))</f>
        <v>6.4562326452982238E-2</v>
      </c>
      <c r="M23" s="236">
        <f>M21/(M92*(12/4))</f>
        <v>6.2627535301312084E-2</v>
      </c>
      <c r="N23" s="236">
        <f>N21/(N92*(12/5))</f>
        <v>5.9555038068451215E-2</v>
      </c>
      <c r="O23" s="236">
        <f>O21/(O92*(12/6))</f>
        <v>5.6640267091354418E-2</v>
      </c>
      <c r="P23" s="236">
        <f>P21/(P92*(12/7))</f>
        <v>4.7084515245546056E-2</v>
      </c>
      <c r="Q23" s="236">
        <f>Q21/(Q92*(12/8))</f>
        <v>4.0141218622612683E-2</v>
      </c>
      <c r="R23" s="236">
        <f>R21/(R92*(12/8))</f>
        <v>3.3133019304664911E-2</v>
      </c>
      <c r="S23" s="190" t="e">
        <f t="shared" ref="S23:U23" si="37">S21/(S92*(12/9))</f>
        <v>#REF!</v>
      </c>
      <c r="T23" s="190" t="e">
        <f t="shared" si="37"/>
        <v>#REF!</v>
      </c>
      <c r="U23" s="190" t="e">
        <f t="shared" si="37"/>
        <v>#REF!</v>
      </c>
      <c r="V23" s="186"/>
      <c r="W23" s="190">
        <f>W21/W92</f>
        <v>0.60054470901473334</v>
      </c>
      <c r="X23" s="190" t="e">
        <f>X21/X92</f>
        <v>#REF!</v>
      </c>
      <c r="Y23" s="186"/>
      <c r="Z23" s="190">
        <f>Z21/Z92</f>
        <v>0.25824930581192895</v>
      </c>
      <c r="AA23" s="190">
        <f>AA21/AA92</f>
        <v>0.11328053418270884</v>
      </c>
      <c r="AB23" s="190">
        <f>AB21/AB92</f>
        <v>4.969952895699737E-2</v>
      </c>
      <c r="AC23" s="190" t="e">
        <f t="shared" ref="AC23:AD23" si="38">AC21/AC92</f>
        <v>#REF!</v>
      </c>
      <c r="AD23" s="190" t="e">
        <f t="shared" si="38"/>
        <v>#DIV/0!</v>
      </c>
      <c r="AE23" s="190" t="e">
        <f>AE21/AE92</f>
        <v>#REF!</v>
      </c>
      <c r="AF23" s="186"/>
      <c r="AG23" s="190">
        <f>AG21/AG92</f>
        <v>0.14293209136428289</v>
      </c>
      <c r="AH23" s="188"/>
    </row>
    <row r="24" spans="4:34" s="195" customFormat="1">
      <c r="D24" s="198" t="s">
        <v>63</v>
      </c>
      <c r="E24" s="192"/>
      <c r="F24" s="193">
        <f t="shared" ref="F24:Q24" si="39">F19+F20+F21</f>
        <v>257444579.60000002</v>
      </c>
      <c r="G24" s="193">
        <f t="shared" si="39"/>
        <v>517696690.19</v>
      </c>
      <c r="H24" s="193">
        <f t="shared" si="39"/>
        <v>478436013.75999999</v>
      </c>
      <c r="I24" s="193" t="e">
        <f t="shared" si="39"/>
        <v>#REF!</v>
      </c>
      <c r="J24" s="193">
        <f t="shared" si="39"/>
        <v>693991986.94999993</v>
      </c>
      <c r="K24" s="193">
        <f t="shared" si="39"/>
        <v>557085468.92999995</v>
      </c>
      <c r="L24" s="193">
        <f t="shared" si="39"/>
        <v>821406334.88000011</v>
      </c>
      <c r="M24" s="193">
        <f t="shared" si="39"/>
        <v>813460299.61000001</v>
      </c>
      <c r="N24" s="193">
        <f t="shared" si="39"/>
        <v>760938875.39999998</v>
      </c>
      <c r="O24" s="193">
        <f t="shared" si="39"/>
        <v>868632992.74000001</v>
      </c>
      <c r="P24" s="193">
        <f t="shared" si="39"/>
        <v>784334835.20000005</v>
      </c>
      <c r="Q24" s="193">
        <f t="shared" si="39"/>
        <v>991066920.00999987</v>
      </c>
      <c r="R24" s="193">
        <f t="shared" ref="R24" si="40">R19+R20+R21</f>
        <v>879628819</v>
      </c>
      <c r="S24" s="193" t="e">
        <f t="shared" ref="S24:U24" si="41">S19+S20+S21</f>
        <v>#REF!</v>
      </c>
      <c r="T24" s="193" t="e">
        <f t="shared" si="41"/>
        <v>#REF!</v>
      </c>
      <c r="U24" s="193" t="e">
        <f t="shared" si="41"/>
        <v>#REF!</v>
      </c>
      <c r="V24" s="192"/>
      <c r="W24" s="193">
        <f>W19+W20+W21</f>
        <v>257444579.60000002</v>
      </c>
      <c r="X24" s="193" t="e">
        <f>X19+X20+X21</f>
        <v>#REF!</v>
      </c>
      <c r="Y24" s="192"/>
      <c r="Z24" s="193">
        <f>Z19+Z20+Z21</f>
        <v>802055862.26000011</v>
      </c>
      <c r="AA24" s="193">
        <f>AA19+AA20+AA21</f>
        <v>849818397.87</v>
      </c>
      <c r="AB24" s="193">
        <f>AB19+AB20+AB21</f>
        <v>859558915</v>
      </c>
      <c r="AC24" s="193" t="e">
        <f>AC19+AC20+AC21</f>
        <v>#REF!</v>
      </c>
      <c r="AD24" s="192"/>
      <c r="AE24" s="193" t="e">
        <f>AE19+AE20+AE21</f>
        <v>#REF!</v>
      </c>
      <c r="AF24" s="192"/>
      <c r="AG24" s="193">
        <f>AG19+AG20+AG21</f>
        <v>744001982.68999994</v>
      </c>
      <c r="AH24" s="194"/>
    </row>
    <row r="25" spans="4:34" s="189" customFormat="1">
      <c r="D25" s="185" t="s">
        <v>64</v>
      </c>
      <c r="E25" s="186"/>
      <c r="F25" s="190" t="e">
        <f t="shared" ref="F25:Q25" si="42">F24/F$46</f>
        <v>#REF!</v>
      </c>
      <c r="G25" s="190" t="e">
        <f t="shared" si="42"/>
        <v>#REF!</v>
      </c>
      <c r="H25" s="190" t="e">
        <f t="shared" si="42"/>
        <v>#REF!</v>
      </c>
      <c r="I25" s="190" t="e">
        <f t="shared" si="42"/>
        <v>#REF!</v>
      </c>
      <c r="J25" s="190">
        <f t="shared" si="42"/>
        <v>0.96059913201775238</v>
      </c>
      <c r="K25" s="190">
        <f t="shared" si="42"/>
        <v>0.95114315082666878</v>
      </c>
      <c r="L25" s="190">
        <f t="shared" si="42"/>
        <v>0.96556271424205098</v>
      </c>
      <c r="M25" s="190">
        <f t="shared" si="42"/>
        <v>0.96466428676107252</v>
      </c>
      <c r="N25" s="190">
        <f t="shared" si="42"/>
        <v>0.94524859066140765</v>
      </c>
      <c r="O25" s="190">
        <f t="shared" si="42"/>
        <v>0.93621120192454677</v>
      </c>
      <c r="P25" s="190">
        <f t="shared" si="42"/>
        <v>0.93081189065637349</v>
      </c>
      <c r="Q25" s="190">
        <f t="shared" si="42"/>
        <v>0.94484989337091463</v>
      </c>
      <c r="R25" s="190">
        <f t="shared" ref="R25" si="43">R24/R$46</f>
        <v>0.93915106390969416</v>
      </c>
      <c r="S25" s="190" t="e">
        <f t="shared" ref="S25:U25" si="44">S24/S$46</f>
        <v>#REF!</v>
      </c>
      <c r="T25" s="190" t="e">
        <f t="shared" si="44"/>
        <v>#REF!</v>
      </c>
      <c r="U25" s="190" t="e">
        <f t="shared" si="44"/>
        <v>#REF!</v>
      </c>
      <c r="V25" s="186"/>
      <c r="W25" s="190" t="e">
        <f>W24/W$46</f>
        <v>#REF!</v>
      </c>
      <c r="X25" s="190" t="e">
        <f>X24/X$46</f>
        <v>#REF!</v>
      </c>
      <c r="Y25" s="186"/>
      <c r="Z25" s="190" t="e">
        <f>Z24/Z$46</f>
        <v>#REF!</v>
      </c>
      <c r="AA25" s="190" t="e">
        <f>AA24/AA$46</f>
        <v>#REF!</v>
      </c>
      <c r="AB25" s="190" t="e">
        <f>AB24/AB$46</f>
        <v>#REF!</v>
      </c>
      <c r="AC25" s="190" t="e">
        <f>AC24/AC$46</f>
        <v>#REF!</v>
      </c>
      <c r="AD25" s="186"/>
      <c r="AE25" s="190" t="e">
        <f>AE24/AE$46</f>
        <v>#REF!</v>
      </c>
      <c r="AF25" s="186"/>
      <c r="AG25" s="190" t="e">
        <f>AG24/AG$46</f>
        <v>#REF!</v>
      </c>
      <c r="AH25" s="188"/>
    </row>
    <row r="26" spans="4:34" s="182" customFormat="1">
      <c r="D26" s="179"/>
      <c r="E26" s="180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0"/>
      <c r="W26" s="181"/>
      <c r="X26" s="181"/>
      <c r="Y26" s="180"/>
      <c r="Z26" s="181"/>
      <c r="AA26" s="181"/>
      <c r="AB26" s="181"/>
      <c r="AC26" s="181"/>
      <c r="AD26" s="180"/>
      <c r="AE26" s="181"/>
      <c r="AF26" s="180"/>
      <c r="AG26" s="181"/>
    </row>
    <row r="27" spans="4:34">
      <c r="D27" s="183" t="s">
        <v>65</v>
      </c>
      <c r="F27" s="184"/>
      <c r="G27" s="184"/>
      <c r="H27" s="184"/>
      <c r="I27" s="184"/>
      <c r="J27" s="184">
        <v>0</v>
      </c>
      <c r="K27" s="184">
        <v>0</v>
      </c>
      <c r="L27" s="184">
        <v>0</v>
      </c>
      <c r="M27" s="184">
        <v>0</v>
      </c>
      <c r="N27" s="184">
        <v>0</v>
      </c>
      <c r="O27" s="184">
        <v>0</v>
      </c>
      <c r="P27" s="184">
        <v>0</v>
      </c>
      <c r="Q27" s="184">
        <v>0</v>
      </c>
      <c r="R27" s="184">
        <v>0</v>
      </c>
      <c r="S27" s="184">
        <v>0</v>
      </c>
      <c r="T27" s="184">
        <v>0</v>
      </c>
      <c r="U27" s="184">
        <v>0</v>
      </c>
      <c r="W27" s="184">
        <f t="shared" ref="W27:W33" si="45">F27</f>
        <v>0</v>
      </c>
      <c r="X27" s="184">
        <f t="shared" ref="X27:X33" si="46">I27</f>
        <v>0</v>
      </c>
      <c r="Z27" s="184">
        <f t="shared" ref="Z27:Z33" si="47">L27</f>
        <v>0</v>
      </c>
      <c r="AA27" s="184">
        <f t="shared" ref="AA27:AA33" si="48">O27</f>
        <v>0</v>
      </c>
      <c r="AB27" s="184">
        <f t="shared" ref="AB27:AC33" si="49">R27</f>
        <v>0</v>
      </c>
      <c r="AC27" s="184">
        <f t="shared" ref="AC27:AC33" si="50">U27</f>
        <v>0</v>
      </c>
      <c r="AE27" s="184">
        <f t="shared" ref="AE27:AE33" si="51">I27</f>
        <v>0</v>
      </c>
      <c r="AG27" s="184">
        <f t="shared" ref="AG27:AG33" si="52">N27</f>
        <v>0</v>
      </c>
    </row>
    <row r="28" spans="4:34" s="195" customFormat="1">
      <c r="D28" s="183" t="s">
        <v>66</v>
      </c>
      <c r="E28" s="192"/>
      <c r="F28" s="184"/>
      <c r="G28" s="184"/>
      <c r="H28" s="184"/>
      <c r="I28" s="184"/>
      <c r="J28" s="184">
        <v>0</v>
      </c>
      <c r="K28" s="184">
        <v>0</v>
      </c>
      <c r="L28" s="184">
        <v>0</v>
      </c>
      <c r="M28" s="184">
        <v>0</v>
      </c>
      <c r="N28" s="184">
        <v>0</v>
      </c>
      <c r="O28" s="184">
        <v>0</v>
      </c>
      <c r="P28" s="184">
        <v>0</v>
      </c>
      <c r="Q28" s="184">
        <v>0</v>
      </c>
      <c r="R28" s="184">
        <v>0</v>
      </c>
      <c r="S28" s="184">
        <v>0</v>
      </c>
      <c r="T28" s="184">
        <v>0</v>
      </c>
      <c r="U28" s="184">
        <v>0</v>
      </c>
      <c r="V28" s="192"/>
      <c r="W28" s="184">
        <f t="shared" si="45"/>
        <v>0</v>
      </c>
      <c r="X28" s="184">
        <f t="shared" si="46"/>
        <v>0</v>
      </c>
      <c r="Y28" s="192"/>
      <c r="Z28" s="184">
        <f t="shared" si="47"/>
        <v>0</v>
      </c>
      <c r="AA28" s="184">
        <f t="shared" si="48"/>
        <v>0</v>
      </c>
      <c r="AB28" s="184">
        <f t="shared" si="49"/>
        <v>0</v>
      </c>
      <c r="AC28" s="184">
        <f t="shared" si="50"/>
        <v>0</v>
      </c>
      <c r="AD28" s="192"/>
      <c r="AE28" s="184">
        <f t="shared" si="51"/>
        <v>0</v>
      </c>
      <c r="AF28" s="192"/>
      <c r="AG28" s="184">
        <f t="shared" si="52"/>
        <v>0</v>
      </c>
      <c r="AH28" s="166"/>
    </row>
    <row r="29" spans="4:34" s="195" customFormat="1">
      <c r="D29" s="183" t="s">
        <v>67</v>
      </c>
      <c r="E29" s="192"/>
      <c r="F29" s="184"/>
      <c r="G29" s="184"/>
      <c r="H29" s="184"/>
      <c r="I29" s="184"/>
      <c r="J29" s="184">
        <v>0</v>
      </c>
      <c r="K29" s="184">
        <v>0</v>
      </c>
      <c r="L29" s="184">
        <v>0</v>
      </c>
      <c r="M29" s="184">
        <v>0</v>
      </c>
      <c r="N29" s="184">
        <v>0</v>
      </c>
      <c r="O29" s="184">
        <v>0</v>
      </c>
      <c r="P29" s="184">
        <v>0</v>
      </c>
      <c r="Q29" s="184">
        <v>0</v>
      </c>
      <c r="R29" s="184">
        <v>0</v>
      </c>
      <c r="S29" s="184">
        <v>0</v>
      </c>
      <c r="T29" s="184">
        <v>0</v>
      </c>
      <c r="U29" s="184">
        <v>0</v>
      </c>
      <c r="V29" s="192"/>
      <c r="W29" s="184">
        <f t="shared" si="45"/>
        <v>0</v>
      </c>
      <c r="X29" s="184">
        <f t="shared" si="46"/>
        <v>0</v>
      </c>
      <c r="Y29" s="192"/>
      <c r="Z29" s="184">
        <f t="shared" si="47"/>
        <v>0</v>
      </c>
      <c r="AA29" s="184">
        <f t="shared" si="48"/>
        <v>0</v>
      </c>
      <c r="AB29" s="184">
        <f t="shared" si="49"/>
        <v>0</v>
      </c>
      <c r="AC29" s="184">
        <f t="shared" si="50"/>
        <v>0</v>
      </c>
      <c r="AD29" s="192"/>
      <c r="AE29" s="184">
        <f t="shared" si="51"/>
        <v>0</v>
      </c>
      <c r="AF29" s="192"/>
      <c r="AG29" s="184">
        <f t="shared" si="52"/>
        <v>0</v>
      </c>
      <c r="AH29" s="166"/>
    </row>
    <row r="30" spans="4:34" s="197" customFormat="1">
      <c r="D30" s="183" t="s">
        <v>68</v>
      </c>
      <c r="E30" s="196"/>
      <c r="F30" s="184"/>
      <c r="G30" s="184"/>
      <c r="H30" s="184"/>
      <c r="I30" s="184"/>
      <c r="J30" s="184">
        <f>+'CIFRAS EEFF'!G19</f>
        <v>13488003.619999999</v>
      </c>
      <c r="K30" s="184">
        <f>+'CIFRAS EEFF'!H19</f>
        <v>13488003.619999999</v>
      </c>
      <c r="L30" s="184">
        <f>+'CIFRAS EEFF'!I19</f>
        <v>13488004</v>
      </c>
      <c r="M30" s="184">
        <f>+'CIFRAS EEFF'!J19</f>
        <v>13488003.619999999</v>
      </c>
      <c r="N30" s="184">
        <f>+'CIFRAS EEFF'!K19</f>
        <v>13979523.619999999</v>
      </c>
      <c r="O30" s="184">
        <f>+'CIFRAS EEFF'!L19</f>
        <v>28037894.620000001</v>
      </c>
      <c r="P30" s="184">
        <f>+'CIFRAS EEFF'!M19</f>
        <v>28037894.620000001</v>
      </c>
      <c r="Q30" s="184">
        <f>+'CIFRAS EEFF'!N19</f>
        <v>28037894.620000001</v>
      </c>
      <c r="R30" s="184">
        <f>+'CIFRAS EEFF'!O19</f>
        <v>28037895</v>
      </c>
      <c r="S30" s="184" t="e">
        <f>+'CIFRAS EEFF'!#REF!</f>
        <v>#REF!</v>
      </c>
      <c r="T30" s="184" t="e">
        <f>+'CIFRAS EEFF'!#REF!</f>
        <v>#REF!</v>
      </c>
      <c r="U30" s="184" t="e">
        <f>+'CIFRAS EEFF'!#REF!</f>
        <v>#REF!</v>
      </c>
      <c r="V30" s="196"/>
      <c r="W30" s="184">
        <f t="shared" si="45"/>
        <v>0</v>
      </c>
      <c r="X30" s="184">
        <f t="shared" si="46"/>
        <v>0</v>
      </c>
      <c r="Y30" s="196"/>
      <c r="Z30" s="184">
        <f t="shared" si="47"/>
        <v>13488004</v>
      </c>
      <c r="AA30" s="184">
        <f t="shared" si="48"/>
        <v>28037894.620000001</v>
      </c>
      <c r="AB30" s="184">
        <f t="shared" si="49"/>
        <v>28037895</v>
      </c>
      <c r="AC30" s="184" t="e">
        <f t="shared" si="49"/>
        <v>#REF!</v>
      </c>
      <c r="AD30" s="196"/>
      <c r="AE30" s="184">
        <f t="shared" si="51"/>
        <v>0</v>
      </c>
      <c r="AF30" s="196"/>
      <c r="AG30" s="184">
        <f t="shared" si="52"/>
        <v>13979523.619999999</v>
      </c>
      <c r="AH30" s="166"/>
    </row>
    <row r="31" spans="4:34" s="197" customFormat="1">
      <c r="D31" s="183" t="s">
        <v>69</v>
      </c>
      <c r="E31" s="196"/>
      <c r="F31" s="184">
        <f>'CIFRAS EEFF'!D18</f>
        <v>10598400.560000001</v>
      </c>
      <c r="G31" s="184">
        <f>'CIFRAS EEFF'!E18</f>
        <v>14455175.119999999</v>
      </c>
      <c r="H31" s="184">
        <f>'CIFRAS EEFF'!F18</f>
        <v>14170749.68</v>
      </c>
      <c r="I31" s="184" t="e">
        <f>'CIFRAS EEFF'!#REF!</f>
        <v>#REF!</v>
      </c>
      <c r="J31" s="184">
        <f>+'CIFRAS EEFF'!G20</f>
        <v>20774542</v>
      </c>
      <c r="K31" s="184">
        <f>+'CIFRAS EEFF'!H20</f>
        <v>21482142</v>
      </c>
      <c r="L31" s="184">
        <f>+'CIFRAS EEFF'!I20</f>
        <v>22790816.620000001</v>
      </c>
      <c r="M31" s="184">
        <f>+'CIFRAS EEFF'!J20</f>
        <v>23216304.620000001</v>
      </c>
      <c r="N31" s="184">
        <f>+'CIFRAS EEFF'!K20</f>
        <v>37460483.619999997</v>
      </c>
      <c r="O31" s="184">
        <f>+'CIFRAS EEFF'!L20</f>
        <v>38967903.619999997</v>
      </c>
      <c r="P31" s="184">
        <f>+'CIFRAS EEFF'!M20</f>
        <v>38782223.619999997</v>
      </c>
      <c r="Q31" s="184">
        <f>+'CIFRAS EEFF'!N20</f>
        <v>39028623.619999997</v>
      </c>
      <c r="R31" s="184">
        <f>+'CIFRAS EEFF'!O20</f>
        <v>38972944</v>
      </c>
      <c r="S31" s="184" t="e">
        <f>+'CIFRAS EEFF'!#REF!</f>
        <v>#REF!</v>
      </c>
      <c r="T31" s="184" t="e">
        <f>+'CIFRAS EEFF'!#REF!</f>
        <v>#REF!</v>
      </c>
      <c r="U31" s="184" t="e">
        <f>+'CIFRAS EEFF'!#REF!</f>
        <v>#REF!</v>
      </c>
      <c r="V31" s="196"/>
      <c r="W31" s="184">
        <f t="shared" si="45"/>
        <v>10598400.560000001</v>
      </c>
      <c r="X31" s="184" t="e">
        <f t="shared" si="46"/>
        <v>#REF!</v>
      </c>
      <c r="Y31" s="196"/>
      <c r="Z31" s="184">
        <f t="shared" si="47"/>
        <v>22790816.620000001</v>
      </c>
      <c r="AA31" s="184">
        <f t="shared" si="48"/>
        <v>38967903.619999997</v>
      </c>
      <c r="AB31" s="184">
        <f t="shared" si="49"/>
        <v>38972944</v>
      </c>
      <c r="AC31" s="184" t="e">
        <f t="shared" si="49"/>
        <v>#REF!</v>
      </c>
      <c r="AD31" s="196"/>
      <c r="AE31" s="184" t="e">
        <f t="shared" si="51"/>
        <v>#REF!</v>
      </c>
      <c r="AF31" s="196"/>
      <c r="AG31" s="184">
        <f t="shared" si="52"/>
        <v>37460483.619999997</v>
      </c>
      <c r="AH31" s="166"/>
    </row>
    <row r="32" spans="4:34" s="197" customFormat="1">
      <c r="D32" s="183" t="s">
        <v>70</v>
      </c>
      <c r="E32" s="196"/>
      <c r="F32" s="184"/>
      <c r="G32" s="184"/>
      <c r="H32" s="184"/>
      <c r="I32" s="184"/>
      <c r="J32" s="184">
        <f>+'CIFRAS EEFF'!G21</f>
        <v>18103916</v>
      </c>
      <c r="K32" s="184">
        <f>+'CIFRAS EEFF'!H21</f>
        <v>18103916</v>
      </c>
      <c r="L32" s="184">
        <f>+'CIFRAS EEFF'!I21</f>
        <v>18103916</v>
      </c>
      <c r="M32" s="184">
        <f>+'CIFRAS EEFF'!J21</f>
        <v>18103916</v>
      </c>
      <c r="N32" s="184">
        <f>+'CIFRAS EEFF'!K21</f>
        <v>18103916</v>
      </c>
      <c r="O32" s="184">
        <f>+'CIFRAS EEFF'!L21</f>
        <v>18103916</v>
      </c>
      <c r="P32" s="184">
        <f>+'CIFRAS EEFF'!M21</f>
        <v>18103916</v>
      </c>
      <c r="Q32" s="184">
        <f>+'CIFRAS EEFF'!N21</f>
        <v>18103916</v>
      </c>
      <c r="R32" s="184">
        <f>+'CIFRAS EEFF'!O21</f>
        <v>18103916</v>
      </c>
      <c r="S32" s="184" t="e">
        <f>+'CIFRAS EEFF'!#REF!</f>
        <v>#REF!</v>
      </c>
      <c r="T32" s="184" t="e">
        <f>+'CIFRAS EEFF'!#REF!</f>
        <v>#REF!</v>
      </c>
      <c r="U32" s="184" t="e">
        <f>+'CIFRAS EEFF'!#REF!</f>
        <v>#REF!</v>
      </c>
      <c r="V32" s="196"/>
      <c r="W32" s="184">
        <f t="shared" si="45"/>
        <v>0</v>
      </c>
      <c r="X32" s="184">
        <f t="shared" si="46"/>
        <v>0</v>
      </c>
      <c r="Y32" s="196"/>
      <c r="Z32" s="184">
        <f t="shared" si="47"/>
        <v>18103916</v>
      </c>
      <c r="AA32" s="184">
        <f t="shared" si="48"/>
        <v>18103916</v>
      </c>
      <c r="AB32" s="184">
        <f t="shared" si="49"/>
        <v>18103916</v>
      </c>
      <c r="AC32" s="184" t="e">
        <f t="shared" si="49"/>
        <v>#REF!</v>
      </c>
      <c r="AD32" s="196"/>
      <c r="AE32" s="184">
        <f t="shared" si="51"/>
        <v>0</v>
      </c>
      <c r="AF32" s="196"/>
      <c r="AG32" s="184">
        <f t="shared" si="52"/>
        <v>18103916</v>
      </c>
      <c r="AH32" s="166"/>
    </row>
    <row r="33" spans="4:34" s="197" customFormat="1">
      <c r="D33" s="183" t="s">
        <v>71</v>
      </c>
      <c r="E33" s="196"/>
      <c r="F33" s="184"/>
      <c r="G33" s="184"/>
      <c r="H33" s="184"/>
      <c r="I33" s="184"/>
      <c r="J33" s="184">
        <v>0</v>
      </c>
      <c r="K33" s="184">
        <v>0</v>
      </c>
      <c r="L33" s="184">
        <v>0</v>
      </c>
      <c r="M33" s="184">
        <v>0</v>
      </c>
      <c r="N33" s="184">
        <v>0</v>
      </c>
      <c r="O33" s="184">
        <v>0</v>
      </c>
      <c r="P33" s="184">
        <v>0</v>
      </c>
      <c r="Q33" s="184">
        <v>0</v>
      </c>
      <c r="R33" s="184">
        <v>0</v>
      </c>
      <c r="S33" s="184">
        <v>0</v>
      </c>
      <c r="T33" s="184">
        <v>0</v>
      </c>
      <c r="U33" s="184">
        <v>0</v>
      </c>
      <c r="V33" s="196"/>
      <c r="W33" s="184">
        <f t="shared" si="45"/>
        <v>0</v>
      </c>
      <c r="X33" s="184">
        <f t="shared" si="46"/>
        <v>0</v>
      </c>
      <c r="Y33" s="196"/>
      <c r="Z33" s="184">
        <f t="shared" si="47"/>
        <v>0</v>
      </c>
      <c r="AA33" s="184">
        <f t="shared" si="48"/>
        <v>0</v>
      </c>
      <c r="AB33" s="184">
        <f t="shared" si="49"/>
        <v>0</v>
      </c>
      <c r="AC33" s="184">
        <f t="shared" si="50"/>
        <v>0</v>
      </c>
      <c r="AD33" s="196"/>
      <c r="AE33" s="184">
        <f t="shared" si="51"/>
        <v>0</v>
      </c>
      <c r="AF33" s="196"/>
      <c r="AG33" s="184">
        <f t="shared" si="52"/>
        <v>0</v>
      </c>
      <c r="AH33" s="166"/>
    </row>
    <row r="34" spans="4:34">
      <c r="D34" s="198" t="s">
        <v>72</v>
      </c>
      <c r="F34" s="193">
        <f>F27+F28+F29+F30+F31+F32+F33</f>
        <v>10598400.560000001</v>
      </c>
      <c r="G34" s="193">
        <f t="shared" ref="G34:Q34" si="53">G27+G28+G29+G30+G31+G32+G33</f>
        <v>14455175.119999999</v>
      </c>
      <c r="H34" s="193">
        <f t="shared" si="53"/>
        <v>14170749.68</v>
      </c>
      <c r="I34" s="193" t="e">
        <f t="shared" si="53"/>
        <v>#REF!</v>
      </c>
      <c r="J34" s="193">
        <f>J27+J28+J29+J30+J31+J32+J33</f>
        <v>52366461.619999997</v>
      </c>
      <c r="K34" s="193">
        <f t="shared" si="53"/>
        <v>53074061.619999997</v>
      </c>
      <c r="L34" s="193">
        <f t="shared" si="53"/>
        <v>54382736.620000005</v>
      </c>
      <c r="M34" s="193">
        <f t="shared" si="53"/>
        <v>54808224.240000002</v>
      </c>
      <c r="N34" s="193">
        <f t="shared" si="53"/>
        <v>69543923.239999995</v>
      </c>
      <c r="O34" s="193">
        <f>O27+O28+O29+O30+O31+O32+O33</f>
        <v>85109714.239999995</v>
      </c>
      <c r="P34" s="193">
        <f>P27+P28+P29+P30+P31+P32+P33</f>
        <v>84924034.239999995</v>
      </c>
      <c r="Q34" s="193">
        <f t="shared" si="53"/>
        <v>85170434.239999995</v>
      </c>
      <c r="R34" s="193">
        <f t="shared" ref="R34" si="54">R27+R28+R29+R30+R31+R32+R33</f>
        <v>85114755</v>
      </c>
      <c r="S34" s="193" t="e">
        <f>S27+S28+S29+S30+S31+S32+S33</f>
        <v>#REF!</v>
      </c>
      <c r="T34" s="193" t="e">
        <f t="shared" ref="T34:U34" si="55">T27+T28+T29+T30+T31+T32+T33</f>
        <v>#REF!</v>
      </c>
      <c r="U34" s="193" t="e">
        <f t="shared" si="55"/>
        <v>#REF!</v>
      </c>
      <c r="W34" s="193">
        <f t="shared" ref="W34" si="56">W27+W28+W29+W30+W31+W32+W33</f>
        <v>10598400.560000001</v>
      </c>
      <c r="X34" s="193" t="e">
        <f t="shared" ref="X34" si="57">X27+X28+X29+X30+X31+X32+X33</f>
        <v>#REF!</v>
      </c>
      <c r="Z34" s="193">
        <f t="shared" ref="Z34" si="58">Z27+Z28+Z29+Z30+Z31+Z32+Z33</f>
        <v>54382736.620000005</v>
      </c>
      <c r="AA34" s="193">
        <f t="shared" ref="AA34" si="59">AA27+AA28+AA29+AA30+AA31+AA32+AA33</f>
        <v>85109714.239999995</v>
      </c>
      <c r="AB34" s="193">
        <f t="shared" ref="AB34" si="60">AB27+AB28+AB29+AB30+AB31+AB32+AB33</f>
        <v>85114755</v>
      </c>
      <c r="AC34" s="193" t="e">
        <f t="shared" ref="AC34" si="61">AC27+AC28+AC29+AC30+AC31+AC32+AC33</f>
        <v>#REF!</v>
      </c>
      <c r="AE34" s="193" t="e">
        <f t="shared" ref="AE34" si="62">AE27+AE28+AE29+AE30+AE31+AE32+AE33</f>
        <v>#REF!</v>
      </c>
      <c r="AG34" s="193">
        <f t="shared" ref="AG34" si="63">AG27+AG28+AG29+AG30+AG31+AG32+AG33</f>
        <v>69543923.239999995</v>
      </c>
    </row>
    <row r="35" spans="4:34">
      <c r="D35" s="183" t="s">
        <v>73</v>
      </c>
      <c r="F35" s="184">
        <v>0</v>
      </c>
      <c r="G35" s="184">
        <v>0</v>
      </c>
      <c r="H35" s="184">
        <v>0</v>
      </c>
      <c r="I35" s="184">
        <v>0</v>
      </c>
      <c r="J35" s="184">
        <f>+'CIFRAS EEFF'!G22</f>
        <v>-23901011.52</v>
      </c>
      <c r="K35" s="184">
        <f>+'CIFRAS EEFF'!H22</f>
        <v>-24458557.52</v>
      </c>
      <c r="L35" s="184">
        <f>+'CIFRAS EEFF'!I22</f>
        <v>-25086861.52</v>
      </c>
      <c r="M35" s="184">
        <f>+'CIFRAS EEFF'!J22</f>
        <v>-25011122.52</v>
      </c>
      <c r="N35" s="184">
        <f>+'CIFRAS EEFF'!K22</f>
        <v>-25468241.710000001</v>
      </c>
      <c r="O35" s="184">
        <f>+'CIFRAS EEFF'!L22</f>
        <v>-25925360.899999999</v>
      </c>
      <c r="P35" s="184">
        <f>+'CIFRAS EEFF'!M22</f>
        <v>-26623700</v>
      </c>
      <c r="Q35" s="184">
        <f>+'CIFRAS EEFF'!N22</f>
        <v>-27322678</v>
      </c>
      <c r="R35" s="184">
        <f>+'CIFRAS EEFF'!O22</f>
        <v>-28122350</v>
      </c>
      <c r="S35" s="184" t="e">
        <f>+'CIFRAS EEFF'!#REF!</f>
        <v>#REF!</v>
      </c>
      <c r="T35" s="184" t="e">
        <f>+'CIFRAS EEFF'!#REF!</f>
        <v>#REF!</v>
      </c>
      <c r="U35" s="184" t="e">
        <f>+'CIFRAS EEFF'!#REF!</f>
        <v>#REF!</v>
      </c>
      <c r="W35" s="184">
        <f>F35</f>
        <v>0</v>
      </c>
      <c r="X35" s="184">
        <f>I35</f>
        <v>0</v>
      </c>
      <c r="Z35" s="184">
        <f>L35</f>
        <v>-25086861.52</v>
      </c>
      <c r="AA35" s="184">
        <f>O35</f>
        <v>-25925360.899999999</v>
      </c>
      <c r="AB35" s="184">
        <f>R35</f>
        <v>-28122350</v>
      </c>
      <c r="AC35" s="184" t="e">
        <f>S35</f>
        <v>#REF!</v>
      </c>
      <c r="AE35" s="184">
        <f>I35</f>
        <v>0</v>
      </c>
      <c r="AG35" s="184">
        <f>N35</f>
        <v>-25468241.710000001</v>
      </c>
    </row>
    <row r="36" spans="4:34">
      <c r="D36" s="198" t="s">
        <v>74</v>
      </c>
      <c r="F36" s="193">
        <f>F34+F35</f>
        <v>10598400.560000001</v>
      </c>
      <c r="G36" s="193">
        <f t="shared" ref="G36:Q36" si="64">G34+G35</f>
        <v>14455175.119999999</v>
      </c>
      <c r="H36" s="193">
        <f t="shared" si="64"/>
        <v>14170749.68</v>
      </c>
      <c r="I36" s="193" t="e">
        <f t="shared" si="64"/>
        <v>#REF!</v>
      </c>
      <c r="J36" s="193">
        <f t="shared" si="64"/>
        <v>28465450.099999998</v>
      </c>
      <c r="K36" s="193">
        <f t="shared" si="64"/>
        <v>28615504.099999998</v>
      </c>
      <c r="L36" s="193">
        <f t="shared" si="64"/>
        <v>29295875.100000005</v>
      </c>
      <c r="M36" s="193">
        <f t="shared" si="64"/>
        <v>29797101.720000003</v>
      </c>
      <c r="N36" s="193">
        <f t="shared" si="64"/>
        <v>44075681.529999994</v>
      </c>
      <c r="O36" s="193">
        <f t="shared" si="64"/>
        <v>59184353.339999996</v>
      </c>
      <c r="P36" s="193">
        <f t="shared" si="64"/>
        <v>58300334.239999995</v>
      </c>
      <c r="Q36" s="193">
        <f t="shared" si="64"/>
        <v>57847756.239999995</v>
      </c>
      <c r="R36" s="193">
        <f t="shared" ref="R36" si="65">R34+R35</f>
        <v>56992405</v>
      </c>
      <c r="S36" s="193" t="e">
        <f>S34+S35</f>
        <v>#REF!</v>
      </c>
      <c r="T36" s="193" t="e">
        <f t="shared" ref="T36:U36" si="66">T34+T35</f>
        <v>#REF!</v>
      </c>
      <c r="U36" s="193" t="e">
        <f t="shared" si="66"/>
        <v>#REF!</v>
      </c>
      <c r="W36" s="193">
        <f t="shared" ref="W36" si="67">W34+W35</f>
        <v>10598400.560000001</v>
      </c>
      <c r="X36" s="193" t="e">
        <f t="shared" ref="X36" si="68">X34+X35</f>
        <v>#REF!</v>
      </c>
      <c r="Z36" s="193">
        <f t="shared" ref="Z36" si="69">Z34+Z35</f>
        <v>29295875.100000005</v>
      </c>
      <c r="AA36" s="193">
        <f t="shared" ref="AA36" si="70">AA34+AA35</f>
        <v>59184353.339999996</v>
      </c>
      <c r="AB36" s="193">
        <f t="shared" ref="AB36" si="71">AB34+AB35</f>
        <v>56992405</v>
      </c>
      <c r="AC36" s="193" t="e">
        <f t="shared" ref="AC36" si="72">AC34+AC35</f>
        <v>#REF!</v>
      </c>
      <c r="AE36" s="193" t="e">
        <f t="shared" ref="AE36" si="73">AE34+AE35</f>
        <v>#REF!</v>
      </c>
      <c r="AG36" s="193">
        <f t="shared" ref="AG36" si="74">AG34+AG35</f>
        <v>44075681.529999994</v>
      </c>
    </row>
    <row r="37" spans="4:34" s="189" customFormat="1">
      <c r="D37" s="185" t="s">
        <v>75</v>
      </c>
      <c r="E37" s="186"/>
      <c r="F37" s="190" t="e">
        <f t="shared" ref="F37:Q37" si="75">F36/F$46</f>
        <v>#REF!</v>
      </c>
      <c r="G37" s="190" t="e">
        <f t="shared" si="75"/>
        <v>#REF!</v>
      </c>
      <c r="H37" s="190" t="e">
        <f t="shared" si="75"/>
        <v>#REF!</v>
      </c>
      <c r="I37" s="190" t="e">
        <f t="shared" si="75"/>
        <v>#REF!</v>
      </c>
      <c r="J37" s="190">
        <f t="shared" si="75"/>
        <v>3.9400867982247588E-2</v>
      </c>
      <c r="K37" s="190">
        <f t="shared" si="75"/>
        <v>4.8856849173331142E-2</v>
      </c>
      <c r="L37" s="190">
        <f t="shared" si="75"/>
        <v>3.4437285757949007E-2</v>
      </c>
      <c r="M37" s="190">
        <f t="shared" si="75"/>
        <v>3.5335713238927403E-2</v>
      </c>
      <c r="N37" s="190">
        <f t="shared" si="75"/>
        <v>5.4751409338592363E-2</v>
      </c>
      <c r="O37" s="190">
        <f t="shared" si="75"/>
        <v>6.3788798075453193E-2</v>
      </c>
      <c r="P37" s="190">
        <f t="shared" si="75"/>
        <v>6.9188109343626528E-2</v>
      </c>
      <c r="Q37" s="190">
        <f t="shared" si="75"/>
        <v>5.5150106629085316E-2</v>
      </c>
      <c r="R37" s="190">
        <f t="shared" ref="R37" si="76">R36/R$46</f>
        <v>6.0848936090305811E-2</v>
      </c>
      <c r="S37" s="190" t="e">
        <f t="shared" ref="S37:U37" si="77">S36/S$46</f>
        <v>#REF!</v>
      </c>
      <c r="T37" s="190" t="e">
        <f t="shared" si="77"/>
        <v>#REF!</v>
      </c>
      <c r="U37" s="190" t="e">
        <f t="shared" si="77"/>
        <v>#REF!</v>
      </c>
      <c r="V37" s="186"/>
      <c r="W37" s="190" t="e">
        <f>W36/W$46</f>
        <v>#REF!</v>
      </c>
      <c r="X37" s="190" t="e">
        <f>X36/X$46</f>
        <v>#REF!</v>
      </c>
      <c r="Y37" s="186"/>
      <c r="Z37" s="190" t="e">
        <f>Z36/Z$46</f>
        <v>#REF!</v>
      </c>
      <c r="AA37" s="190" t="e">
        <f>AA36/AA$46</f>
        <v>#REF!</v>
      </c>
      <c r="AB37" s="190" t="e">
        <f>AB36/AB$46</f>
        <v>#REF!</v>
      </c>
      <c r="AC37" s="190" t="e">
        <f>AC36/AC$46</f>
        <v>#REF!</v>
      </c>
      <c r="AD37" s="186"/>
      <c r="AE37" s="190" t="e">
        <f>AE36/AE$46</f>
        <v>#REF!</v>
      </c>
      <c r="AF37" s="186"/>
      <c r="AG37" s="190" t="e">
        <f>AG36/AG$46</f>
        <v>#REF!</v>
      </c>
      <c r="AH37" s="166"/>
    </row>
    <row r="38" spans="4:34" s="182" customFormat="1">
      <c r="D38" s="179"/>
      <c r="E38" s="180"/>
      <c r="F38" s="181"/>
      <c r="G38" s="181"/>
      <c r="H38" s="181"/>
      <c r="I38" s="181"/>
      <c r="J38" s="181"/>
      <c r="K38" s="335"/>
      <c r="L38" s="335"/>
      <c r="M38" s="335"/>
      <c r="N38" s="335"/>
      <c r="O38" s="335"/>
      <c r="P38" s="335"/>
      <c r="Q38" s="335"/>
      <c r="R38" s="335"/>
      <c r="S38" s="335"/>
      <c r="T38" s="181"/>
      <c r="U38" s="181"/>
      <c r="V38" s="180"/>
      <c r="W38" s="181"/>
      <c r="X38" s="181"/>
      <c r="Y38" s="180"/>
      <c r="Z38" s="181"/>
      <c r="AA38" s="181"/>
      <c r="AB38" s="181"/>
      <c r="AC38" s="181"/>
      <c r="AD38" s="180"/>
      <c r="AE38" s="181"/>
      <c r="AF38" s="180"/>
      <c r="AG38" s="181"/>
    </row>
    <row r="39" spans="4:34" s="195" customFormat="1">
      <c r="D39" s="183" t="s">
        <v>235</v>
      </c>
      <c r="E39" s="192"/>
      <c r="F39" s="184">
        <v>0</v>
      </c>
      <c r="G39" s="184">
        <v>0</v>
      </c>
      <c r="H39" s="184">
        <v>0</v>
      </c>
      <c r="I39" s="184">
        <v>0</v>
      </c>
      <c r="J39" s="184">
        <f>+'CIFRAS EEFF'!G24</f>
        <v>0</v>
      </c>
      <c r="K39" s="184">
        <f>+'CIFRAS EEFF'!H24</f>
        <v>0</v>
      </c>
      <c r="L39" s="184">
        <f>+'CIFRAS EEFF'!I24</f>
        <v>0</v>
      </c>
      <c r="M39" s="184">
        <f>+'CIFRAS EEFF'!J24</f>
        <v>0</v>
      </c>
      <c r="N39" s="184">
        <f>+'CIFRAS EEFF'!K24</f>
        <v>0</v>
      </c>
      <c r="O39" s="184">
        <f>+'CIFRAS EEFF'!L24</f>
        <v>0</v>
      </c>
      <c r="P39" s="184">
        <f>+'CIFRAS EEFF'!M24</f>
        <v>0</v>
      </c>
      <c r="Q39" s="184">
        <f>+'CIFRAS EEFF'!N24</f>
        <v>0</v>
      </c>
      <c r="R39" s="184">
        <f>+'CIFRAS EEFF'!O24</f>
        <v>0</v>
      </c>
      <c r="S39" s="184" t="e">
        <f>+'CIFRAS EEFF'!#REF!</f>
        <v>#REF!</v>
      </c>
      <c r="T39" s="184" t="e">
        <f>+'CIFRAS EEFF'!#REF!</f>
        <v>#REF!</v>
      </c>
      <c r="U39" s="184" t="e">
        <f>+'CIFRAS EEFF'!#REF!</f>
        <v>#REF!</v>
      </c>
      <c r="V39" s="192"/>
      <c r="W39" s="184">
        <f>F39</f>
        <v>0</v>
      </c>
      <c r="X39" s="184">
        <f>I39</f>
        <v>0</v>
      </c>
      <c r="Y39" s="192"/>
      <c r="Z39" s="184">
        <f>L39</f>
        <v>0</v>
      </c>
      <c r="AA39" s="184">
        <f>O39</f>
        <v>0</v>
      </c>
      <c r="AB39" s="184">
        <f t="shared" ref="AB39:AC42" si="78">R39</f>
        <v>0</v>
      </c>
      <c r="AC39" s="184" t="e">
        <f t="shared" si="78"/>
        <v>#REF!</v>
      </c>
      <c r="AD39" s="192"/>
      <c r="AE39" s="184">
        <f>I39</f>
        <v>0</v>
      </c>
      <c r="AF39" s="192"/>
      <c r="AG39" s="184">
        <f>N39</f>
        <v>0</v>
      </c>
      <c r="AH39" s="194"/>
    </row>
    <row r="40" spans="4:34" s="195" customFormat="1">
      <c r="D40" s="183" t="s">
        <v>233</v>
      </c>
      <c r="E40" s="192"/>
      <c r="F40" s="184">
        <f>'CIFRAS EEFF'!D23</f>
        <v>156400725</v>
      </c>
      <c r="G40" s="184">
        <f>'CIFRAS EEFF'!E23</f>
        <v>152236605</v>
      </c>
      <c r="H40" s="184">
        <f>'CIFRAS EEFF'!F23</f>
        <v>149338993</v>
      </c>
      <c r="I40" s="184" t="e">
        <f>'CIFRAS EEFF'!#REF!</f>
        <v>#REF!</v>
      </c>
      <c r="J40" s="184">
        <f>+'CIFRAS EEFF'!G25</f>
        <v>0</v>
      </c>
      <c r="K40" s="184">
        <f>+'CIFRAS EEFF'!H25</f>
        <v>0</v>
      </c>
      <c r="L40" s="184">
        <f>+'CIFRAS EEFF'!I25</f>
        <v>0</v>
      </c>
      <c r="M40" s="184">
        <f>+'CIFRAS EEFF'!J25</f>
        <v>0</v>
      </c>
      <c r="N40" s="184">
        <f>+'CIFRAS EEFF'!K25</f>
        <v>0</v>
      </c>
      <c r="O40" s="184">
        <f>+'CIFRAS EEFF'!L25</f>
        <v>0</v>
      </c>
      <c r="P40" s="184">
        <f>+'CIFRAS EEFF'!M25</f>
        <v>0</v>
      </c>
      <c r="Q40" s="184">
        <f>+'CIFRAS EEFF'!N25</f>
        <v>0</v>
      </c>
      <c r="R40" s="184">
        <f>+'CIFRAS EEFF'!O25</f>
        <v>0</v>
      </c>
      <c r="S40" s="184" t="e">
        <f>+'CIFRAS EEFF'!#REF!</f>
        <v>#REF!</v>
      </c>
      <c r="T40" s="184" t="e">
        <f>+'CIFRAS EEFF'!#REF!</f>
        <v>#REF!</v>
      </c>
      <c r="U40" s="184" t="e">
        <f>+'CIFRAS EEFF'!#REF!</f>
        <v>#REF!</v>
      </c>
      <c r="V40" s="192"/>
      <c r="W40" s="184">
        <f>F40</f>
        <v>156400725</v>
      </c>
      <c r="X40" s="184" t="e">
        <f>I40</f>
        <v>#REF!</v>
      </c>
      <c r="Y40" s="192"/>
      <c r="Z40" s="184">
        <f>L40</f>
        <v>0</v>
      </c>
      <c r="AA40" s="184">
        <f>O40</f>
        <v>0</v>
      </c>
      <c r="AB40" s="184">
        <f t="shared" si="78"/>
        <v>0</v>
      </c>
      <c r="AC40" s="184" t="e">
        <f t="shared" si="78"/>
        <v>#REF!</v>
      </c>
      <c r="AD40" s="192"/>
      <c r="AE40" s="184" t="e">
        <f>I40</f>
        <v>#REF!</v>
      </c>
      <c r="AF40" s="192"/>
      <c r="AG40" s="184">
        <f>N40</f>
        <v>0</v>
      </c>
      <c r="AH40" s="194"/>
    </row>
    <row r="41" spans="4:34" s="195" customFormat="1">
      <c r="D41" s="183" t="s">
        <v>234</v>
      </c>
      <c r="E41" s="192"/>
      <c r="F41" s="184">
        <v>0</v>
      </c>
      <c r="G41" s="184">
        <v>0</v>
      </c>
      <c r="H41" s="184">
        <v>0</v>
      </c>
      <c r="I41" s="184">
        <v>0</v>
      </c>
      <c r="J41" s="184">
        <f>+'CIFRAS EEFF'!G26</f>
        <v>0</v>
      </c>
      <c r="K41" s="184">
        <f>+'CIFRAS EEFF'!H26</f>
        <v>0</v>
      </c>
      <c r="L41" s="184">
        <f>+'CIFRAS EEFF'!I26</f>
        <v>0</v>
      </c>
      <c r="M41" s="184">
        <f>+'CIFRAS EEFF'!J26</f>
        <v>0</v>
      </c>
      <c r="N41" s="184">
        <f>+'CIFRAS EEFF'!K26</f>
        <v>0</v>
      </c>
      <c r="O41" s="184">
        <f>+'CIFRAS EEFF'!L26</f>
        <v>0</v>
      </c>
      <c r="P41" s="184">
        <f>+'CIFRAS EEFF'!M26</f>
        <v>0</v>
      </c>
      <c r="Q41" s="184">
        <f>+'CIFRAS EEFF'!N26</f>
        <v>0</v>
      </c>
      <c r="R41" s="184">
        <f>+'CIFRAS EEFF'!O26</f>
        <v>0</v>
      </c>
      <c r="S41" s="184" t="e">
        <f>+'CIFRAS EEFF'!#REF!</f>
        <v>#REF!</v>
      </c>
      <c r="T41" s="184" t="e">
        <f>+'CIFRAS EEFF'!#REF!</f>
        <v>#REF!</v>
      </c>
      <c r="U41" s="184" t="e">
        <f>+'CIFRAS EEFF'!#REF!</f>
        <v>#REF!</v>
      </c>
      <c r="V41" s="192"/>
      <c r="W41" s="184">
        <f>F41</f>
        <v>0</v>
      </c>
      <c r="X41" s="184">
        <f>I41</f>
        <v>0</v>
      </c>
      <c r="Y41" s="192"/>
      <c r="Z41" s="184">
        <f>L41</f>
        <v>0</v>
      </c>
      <c r="AA41" s="184">
        <f>O41</f>
        <v>0</v>
      </c>
      <c r="AB41" s="184">
        <f t="shared" si="78"/>
        <v>0</v>
      </c>
      <c r="AC41" s="184" t="e">
        <f t="shared" si="78"/>
        <v>#REF!</v>
      </c>
      <c r="AD41" s="192"/>
      <c r="AE41" s="184">
        <f>I41</f>
        <v>0</v>
      </c>
      <c r="AF41" s="192"/>
      <c r="AG41" s="184">
        <f>N41</f>
        <v>0</v>
      </c>
      <c r="AH41" s="194"/>
    </row>
    <row r="42" spans="4:34" s="195" customFormat="1">
      <c r="D42" s="183" t="s">
        <v>232</v>
      </c>
      <c r="E42" s="192"/>
      <c r="F42" s="184">
        <v>0</v>
      </c>
      <c r="G42" s="184">
        <v>0</v>
      </c>
      <c r="H42" s="184">
        <v>0</v>
      </c>
      <c r="I42" s="184">
        <v>0</v>
      </c>
      <c r="J42" s="184">
        <f>+'CIFRAS EEFF'!G27</f>
        <v>0</v>
      </c>
      <c r="K42" s="184">
        <f>+'CIFRAS EEFF'!H27</f>
        <v>0</v>
      </c>
      <c r="L42" s="184">
        <f>+'CIFRAS EEFF'!I27</f>
        <v>0</v>
      </c>
      <c r="M42" s="184">
        <f>+'CIFRAS EEFF'!J27</f>
        <v>0</v>
      </c>
      <c r="N42" s="184">
        <f>+'CIFRAS EEFF'!K27</f>
        <v>0</v>
      </c>
      <c r="O42" s="184">
        <f>+'CIFRAS EEFF'!L27</f>
        <v>0</v>
      </c>
      <c r="P42" s="184">
        <f>+'CIFRAS EEFF'!M27</f>
        <v>0</v>
      </c>
      <c r="Q42" s="184">
        <f>+'CIFRAS EEFF'!N27+'CIFRAS EEFF'!N28</f>
        <v>0</v>
      </c>
      <c r="R42" s="184">
        <f>+'CIFRAS EEFF'!O27+'CIFRAS EEFF'!O28</f>
        <v>0</v>
      </c>
      <c r="S42" s="184" t="e">
        <f>+'CIFRAS EEFF'!#REF!+'CIFRAS EEFF'!#REF!</f>
        <v>#REF!</v>
      </c>
      <c r="T42" s="184" t="e">
        <f>+'CIFRAS EEFF'!#REF!+'CIFRAS EEFF'!#REF!</f>
        <v>#REF!</v>
      </c>
      <c r="U42" s="184" t="e">
        <f>+'CIFRAS EEFF'!#REF!+'CIFRAS EEFF'!#REF!</f>
        <v>#REF!</v>
      </c>
      <c r="V42" s="192"/>
      <c r="W42" s="184">
        <f>F42</f>
        <v>0</v>
      </c>
      <c r="X42" s="184">
        <f>I42</f>
        <v>0</v>
      </c>
      <c r="Y42" s="192"/>
      <c r="Z42" s="184">
        <f>L42</f>
        <v>0</v>
      </c>
      <c r="AA42" s="184">
        <f>O42</f>
        <v>0</v>
      </c>
      <c r="AB42" s="184">
        <f t="shared" si="78"/>
        <v>0</v>
      </c>
      <c r="AC42" s="184" t="e">
        <f t="shared" si="78"/>
        <v>#REF!</v>
      </c>
      <c r="AD42" s="192"/>
      <c r="AE42" s="184">
        <f>I42</f>
        <v>0</v>
      </c>
      <c r="AF42" s="192"/>
      <c r="AG42" s="184">
        <f>N42</f>
        <v>0</v>
      </c>
      <c r="AH42" s="194"/>
    </row>
    <row r="43" spans="4:34" s="197" customFormat="1">
      <c r="D43" s="198" t="s">
        <v>80</v>
      </c>
      <c r="E43" s="196"/>
      <c r="F43" s="193" t="e">
        <f>F39+#REF!+F40+F41+F42</f>
        <v>#REF!</v>
      </c>
      <c r="G43" s="193" t="e">
        <f>G39+#REF!+G40+G41+G42</f>
        <v>#REF!</v>
      </c>
      <c r="H43" s="193" t="e">
        <f>H39+#REF!+H40+H41+H42</f>
        <v>#REF!</v>
      </c>
      <c r="I43" s="193" t="e">
        <f>I39+#REF!+I40+I41+I42</f>
        <v>#REF!</v>
      </c>
      <c r="J43" s="193">
        <f>J39+J40+J41+J42</f>
        <v>0</v>
      </c>
      <c r="K43" s="193">
        <f t="shared" ref="K43:Q43" si="79">K39+K40+K41+K42</f>
        <v>0</v>
      </c>
      <c r="L43" s="193">
        <f t="shared" si="79"/>
        <v>0</v>
      </c>
      <c r="M43" s="193">
        <f t="shared" si="79"/>
        <v>0</v>
      </c>
      <c r="N43" s="193">
        <f t="shared" si="79"/>
        <v>0</v>
      </c>
      <c r="O43" s="193">
        <f t="shared" si="79"/>
        <v>0</v>
      </c>
      <c r="P43" s="193">
        <f t="shared" si="79"/>
        <v>0</v>
      </c>
      <c r="Q43" s="193">
        <f t="shared" si="79"/>
        <v>0</v>
      </c>
      <c r="R43" s="193">
        <f t="shared" ref="R43" si="80">R39+R40+R41+R42</f>
        <v>0</v>
      </c>
      <c r="S43" s="193" t="e">
        <f t="shared" ref="S43:U43" si="81">S39+S40+S41+S42</f>
        <v>#REF!</v>
      </c>
      <c r="T43" s="193" t="e">
        <f t="shared" si="81"/>
        <v>#REF!</v>
      </c>
      <c r="U43" s="193" t="e">
        <f t="shared" si="81"/>
        <v>#REF!</v>
      </c>
      <c r="V43" s="196"/>
      <c r="W43" s="193" t="e">
        <f>W39+#REF!+W40+W41+W42</f>
        <v>#REF!</v>
      </c>
      <c r="X43" s="193" t="e">
        <f>X39+#REF!+X40+X41+X42</f>
        <v>#REF!</v>
      </c>
      <c r="Y43" s="196"/>
      <c r="Z43" s="193" t="e">
        <f>Z39+#REF!+Z40+Z41+Z42</f>
        <v>#REF!</v>
      </c>
      <c r="AA43" s="193" t="e">
        <f>AA39+#REF!+AA40+AA41+AA42</f>
        <v>#REF!</v>
      </c>
      <c r="AB43" s="193" t="e">
        <f>AB39+#REF!+AB40+AB41+AB42</f>
        <v>#REF!</v>
      </c>
      <c r="AC43" s="193" t="e">
        <f>AC39+#REF!+AC40+AC41+AC42</f>
        <v>#REF!</v>
      </c>
      <c r="AD43" s="196"/>
      <c r="AE43" s="193" t="e">
        <f>AE39+#REF!+AE40+AE41+AE42</f>
        <v>#REF!</v>
      </c>
      <c r="AF43" s="196"/>
      <c r="AG43" s="193" t="e">
        <f>AG39+#REF!+AG40+AG41+AG42</f>
        <v>#REF!</v>
      </c>
      <c r="AH43" s="199"/>
    </row>
    <row r="44" spans="4:34" s="189" customFormat="1">
      <c r="D44" s="185" t="s">
        <v>81</v>
      </c>
      <c r="E44" s="186"/>
      <c r="F44" s="190" t="e">
        <f t="shared" ref="F44:Q44" si="82">F43/F$46</f>
        <v>#REF!</v>
      </c>
      <c r="G44" s="190" t="e">
        <f t="shared" si="82"/>
        <v>#REF!</v>
      </c>
      <c r="H44" s="190" t="e">
        <f t="shared" si="82"/>
        <v>#REF!</v>
      </c>
      <c r="I44" s="190" t="e">
        <f t="shared" si="82"/>
        <v>#REF!</v>
      </c>
      <c r="J44" s="190">
        <f t="shared" si="82"/>
        <v>0</v>
      </c>
      <c r="K44" s="190">
        <f t="shared" si="82"/>
        <v>0</v>
      </c>
      <c r="L44" s="190">
        <f t="shared" si="82"/>
        <v>0</v>
      </c>
      <c r="M44" s="190">
        <f t="shared" si="82"/>
        <v>0</v>
      </c>
      <c r="N44" s="190">
        <f t="shared" si="82"/>
        <v>0</v>
      </c>
      <c r="O44" s="190">
        <f t="shared" si="82"/>
        <v>0</v>
      </c>
      <c r="P44" s="190">
        <f t="shared" si="82"/>
        <v>0</v>
      </c>
      <c r="Q44" s="190">
        <f t="shared" si="82"/>
        <v>0</v>
      </c>
      <c r="R44" s="190">
        <f t="shared" ref="R44" si="83">R43/R$46</f>
        <v>0</v>
      </c>
      <c r="S44" s="190" t="e">
        <f t="shared" ref="S44:U44" si="84">S43/S$46</f>
        <v>#REF!</v>
      </c>
      <c r="T44" s="190" t="e">
        <f t="shared" si="84"/>
        <v>#REF!</v>
      </c>
      <c r="U44" s="190" t="e">
        <f t="shared" si="84"/>
        <v>#REF!</v>
      </c>
      <c r="V44" s="186"/>
      <c r="W44" s="190" t="e">
        <f t="shared" ref="W44:X44" si="85">W43/W$46</f>
        <v>#REF!</v>
      </c>
      <c r="X44" s="190" t="e">
        <f t="shared" si="85"/>
        <v>#REF!</v>
      </c>
      <c r="Y44" s="186"/>
      <c r="Z44" s="190" t="e">
        <f t="shared" ref="Z44:AC44" si="86">Z43/Z$46</f>
        <v>#REF!</v>
      </c>
      <c r="AA44" s="190" t="e">
        <f t="shared" si="86"/>
        <v>#REF!</v>
      </c>
      <c r="AB44" s="190" t="e">
        <f t="shared" si="86"/>
        <v>#REF!</v>
      </c>
      <c r="AC44" s="190" t="e">
        <f t="shared" si="86"/>
        <v>#REF!</v>
      </c>
      <c r="AD44" s="186"/>
      <c r="AE44" s="190" t="e">
        <f t="shared" ref="AE44" si="87">AE43/AE$46</f>
        <v>#REF!</v>
      </c>
      <c r="AF44" s="186"/>
      <c r="AG44" s="190" t="e">
        <f t="shared" ref="AG44" si="88">AG43/AG$46</f>
        <v>#REF!</v>
      </c>
      <c r="AH44" s="188"/>
    </row>
    <row r="45" spans="4:34" s="182" customFormat="1">
      <c r="D45" s="179"/>
      <c r="E45" s="180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0"/>
      <c r="W45" s="181"/>
      <c r="X45" s="181"/>
      <c r="Y45" s="180"/>
      <c r="Z45" s="181"/>
      <c r="AA45" s="181"/>
      <c r="AB45" s="181"/>
      <c r="AC45" s="181"/>
      <c r="AD45" s="180"/>
      <c r="AE45" s="181"/>
      <c r="AF45" s="180"/>
      <c r="AG45" s="181"/>
    </row>
    <row r="46" spans="4:34" s="197" customFormat="1">
      <c r="D46" s="198" t="s">
        <v>82</v>
      </c>
      <c r="E46" s="196"/>
      <c r="F46" s="193" t="e">
        <f t="shared" ref="F46:Q46" si="89">(F24+F36+F43)</f>
        <v>#REF!</v>
      </c>
      <c r="G46" s="193" t="e">
        <f t="shared" si="89"/>
        <v>#REF!</v>
      </c>
      <c r="H46" s="193" t="e">
        <f t="shared" si="89"/>
        <v>#REF!</v>
      </c>
      <c r="I46" s="193" t="e">
        <f t="shared" si="89"/>
        <v>#REF!</v>
      </c>
      <c r="J46" s="193">
        <f t="shared" si="89"/>
        <v>722457437.04999995</v>
      </c>
      <c r="K46" s="193">
        <f t="shared" si="89"/>
        <v>585700973.02999997</v>
      </c>
      <c r="L46" s="193">
        <f t="shared" si="89"/>
        <v>850702209.98000014</v>
      </c>
      <c r="M46" s="193">
        <f t="shared" si="89"/>
        <v>843257401.33000004</v>
      </c>
      <c r="N46" s="193">
        <f t="shared" si="89"/>
        <v>805014556.92999995</v>
      </c>
      <c r="O46" s="193">
        <f t="shared" si="89"/>
        <v>927817346.08000004</v>
      </c>
      <c r="P46" s="193">
        <f t="shared" si="89"/>
        <v>842635169.44000006</v>
      </c>
      <c r="Q46" s="193">
        <f t="shared" si="89"/>
        <v>1048914676.2499999</v>
      </c>
      <c r="R46" s="193">
        <f t="shared" ref="R46" si="90">(R24+R36+R43)</f>
        <v>936621224</v>
      </c>
      <c r="S46" s="193" t="e">
        <f t="shared" ref="S46:U46" si="91">(S24+S36+S43)</f>
        <v>#REF!</v>
      </c>
      <c r="T46" s="193" t="e">
        <f t="shared" si="91"/>
        <v>#REF!</v>
      </c>
      <c r="U46" s="193" t="e">
        <f t="shared" si="91"/>
        <v>#REF!</v>
      </c>
      <c r="V46" s="196"/>
      <c r="W46" s="193" t="e">
        <f>(W24+W36+W43)</f>
        <v>#REF!</v>
      </c>
      <c r="X46" s="193" t="e">
        <f>(X24+X36+X43)</f>
        <v>#REF!</v>
      </c>
      <c r="Y46" s="196"/>
      <c r="Z46" s="193" t="e">
        <f>(Z24+Z36+Z43)</f>
        <v>#REF!</v>
      </c>
      <c r="AA46" s="193" t="e">
        <f>(AA24+AA36+AA43)</f>
        <v>#REF!</v>
      </c>
      <c r="AB46" s="193" t="e">
        <f>(AB24+AB36+AB43)</f>
        <v>#REF!</v>
      </c>
      <c r="AC46" s="193" t="e">
        <f>(AC24+AC36+AC43)</f>
        <v>#REF!</v>
      </c>
      <c r="AD46" s="196"/>
      <c r="AE46" s="193" t="e">
        <f>(AE24+AE36+AE43)</f>
        <v>#REF!</v>
      </c>
      <c r="AF46" s="196"/>
      <c r="AG46" s="193" t="e">
        <f>(AG24+AG36+AG43)</f>
        <v>#REF!</v>
      </c>
      <c r="AH46" s="199"/>
    </row>
    <row r="47" spans="4:34" s="173" customFormat="1">
      <c r="D47" s="200" t="s">
        <v>83</v>
      </c>
      <c r="E47" s="170"/>
      <c r="F47" s="201">
        <f t="shared" ref="F47:Q47" si="92">F24-F62</f>
        <v>-1563821.1499999762</v>
      </c>
      <c r="G47" s="201">
        <f t="shared" si="92"/>
        <v>107941998.88999999</v>
      </c>
      <c r="H47" s="201">
        <f t="shared" si="92"/>
        <v>93566203.439999998</v>
      </c>
      <c r="I47" s="201" t="e">
        <f t="shared" si="92"/>
        <v>#REF!</v>
      </c>
      <c r="J47" s="201">
        <f t="shared" si="92"/>
        <v>503103330.56999993</v>
      </c>
      <c r="K47" s="201">
        <f t="shared" si="92"/>
        <v>406946346.54999995</v>
      </c>
      <c r="L47" s="201">
        <f t="shared" si="92"/>
        <v>551167967.50000012</v>
      </c>
      <c r="M47" s="201">
        <f t="shared" si="92"/>
        <v>515544040.59000003</v>
      </c>
      <c r="N47" s="201">
        <f t="shared" si="92"/>
        <v>446091234.38</v>
      </c>
      <c r="O47" s="201">
        <f t="shared" si="92"/>
        <v>414623393.74000001</v>
      </c>
      <c r="P47" s="201">
        <f t="shared" si="92"/>
        <v>497030209.69000006</v>
      </c>
      <c r="Q47" s="201">
        <f t="shared" si="92"/>
        <v>499192530.00999987</v>
      </c>
      <c r="R47" s="201">
        <f t="shared" ref="R47" si="93">R24-R62</f>
        <v>520468673</v>
      </c>
      <c r="S47" s="201" t="e">
        <f>S24-S62</f>
        <v>#REF!</v>
      </c>
      <c r="T47" s="201" t="e">
        <f t="shared" ref="T47:U47" si="94">T24-T62</f>
        <v>#REF!</v>
      </c>
      <c r="U47" s="201" t="e">
        <f t="shared" si="94"/>
        <v>#REF!</v>
      </c>
      <c r="V47" s="170"/>
      <c r="W47" s="201">
        <f>W24-W66</f>
        <v>-3481605.1499999762</v>
      </c>
      <c r="X47" s="201" t="e">
        <f>X24-X66</f>
        <v>#REF!</v>
      </c>
      <c r="Y47" s="170"/>
      <c r="Z47" s="201">
        <f>Z24-Z66</f>
        <v>388967149.0800001</v>
      </c>
      <c r="AA47" s="201">
        <f>AA24-AA66</f>
        <v>366930267.87</v>
      </c>
      <c r="AB47" s="201">
        <f>AB24-AB66</f>
        <v>447945976</v>
      </c>
      <c r="AC47" s="201" t="e">
        <f>AC24-AC66</f>
        <v>#REF!</v>
      </c>
      <c r="AD47" s="170"/>
      <c r="AE47" s="201" t="e">
        <f>AE24-AE62</f>
        <v>#REF!</v>
      </c>
      <c r="AF47" s="170"/>
      <c r="AG47" s="201">
        <f>AG24-AG62</f>
        <v>429154341.66999996</v>
      </c>
    </row>
    <row r="48" spans="4:34" s="188" customFormat="1">
      <c r="D48" s="185" t="s">
        <v>84</v>
      </c>
      <c r="E48" s="186"/>
      <c r="F48" s="202" t="e">
        <f t="shared" ref="F48:Q48" si="95">F47/F$46</f>
        <v>#REF!</v>
      </c>
      <c r="G48" s="202" t="e">
        <f t="shared" si="95"/>
        <v>#REF!</v>
      </c>
      <c r="H48" s="202" t="e">
        <f t="shared" si="95"/>
        <v>#REF!</v>
      </c>
      <c r="I48" s="202" t="e">
        <f t="shared" si="95"/>
        <v>#REF!</v>
      </c>
      <c r="J48" s="202">
        <f t="shared" si="95"/>
        <v>0.69637781379109964</v>
      </c>
      <c r="K48" s="202">
        <f t="shared" si="95"/>
        <v>0.6948022374706827</v>
      </c>
      <c r="L48" s="202">
        <f t="shared" si="95"/>
        <v>0.64789765564727753</v>
      </c>
      <c r="M48" s="202">
        <f t="shared" si="95"/>
        <v>0.61137209086676869</v>
      </c>
      <c r="N48" s="202">
        <f t="shared" si="95"/>
        <v>0.55414058111099462</v>
      </c>
      <c r="O48" s="202">
        <f t="shared" si="95"/>
        <v>0.44688040754117303</v>
      </c>
      <c r="P48" s="202">
        <f t="shared" si="95"/>
        <v>0.58985220142225636</v>
      </c>
      <c r="Q48" s="202">
        <f t="shared" si="95"/>
        <v>0.47591338105276121</v>
      </c>
      <c r="R48" s="202">
        <f t="shared" ref="R48" si="96">R47/R$46</f>
        <v>0.55568746432762872</v>
      </c>
      <c r="S48" s="202" t="e">
        <f t="shared" ref="S48:U48" si="97">S47/S$46</f>
        <v>#REF!</v>
      </c>
      <c r="T48" s="202" t="e">
        <f t="shared" si="97"/>
        <v>#REF!</v>
      </c>
      <c r="U48" s="202" t="e">
        <f t="shared" si="97"/>
        <v>#REF!</v>
      </c>
      <c r="V48" s="186"/>
      <c r="W48" s="202" t="e">
        <f t="shared" ref="W48:X48" si="98">W47/W$46</f>
        <v>#REF!</v>
      </c>
      <c r="X48" s="202" t="e">
        <f t="shared" si="98"/>
        <v>#REF!</v>
      </c>
      <c r="Y48" s="186"/>
      <c r="Z48" s="202" t="e">
        <f t="shared" ref="Z48:AC48" si="99">Z47/Z$46</f>
        <v>#REF!</v>
      </c>
      <c r="AA48" s="202" t="e">
        <f t="shared" si="99"/>
        <v>#REF!</v>
      </c>
      <c r="AB48" s="202" t="e">
        <f t="shared" si="99"/>
        <v>#REF!</v>
      </c>
      <c r="AC48" s="202" t="e">
        <f t="shared" si="99"/>
        <v>#REF!</v>
      </c>
      <c r="AD48" s="186"/>
      <c r="AE48" s="202" t="e">
        <f t="shared" ref="AE48" si="100">AE47/AE$46</f>
        <v>#REF!</v>
      </c>
      <c r="AF48" s="186"/>
      <c r="AG48" s="202" t="e">
        <f t="shared" ref="AG48" si="101">AG47/AG$46</f>
        <v>#REF!</v>
      </c>
    </row>
    <row r="49" spans="4:56" s="173" customFormat="1">
      <c r="D49" s="203"/>
      <c r="E49" s="170"/>
      <c r="V49" s="170"/>
      <c r="Y49" s="170"/>
      <c r="AD49" s="170"/>
      <c r="AF49" s="170"/>
    </row>
    <row r="50" spans="4:56" s="189" customFormat="1">
      <c r="D50" s="185" t="s">
        <v>57</v>
      </c>
      <c r="E50" s="186"/>
      <c r="F50" s="187">
        <f t="shared" ref="F50:Q50" si="102">(F9+F10)/F47</f>
        <v>-108.24463108201509</v>
      </c>
      <c r="G50" s="187">
        <f t="shared" si="102"/>
        <v>3.0556187727829474</v>
      </c>
      <c r="H50" s="187">
        <f t="shared" si="102"/>
        <v>3.596580417370411</v>
      </c>
      <c r="I50" s="187" t="e">
        <f t="shared" si="102"/>
        <v>#REF!</v>
      </c>
      <c r="J50" s="187">
        <f t="shared" si="102"/>
        <v>0.96947091965660737</v>
      </c>
      <c r="K50" s="187">
        <f>(K9+K10)/K47</f>
        <v>0.83720794291033052</v>
      </c>
      <c r="L50" s="187">
        <f t="shared" si="102"/>
        <v>1.0851878718260237</v>
      </c>
      <c r="M50" s="187">
        <f t="shared" si="102"/>
        <v>1.2504825015768104</v>
      </c>
      <c r="N50" s="187">
        <f t="shared" si="102"/>
        <v>1.3415524794647948</v>
      </c>
      <c r="O50" s="187">
        <f t="shared" si="102"/>
        <v>1.6947255282962366</v>
      </c>
      <c r="P50" s="187">
        <f t="shared" si="102"/>
        <v>1.2327717029155212</v>
      </c>
      <c r="Q50" s="187">
        <f t="shared" si="102"/>
        <v>1.655965232459389</v>
      </c>
      <c r="R50" s="187">
        <f t="shared" ref="R50" si="103">(R9+R10)/R47</f>
        <v>1.3945640605347249</v>
      </c>
      <c r="S50" s="187" t="e">
        <f t="shared" ref="S50:U50" si="104">(S9+S10)/S47</f>
        <v>#REF!</v>
      </c>
      <c r="T50" s="187" t="e">
        <f t="shared" si="104"/>
        <v>#REF!</v>
      </c>
      <c r="U50" s="187" t="e">
        <f t="shared" si="104"/>
        <v>#REF!</v>
      </c>
      <c r="V50" s="186"/>
      <c r="W50" s="187">
        <f>(W9+W10)/W47</f>
        <v>-48.619885416932235</v>
      </c>
      <c r="X50" s="187" t="e">
        <f>(X9+X10)/X47</f>
        <v>#REF!</v>
      </c>
      <c r="Y50" s="186"/>
      <c r="Z50" s="187">
        <f>(Z9+Z10)/Z47</f>
        <v>1.53771544739626</v>
      </c>
      <c r="AA50" s="187">
        <f>(AA9+AA10)/AA47</f>
        <v>1.9150037800886748</v>
      </c>
      <c r="AB50" s="187">
        <f>(AB9+AB10)/AB47</f>
        <v>1.6203447399648032</v>
      </c>
      <c r="AC50" s="187" t="e">
        <f>(AC9+AC10)/AC47</f>
        <v>#REF!</v>
      </c>
      <c r="AD50" s="186"/>
      <c r="AE50" s="187" t="e">
        <f>(AE9+AE10)/AE47</f>
        <v>#REF!</v>
      </c>
      <c r="AF50" s="186"/>
      <c r="AG50" s="187">
        <f>(AG9+AG10)/AG47</f>
        <v>1.3944978378202784</v>
      </c>
      <c r="AH50" s="188"/>
    </row>
    <row r="51" spans="4:56" s="189" customFormat="1">
      <c r="D51" s="185" t="s">
        <v>85</v>
      </c>
      <c r="E51" s="186"/>
      <c r="F51" s="187">
        <f t="shared" ref="F51:Q51" si="105">F24/F62</f>
        <v>0.99396227633747913</v>
      </c>
      <c r="G51" s="187">
        <f t="shared" si="105"/>
        <v>1.2634307823237849</v>
      </c>
      <c r="H51" s="187">
        <f t="shared" si="105"/>
        <v>1.2431113091520594</v>
      </c>
      <c r="I51" s="187" t="e">
        <f t="shared" si="105"/>
        <v>#REF!</v>
      </c>
      <c r="J51" s="187">
        <f t="shared" si="105"/>
        <v>3.6355852679295806</v>
      </c>
      <c r="K51" s="187">
        <f t="shared" si="105"/>
        <v>3.7104617377476372</v>
      </c>
      <c r="L51" s="187">
        <f t="shared" si="105"/>
        <v>3.0395622310912147</v>
      </c>
      <c r="M51" s="187">
        <f t="shared" si="105"/>
        <v>2.730499846788792</v>
      </c>
      <c r="N51" s="187">
        <f t="shared" si="105"/>
        <v>2.4168479488517529</v>
      </c>
      <c r="O51" s="187">
        <f t="shared" si="105"/>
        <v>1.9132480781314936</v>
      </c>
      <c r="P51" s="187">
        <f t="shared" si="105"/>
        <v>2.7299763580475327</v>
      </c>
      <c r="Q51" s="187">
        <f t="shared" si="105"/>
        <v>2.0148780667560264</v>
      </c>
      <c r="R51" s="187">
        <f t="shared" ref="R51" si="106">R24/R62</f>
        <v>2.4491270225733786</v>
      </c>
      <c r="S51" s="187" t="e">
        <f t="shared" ref="S51:U51" si="107">S24/S62</f>
        <v>#REF!</v>
      </c>
      <c r="T51" s="187" t="e">
        <f t="shared" si="107"/>
        <v>#REF!</v>
      </c>
      <c r="U51" s="187" t="e">
        <f t="shared" si="107"/>
        <v>#REF!</v>
      </c>
      <c r="V51" s="186"/>
      <c r="W51" s="187">
        <f>W24/W62</f>
        <v>0.99396227633747913</v>
      </c>
      <c r="X51" s="187" t="e">
        <f>X24/X62</f>
        <v>#REF!</v>
      </c>
      <c r="Y51" s="186"/>
      <c r="Z51" s="187">
        <f>Z24/Z62</f>
        <v>2.9679570300695919</v>
      </c>
      <c r="AA51" s="187">
        <f>AA24/AA62</f>
        <v>1.8718071154041833</v>
      </c>
      <c r="AB51" s="187">
        <f>AB24/AB62</f>
        <v>2.3932469250082109</v>
      </c>
      <c r="AC51" s="187" t="e">
        <f>AC24/AC62</f>
        <v>#REF!</v>
      </c>
      <c r="AD51" s="186"/>
      <c r="AE51" s="187" t="e">
        <f>AE24/AE62</f>
        <v>#REF!</v>
      </c>
      <c r="AF51" s="186"/>
      <c r="AG51" s="187">
        <f>AG24/AG62</f>
        <v>2.363054016475032</v>
      </c>
      <c r="AH51" s="188"/>
    </row>
    <row r="52" spans="4:56" s="189" customFormat="1">
      <c r="D52" s="185" t="s">
        <v>86</v>
      </c>
      <c r="E52" s="186"/>
      <c r="F52" s="187">
        <f t="shared" ref="F52:Q52" si="108">F19/F62</f>
        <v>0.65576438821357419</v>
      </c>
      <c r="G52" s="187">
        <f t="shared" si="108"/>
        <v>0.82198484491152424</v>
      </c>
      <c r="H52" s="187">
        <f t="shared" si="108"/>
        <v>0.91731568326042245</v>
      </c>
      <c r="I52" s="187" t="e">
        <f t="shared" si="108"/>
        <v>#REF!</v>
      </c>
      <c r="J52" s="187">
        <f t="shared" si="108"/>
        <v>3.0814197275246178</v>
      </c>
      <c r="K52" s="187">
        <f t="shared" si="108"/>
        <v>3.0127857313907924</v>
      </c>
      <c r="L52" s="187">
        <f t="shared" si="108"/>
        <v>2.5717231138121308</v>
      </c>
      <c r="M52" s="187">
        <f t="shared" si="108"/>
        <v>2.3107620931282731</v>
      </c>
      <c r="N52" s="187">
        <f t="shared" si="108"/>
        <v>2.0260164986260123</v>
      </c>
      <c r="O52" s="187">
        <f t="shared" si="108"/>
        <v>1.6349144324369229</v>
      </c>
      <c r="P52" s="187">
        <f t="shared" si="108"/>
        <v>2.3433690390639619</v>
      </c>
      <c r="Q52" s="187">
        <f t="shared" si="108"/>
        <v>1.8015954921540027</v>
      </c>
      <c r="R52" s="187">
        <f t="shared" ref="R52" si="109">R19/R62</f>
        <v>2.1688014348897164</v>
      </c>
      <c r="S52" s="187" t="e">
        <f t="shared" ref="S52:U52" si="110">S19/S62</f>
        <v>#REF!</v>
      </c>
      <c r="T52" s="187" t="e">
        <f t="shared" si="110"/>
        <v>#REF!</v>
      </c>
      <c r="U52" s="187" t="e">
        <f t="shared" si="110"/>
        <v>#REF!</v>
      </c>
      <c r="V52" s="186"/>
      <c r="W52" s="187">
        <f>W19/W62</f>
        <v>0.65576438821357419</v>
      </c>
      <c r="X52" s="187" t="e">
        <f>X19/X62</f>
        <v>#REF!</v>
      </c>
      <c r="Y52" s="186"/>
      <c r="Z52" s="187">
        <f>Z19/Z62</f>
        <v>2.500117912790508</v>
      </c>
      <c r="AA52" s="187">
        <f>AA19/AA62</f>
        <v>1.5934734697096129</v>
      </c>
      <c r="AB52" s="187">
        <f>AB19/AB62</f>
        <v>2.1129213373245483</v>
      </c>
      <c r="AC52" s="187" t="e">
        <f>AC19/AC62</f>
        <v>#REF!</v>
      </c>
      <c r="AD52" s="186"/>
      <c r="AE52" s="187" t="e">
        <f>AE19/AE62</f>
        <v>#REF!</v>
      </c>
      <c r="AF52" s="186"/>
      <c r="AG52" s="187">
        <f>AG19/AG62</f>
        <v>1.9722225662492912</v>
      </c>
      <c r="AH52" s="188"/>
    </row>
    <row r="53" spans="4:56" s="173" customFormat="1">
      <c r="D53" s="203"/>
      <c r="E53" s="170"/>
      <c r="V53" s="170"/>
      <c r="Y53" s="170"/>
      <c r="AD53" s="170"/>
      <c r="AF53" s="170"/>
    </row>
    <row r="54" spans="4:56" s="195" customFormat="1">
      <c r="D54" s="174" t="s">
        <v>180</v>
      </c>
      <c r="E54" s="168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8"/>
      <c r="W54" s="166"/>
      <c r="X54" s="166"/>
      <c r="Y54" s="168"/>
      <c r="Z54" s="166"/>
      <c r="AA54" s="166"/>
      <c r="AB54" s="166"/>
      <c r="AC54" s="166"/>
      <c r="AD54" s="168"/>
      <c r="AE54" s="166"/>
      <c r="AF54" s="168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6"/>
      <c r="AR54" s="166"/>
      <c r="AS54" s="166"/>
      <c r="AT54" s="166"/>
      <c r="AU54" s="166"/>
      <c r="AV54" s="166"/>
      <c r="AW54" s="166"/>
      <c r="AX54" s="166"/>
      <c r="AY54" s="166"/>
      <c r="AZ54" s="166"/>
      <c r="BA54" s="166"/>
      <c r="BB54" s="166"/>
      <c r="BC54" s="166"/>
      <c r="BD54" s="166"/>
    </row>
    <row r="55" spans="4:56" s="197" customFormat="1">
      <c r="D55" s="204" t="s">
        <v>51</v>
      </c>
      <c r="E55" s="168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336"/>
      <c r="R55" s="336"/>
      <c r="S55" s="205"/>
      <c r="T55" s="205"/>
      <c r="U55" s="205"/>
      <c r="V55" s="168"/>
      <c r="W55" s="205"/>
      <c r="X55" s="205"/>
      <c r="Y55" s="168"/>
      <c r="Z55" s="205"/>
      <c r="AA55" s="205"/>
      <c r="AB55" s="205"/>
      <c r="AC55" s="205"/>
      <c r="AD55" s="168"/>
      <c r="AE55" s="205"/>
      <c r="AF55" s="168"/>
      <c r="AG55" s="205"/>
      <c r="AH55" s="166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  <c r="AS55" s="205"/>
      <c r="AT55" s="205"/>
      <c r="AU55" s="205"/>
      <c r="AV55" s="205"/>
      <c r="AW55" s="205"/>
      <c r="AX55" s="205"/>
      <c r="AY55" s="205"/>
      <c r="AZ55" s="205"/>
      <c r="BA55" s="205"/>
      <c r="BB55" s="205"/>
      <c r="BC55" s="205"/>
      <c r="BD55" s="205"/>
    </row>
    <row r="56" spans="4:56">
      <c r="D56" s="183" t="s">
        <v>87</v>
      </c>
      <c r="F56" s="184"/>
      <c r="G56" s="184"/>
      <c r="H56" s="184"/>
      <c r="I56" s="184"/>
      <c r="J56" s="184">
        <v>0</v>
      </c>
      <c r="K56" s="184">
        <v>0</v>
      </c>
      <c r="L56" s="184">
        <v>0</v>
      </c>
      <c r="M56" s="184">
        <v>0</v>
      </c>
      <c r="N56" s="184">
        <v>0</v>
      </c>
      <c r="O56" s="184">
        <v>0</v>
      </c>
      <c r="P56" s="184">
        <v>0</v>
      </c>
      <c r="Q56" s="184">
        <v>0</v>
      </c>
      <c r="R56" s="184">
        <v>0</v>
      </c>
      <c r="S56" s="184">
        <v>0</v>
      </c>
      <c r="T56" s="184">
        <v>0</v>
      </c>
      <c r="U56" s="184">
        <v>0</v>
      </c>
      <c r="W56" s="184">
        <f t="shared" ref="W56:W61" si="111">F56</f>
        <v>0</v>
      </c>
      <c r="X56" s="184">
        <f t="shared" ref="X56:X61" si="112">I56</f>
        <v>0</v>
      </c>
      <c r="Z56" s="184">
        <f t="shared" ref="Z56:Z61" si="113">L56</f>
        <v>0</v>
      </c>
      <c r="AA56" s="184">
        <f t="shared" ref="AA56:AA61" si="114">O56</f>
        <v>0</v>
      </c>
      <c r="AB56" s="184">
        <f t="shared" ref="AB56:AC61" si="115">R56</f>
        <v>0</v>
      </c>
      <c r="AC56" s="184">
        <f t="shared" ref="AC56:AC59" si="116">U56</f>
        <v>0</v>
      </c>
      <c r="AE56" s="184">
        <f t="shared" ref="AE56:AE61" si="117">I56</f>
        <v>0</v>
      </c>
      <c r="AG56" s="184">
        <f t="shared" ref="AG56:AG61" si="118">N56</f>
        <v>0</v>
      </c>
    </row>
    <row r="57" spans="4:56" s="197" customFormat="1">
      <c r="D57" s="183" t="s">
        <v>88</v>
      </c>
      <c r="E57" s="196"/>
      <c r="F57" s="184">
        <f>'CIFRAS EEFF'!D35</f>
        <v>178672729.06999999</v>
      </c>
      <c r="G57" s="184">
        <f>'CIFRAS EEFF'!E35</f>
        <v>297405714.66000003</v>
      </c>
      <c r="H57" s="184">
        <f>'CIFRAS EEFF'!F35</f>
        <v>321473108.27999997</v>
      </c>
      <c r="I57" s="184" t="e">
        <f>'CIFRAS EEFF'!#REF!</f>
        <v>#REF!</v>
      </c>
      <c r="J57" s="184">
        <f>'CIFRAS EEFF'!G35</f>
        <v>130111776</v>
      </c>
      <c r="K57" s="184">
        <f>'CIFRAS EEFF'!H35</f>
        <v>109320038</v>
      </c>
      <c r="L57" s="184">
        <f>'CIFRAS EEFF'!I35</f>
        <v>190969397</v>
      </c>
      <c r="M57" s="184">
        <f>'CIFRAS EEFF'!J35</f>
        <v>188336511</v>
      </c>
      <c r="N57" s="184">
        <f>'CIFRAS EEFF'!K35</f>
        <v>244505252</v>
      </c>
      <c r="O57" s="184">
        <f>'CIFRAS EEFF'!L35</f>
        <v>363400350</v>
      </c>
      <c r="P57" s="184">
        <f>'CIFRAS EEFF'!M35</f>
        <v>195606484</v>
      </c>
      <c r="Q57" s="184">
        <f>'CIFRAS EEFF'!N35</f>
        <v>375965174</v>
      </c>
      <c r="R57" s="184">
        <f>'CIFRAS EEFF'!O35</f>
        <v>290214402</v>
      </c>
      <c r="S57" s="184" t="e">
        <f>'CIFRAS EEFF'!#REF!</f>
        <v>#REF!</v>
      </c>
      <c r="T57" s="184" t="e">
        <f>'CIFRAS EEFF'!#REF!</f>
        <v>#REF!</v>
      </c>
      <c r="U57" s="184" t="e">
        <f>'CIFRAS EEFF'!#REF!</f>
        <v>#REF!</v>
      </c>
      <c r="V57" s="196"/>
      <c r="W57" s="184">
        <f t="shared" si="111"/>
        <v>178672729.06999999</v>
      </c>
      <c r="X57" s="184" t="e">
        <f t="shared" si="112"/>
        <v>#REF!</v>
      </c>
      <c r="Y57" s="196"/>
      <c r="Z57" s="184">
        <f t="shared" si="113"/>
        <v>190969397</v>
      </c>
      <c r="AA57" s="184">
        <f t="shared" si="114"/>
        <v>363400350</v>
      </c>
      <c r="AB57" s="184">
        <f t="shared" si="115"/>
        <v>290214402</v>
      </c>
      <c r="AC57" s="184" t="e">
        <f t="shared" si="115"/>
        <v>#REF!</v>
      </c>
      <c r="AD57" s="196"/>
      <c r="AE57" s="184" t="e">
        <f t="shared" si="117"/>
        <v>#REF!</v>
      </c>
      <c r="AF57" s="196"/>
      <c r="AG57" s="184">
        <f t="shared" si="118"/>
        <v>244505252</v>
      </c>
      <c r="AH57" s="199"/>
    </row>
    <row r="58" spans="4:56" s="197" customFormat="1">
      <c r="D58" s="183" t="s">
        <v>89</v>
      </c>
      <c r="E58" s="196"/>
      <c r="F58" s="184">
        <f>'CIFRAS EEFF'!D36</f>
        <v>71765640</v>
      </c>
      <c r="G58" s="184">
        <f>'CIFRAS EEFF'!E36</f>
        <v>81820458.959999993</v>
      </c>
      <c r="H58" s="184">
        <f>'CIFRAS EEFF'!F36</f>
        <v>27631326</v>
      </c>
      <c r="I58" s="184" t="e">
        <f>'CIFRAS EEFF'!#REF!</f>
        <v>#REF!</v>
      </c>
      <c r="J58" s="184">
        <f>'CIFRAS EEFF'!G36</f>
        <v>27585406.739999998</v>
      </c>
      <c r="K58" s="184">
        <f>'CIFRAS EEFF'!H36</f>
        <v>24399516.739999998</v>
      </c>
      <c r="L58" s="184">
        <f>'CIFRAS EEFF'!I36</f>
        <v>32437323.739999998</v>
      </c>
      <c r="M58" s="184">
        <f>'CIFRAS EEFF'!J36</f>
        <v>41308953.380000003</v>
      </c>
      <c r="N58" s="184">
        <f>'CIFRAS EEFF'!K36</f>
        <v>49842328.380000003</v>
      </c>
      <c r="O58" s="184">
        <f>'CIFRAS EEFF'!L36</f>
        <v>50184857</v>
      </c>
      <c r="P58" s="184">
        <f>'CIFRAS EEFF'!M36</f>
        <v>20999282.870000001</v>
      </c>
      <c r="Q58" s="184">
        <f>'CIFRAS EEFF'!N36</f>
        <v>24911521</v>
      </c>
      <c r="R58" s="184">
        <f>'CIFRAS EEFF'!O36</f>
        <v>46776916</v>
      </c>
      <c r="S58" s="184" t="e">
        <f>'CIFRAS EEFF'!#REF!</f>
        <v>#REF!</v>
      </c>
      <c r="T58" s="184" t="e">
        <f>'CIFRAS EEFF'!#REF!</f>
        <v>#REF!</v>
      </c>
      <c r="U58" s="184" t="e">
        <f>'CIFRAS EEFF'!#REF!</f>
        <v>#REF!</v>
      </c>
      <c r="V58" s="196"/>
      <c r="W58" s="184">
        <f t="shared" si="111"/>
        <v>71765640</v>
      </c>
      <c r="X58" s="184" t="e">
        <f t="shared" si="112"/>
        <v>#REF!</v>
      </c>
      <c r="Y58" s="196"/>
      <c r="Z58" s="184">
        <f t="shared" si="113"/>
        <v>32437323.739999998</v>
      </c>
      <c r="AA58" s="184">
        <f t="shared" si="114"/>
        <v>50184857</v>
      </c>
      <c r="AB58" s="184">
        <f t="shared" si="115"/>
        <v>46776916</v>
      </c>
      <c r="AC58" s="184" t="e">
        <f t="shared" si="115"/>
        <v>#REF!</v>
      </c>
      <c r="AD58" s="196"/>
      <c r="AE58" s="184" t="e">
        <f t="shared" si="117"/>
        <v>#REF!</v>
      </c>
      <c r="AF58" s="196"/>
      <c r="AG58" s="184">
        <f t="shared" si="118"/>
        <v>49842328.380000003</v>
      </c>
      <c r="AH58" s="199"/>
    </row>
    <row r="59" spans="4:56" s="197" customFormat="1">
      <c r="D59" s="183" t="s">
        <v>90</v>
      </c>
      <c r="E59" s="196"/>
      <c r="F59" s="184"/>
      <c r="G59" s="184"/>
      <c r="H59" s="184"/>
      <c r="I59" s="184"/>
      <c r="J59" s="184">
        <v>0</v>
      </c>
      <c r="K59" s="184">
        <v>0</v>
      </c>
      <c r="L59" s="184">
        <v>0</v>
      </c>
      <c r="M59" s="184">
        <v>0</v>
      </c>
      <c r="N59" s="184">
        <v>0</v>
      </c>
      <c r="O59" s="184">
        <v>0</v>
      </c>
      <c r="P59" s="184">
        <v>0</v>
      </c>
      <c r="Q59" s="184">
        <v>0</v>
      </c>
      <c r="R59" s="184">
        <v>0</v>
      </c>
      <c r="S59" s="184">
        <v>0</v>
      </c>
      <c r="T59" s="184">
        <v>0</v>
      </c>
      <c r="U59" s="184">
        <v>0</v>
      </c>
      <c r="V59" s="196"/>
      <c r="W59" s="184">
        <f t="shared" si="111"/>
        <v>0</v>
      </c>
      <c r="X59" s="184">
        <f t="shared" si="112"/>
        <v>0</v>
      </c>
      <c r="Y59" s="196"/>
      <c r="Z59" s="184">
        <f t="shared" si="113"/>
        <v>0</v>
      </c>
      <c r="AA59" s="184">
        <f t="shared" si="114"/>
        <v>0</v>
      </c>
      <c r="AB59" s="184">
        <f t="shared" si="115"/>
        <v>0</v>
      </c>
      <c r="AC59" s="184">
        <f t="shared" si="116"/>
        <v>0</v>
      </c>
      <c r="AD59" s="196"/>
      <c r="AE59" s="184">
        <f t="shared" si="117"/>
        <v>0</v>
      </c>
      <c r="AF59" s="196"/>
      <c r="AG59" s="184">
        <f t="shared" si="118"/>
        <v>0</v>
      </c>
      <c r="AH59" s="199"/>
    </row>
    <row r="60" spans="4:56" s="197" customFormat="1">
      <c r="D60" s="183" t="s">
        <v>91</v>
      </c>
      <c r="E60" s="196"/>
      <c r="F60" s="184">
        <f>'CIFRAS EEFF'!D37</f>
        <v>6854031.6799999997</v>
      </c>
      <c r="G60" s="184">
        <f>'CIFRAS EEFF'!E37</f>
        <v>24944615.68</v>
      </c>
      <c r="H60" s="184">
        <f>'CIFRAS EEFF'!F37</f>
        <v>35765376.039999999</v>
      </c>
      <c r="I60" s="184" t="e">
        <f>'CIFRAS EEFF'!#REF!</f>
        <v>#REF!</v>
      </c>
      <c r="J60" s="184">
        <f>'CIFRAS EEFF'!G37</f>
        <v>13823177.640000001</v>
      </c>
      <c r="K60" s="184">
        <f>'CIFRAS EEFF'!H37</f>
        <v>13521015.640000001</v>
      </c>
      <c r="L60" s="184">
        <f>'CIFRAS EEFF'!I37</f>
        <v>44261254.640000001</v>
      </c>
      <c r="M60" s="184">
        <f>'CIFRAS EEFF'!J37</f>
        <v>65140451.640000001</v>
      </c>
      <c r="N60" s="184">
        <f>'CIFRAS EEFF'!K37</f>
        <v>16787114.640000001</v>
      </c>
      <c r="O60" s="184">
        <f>'CIFRAS EEFF'!L37</f>
        <v>38211446</v>
      </c>
      <c r="P60" s="184">
        <f>'CIFRAS EEFF'!M37</f>
        <v>68844835.640000001</v>
      </c>
      <c r="Q60" s="184">
        <f>'CIFRAS EEFF'!N37</f>
        <v>83195045</v>
      </c>
      <c r="R60" s="184">
        <f>'CIFRAS EEFF'!O37</f>
        <v>20314805</v>
      </c>
      <c r="S60" s="184" t="e">
        <f>'CIFRAS EEFF'!#REF!</f>
        <v>#REF!</v>
      </c>
      <c r="T60" s="184" t="e">
        <f>'CIFRAS EEFF'!#REF!</f>
        <v>#REF!</v>
      </c>
      <c r="U60" s="184" t="e">
        <f>'CIFRAS EEFF'!#REF!</f>
        <v>#REF!</v>
      </c>
      <c r="V60" s="196"/>
      <c r="W60" s="184">
        <f t="shared" si="111"/>
        <v>6854031.6799999997</v>
      </c>
      <c r="X60" s="184" t="e">
        <f t="shared" si="112"/>
        <v>#REF!</v>
      </c>
      <c r="Y60" s="196"/>
      <c r="Z60" s="184">
        <f t="shared" si="113"/>
        <v>44261254.640000001</v>
      </c>
      <c r="AA60" s="184">
        <f t="shared" si="114"/>
        <v>38211446</v>
      </c>
      <c r="AB60" s="184">
        <f t="shared" si="115"/>
        <v>20314805</v>
      </c>
      <c r="AC60" s="184" t="e">
        <f t="shared" si="115"/>
        <v>#REF!</v>
      </c>
      <c r="AD60" s="196"/>
      <c r="AE60" s="184" t="e">
        <f t="shared" si="117"/>
        <v>#REF!</v>
      </c>
      <c r="AF60" s="196"/>
      <c r="AG60" s="184">
        <f t="shared" si="118"/>
        <v>16787114.640000001</v>
      </c>
      <c r="AH60" s="199"/>
    </row>
    <row r="61" spans="4:56" s="197" customFormat="1">
      <c r="D61" s="183" t="s">
        <v>178</v>
      </c>
      <c r="E61" s="196"/>
      <c r="F61" s="184">
        <f>'CIFRAS EEFF'!D38</f>
        <v>1716000</v>
      </c>
      <c r="G61" s="184">
        <f>'CIFRAS EEFF'!E38</f>
        <v>5583902</v>
      </c>
      <c r="H61" s="184">
        <f>'CIFRAS EEFF'!F38</f>
        <v>0</v>
      </c>
      <c r="I61" s="184" t="e">
        <f>'CIFRAS EEFF'!#REF!</f>
        <v>#REF!</v>
      </c>
      <c r="J61" s="184">
        <f>'CIFRAS EEFF'!G38</f>
        <v>19368296</v>
      </c>
      <c r="K61" s="184">
        <f>'CIFRAS EEFF'!H38</f>
        <v>2898552</v>
      </c>
      <c r="L61" s="184">
        <f>'CIFRAS EEFF'!I38</f>
        <v>2570392</v>
      </c>
      <c r="M61" s="184">
        <f>'CIFRAS EEFF'!J38</f>
        <v>3130343</v>
      </c>
      <c r="N61" s="184">
        <f>'CIFRAS EEFF'!K38</f>
        <v>3712946</v>
      </c>
      <c r="O61" s="184">
        <f>'CIFRAS EEFF'!L38</f>
        <v>2212946</v>
      </c>
      <c r="P61" s="184">
        <f>'CIFRAS EEFF'!M38</f>
        <v>1854023</v>
      </c>
      <c r="Q61" s="184">
        <f>'CIFRAS EEFF'!N38</f>
        <v>7802650</v>
      </c>
      <c r="R61" s="184">
        <f>'CIFRAS EEFF'!O38</f>
        <v>1854023</v>
      </c>
      <c r="S61" s="184" t="e">
        <f>'CIFRAS EEFF'!#REF!</f>
        <v>#REF!</v>
      </c>
      <c r="T61" s="184" t="e">
        <f>'CIFRAS EEFF'!#REF!</f>
        <v>#REF!</v>
      </c>
      <c r="U61" s="184" t="e">
        <f>'CIFRAS EEFF'!#REF!</f>
        <v>#REF!</v>
      </c>
      <c r="V61" s="196"/>
      <c r="W61" s="184">
        <f t="shared" si="111"/>
        <v>1716000</v>
      </c>
      <c r="X61" s="184" t="e">
        <f t="shared" si="112"/>
        <v>#REF!</v>
      </c>
      <c r="Y61" s="196"/>
      <c r="Z61" s="184">
        <f t="shared" si="113"/>
        <v>2570392</v>
      </c>
      <c r="AA61" s="184">
        <f t="shared" si="114"/>
        <v>2212946</v>
      </c>
      <c r="AB61" s="184">
        <f t="shared" si="115"/>
        <v>1854023</v>
      </c>
      <c r="AC61" s="184" t="e">
        <f t="shared" ref="AC61" si="119">S61</f>
        <v>#REF!</v>
      </c>
      <c r="AD61" s="184" t="e">
        <f t="shared" ref="AD61" si="120">T61</f>
        <v>#REF!</v>
      </c>
      <c r="AE61" s="184" t="e">
        <f t="shared" si="117"/>
        <v>#REF!</v>
      </c>
      <c r="AF61" s="196"/>
      <c r="AG61" s="184">
        <f t="shared" si="118"/>
        <v>3712946</v>
      </c>
      <c r="AH61" s="199"/>
    </row>
    <row r="62" spans="4:56" s="197" customFormat="1">
      <c r="D62" s="198" t="s">
        <v>92</v>
      </c>
      <c r="E62" s="196"/>
      <c r="F62" s="193">
        <f>F56+F57+F58+F59+F60+F61</f>
        <v>259008400.75</v>
      </c>
      <c r="G62" s="193">
        <f t="shared" ref="G62:Q62" si="121">G56+G57+G58+G59+G60+G61</f>
        <v>409754691.30000001</v>
      </c>
      <c r="H62" s="193">
        <f t="shared" si="121"/>
        <v>384869810.31999999</v>
      </c>
      <c r="I62" s="193" t="e">
        <f t="shared" si="121"/>
        <v>#REF!</v>
      </c>
      <c r="J62" s="193">
        <f t="shared" si="121"/>
        <v>190888656.38</v>
      </c>
      <c r="K62" s="193">
        <f t="shared" si="121"/>
        <v>150139122.38</v>
      </c>
      <c r="L62" s="193">
        <f t="shared" si="121"/>
        <v>270238367.38</v>
      </c>
      <c r="M62" s="193">
        <f t="shared" si="121"/>
        <v>297916259.01999998</v>
      </c>
      <c r="N62" s="193">
        <f t="shared" si="121"/>
        <v>314847641.01999998</v>
      </c>
      <c r="O62" s="193">
        <f t="shared" si="121"/>
        <v>454009599</v>
      </c>
      <c r="P62" s="193">
        <f t="shared" si="121"/>
        <v>287304625.50999999</v>
      </c>
      <c r="Q62" s="193">
        <f t="shared" si="121"/>
        <v>491874390</v>
      </c>
      <c r="R62" s="193">
        <f t="shared" ref="R62" si="122">R56+R57+R58+R59+R60+R61</f>
        <v>359160146</v>
      </c>
      <c r="S62" s="193" t="e">
        <f>S56+S57+S58+S59+S60+S61</f>
        <v>#REF!</v>
      </c>
      <c r="T62" s="193" t="e">
        <f t="shared" ref="T62:U62" si="123">T56+T57+T58+T59+T60+T61</f>
        <v>#REF!</v>
      </c>
      <c r="U62" s="193" t="e">
        <f t="shared" si="123"/>
        <v>#REF!</v>
      </c>
      <c r="V62" s="196"/>
      <c r="W62" s="193">
        <f t="shared" ref="W62" si="124">W56+W57+W58+W59+W60+W61</f>
        <v>259008400.75</v>
      </c>
      <c r="X62" s="193" t="e">
        <f t="shared" ref="X62" si="125">X56+X57+X58+X59+X60+X61</f>
        <v>#REF!</v>
      </c>
      <c r="Y62" s="196"/>
      <c r="Z62" s="193">
        <f t="shared" ref="Z62" si="126">Z56+Z57+Z58+Z59+Z60+Z61</f>
        <v>270238367.38</v>
      </c>
      <c r="AA62" s="193">
        <f t="shared" ref="AA62" si="127">AA56+AA57+AA58+AA59+AA60+AA61</f>
        <v>454009599</v>
      </c>
      <c r="AB62" s="193">
        <f t="shared" ref="AB62" si="128">AB56+AB57+AB58+AB59+AB60+AB61</f>
        <v>359160146</v>
      </c>
      <c r="AC62" s="193" t="e">
        <f t="shared" ref="AC62" si="129">AC56+AC57+AC58+AC59+AC60+AC61</f>
        <v>#REF!</v>
      </c>
      <c r="AD62" s="196"/>
      <c r="AE62" s="193" t="e">
        <f t="shared" ref="AE62" si="130">AE56+AE57+AE58+AE59+AE60+AE61</f>
        <v>#REF!</v>
      </c>
      <c r="AF62" s="196"/>
      <c r="AG62" s="193">
        <f t="shared" ref="AG62" si="131">AG56+AG57+AG58+AG59+AG60+AG61</f>
        <v>314847641.01999998</v>
      </c>
      <c r="AH62" s="199"/>
    </row>
    <row r="63" spans="4:56" s="197" customFormat="1">
      <c r="D63" s="183" t="str">
        <f>'[3]INFO DE HUGO S'!BP50</f>
        <v>CREDITOS A LARGO PLAZO</v>
      </c>
      <c r="E63" s="196"/>
      <c r="F63" s="184"/>
      <c r="G63" s="184"/>
      <c r="H63" s="184"/>
      <c r="I63" s="184"/>
      <c r="J63" s="184">
        <v>0</v>
      </c>
      <c r="K63" s="184">
        <v>0</v>
      </c>
      <c r="L63" s="184">
        <v>0</v>
      </c>
      <c r="M63" s="184">
        <v>0</v>
      </c>
      <c r="N63" s="184">
        <v>0</v>
      </c>
      <c r="O63" s="184">
        <v>0</v>
      </c>
      <c r="P63" s="184">
        <v>0</v>
      </c>
      <c r="Q63" s="184">
        <v>0</v>
      </c>
      <c r="R63" s="184">
        <v>0</v>
      </c>
      <c r="S63" s="184">
        <v>0</v>
      </c>
      <c r="T63" s="184">
        <v>0</v>
      </c>
      <c r="U63" s="184">
        <v>0</v>
      </c>
      <c r="V63" s="196"/>
      <c r="W63" s="184">
        <f>F63</f>
        <v>0</v>
      </c>
      <c r="X63" s="184">
        <f>I63</f>
        <v>0</v>
      </c>
      <c r="Y63" s="196"/>
      <c r="Z63" s="184">
        <f>L63</f>
        <v>0</v>
      </c>
      <c r="AA63" s="184">
        <f>O63</f>
        <v>0</v>
      </c>
      <c r="AB63" s="184">
        <f>R63</f>
        <v>0</v>
      </c>
      <c r="AC63" s="184">
        <f>U63</f>
        <v>0</v>
      </c>
      <c r="AD63" s="196"/>
      <c r="AE63" s="184">
        <f>I63</f>
        <v>0</v>
      </c>
      <c r="AF63" s="196"/>
      <c r="AG63" s="184">
        <f>N63</f>
        <v>0</v>
      </c>
      <c r="AH63" s="199"/>
    </row>
    <row r="64" spans="4:56" s="197" customFormat="1">
      <c r="D64" s="183" t="s">
        <v>179</v>
      </c>
      <c r="E64" s="196"/>
      <c r="F64" s="184">
        <f>'CIFRAS EEFF'!D39</f>
        <v>1917784</v>
      </c>
      <c r="G64" s="184">
        <f>'CIFRAS EEFF'!E39</f>
        <v>19981074</v>
      </c>
      <c r="H64" s="184">
        <f>'CIFRAS EEFF'!F39</f>
        <v>3228603</v>
      </c>
      <c r="I64" s="184" t="e">
        <f>'CIFRAS EEFF'!#REF!</f>
        <v>#REF!</v>
      </c>
      <c r="J64" s="184">
        <f>'CIFRAS EEFF'!G39+'CIFRAS EEFF'!G40</f>
        <v>42529550</v>
      </c>
      <c r="K64" s="184">
        <f>'CIFRAS EEFF'!H39+'CIFRAS EEFF'!H40</f>
        <v>11954238</v>
      </c>
      <c r="L64" s="184">
        <f>'CIFRAS EEFF'!I39+'CIFRAS EEFF'!I40</f>
        <v>142850345.80000001</v>
      </c>
      <c r="M64" s="184">
        <f>'CIFRAS EEFF'!J39+'CIFRAS EEFF'!J40</f>
        <v>75276714.799999997</v>
      </c>
      <c r="N64" s="184">
        <f>'CIFRAS EEFF'!K39+'CIFRAS EEFF'!K40</f>
        <v>47864430</v>
      </c>
      <c r="O64" s="184">
        <f>'CIFRAS EEFF'!L39+'CIFRAS EEFF'!L40</f>
        <v>28878531</v>
      </c>
      <c r="P64" s="184">
        <f>'CIFRAS EEFF'!M39+'CIFRAS EEFF'!M40</f>
        <v>98782827</v>
      </c>
      <c r="Q64" s="184">
        <f>'CIFRAS EEFF'!N39+'CIFRAS EEFF'!N40</f>
        <v>67445904</v>
      </c>
      <c r="R64" s="184">
        <f>'CIFRAS EEFF'!O39+'CIFRAS EEFF'!O40</f>
        <v>52452793</v>
      </c>
      <c r="S64" s="184" t="e">
        <f>'CIFRAS EEFF'!#REF!+'CIFRAS EEFF'!#REF!</f>
        <v>#REF!</v>
      </c>
      <c r="T64" s="184" t="e">
        <f>'CIFRAS EEFF'!#REF!+'CIFRAS EEFF'!#REF!</f>
        <v>#REF!</v>
      </c>
      <c r="U64" s="184" t="e">
        <f>'CIFRAS EEFF'!#REF!+'CIFRAS EEFF'!#REF!</f>
        <v>#REF!</v>
      </c>
      <c r="V64" s="196"/>
      <c r="W64" s="184">
        <f>F64</f>
        <v>1917784</v>
      </c>
      <c r="X64" s="184" t="e">
        <f>I64</f>
        <v>#REF!</v>
      </c>
      <c r="Y64" s="196"/>
      <c r="Z64" s="184">
        <f>L64</f>
        <v>142850345.80000001</v>
      </c>
      <c r="AA64" s="184">
        <f>O64</f>
        <v>28878531</v>
      </c>
      <c r="AB64" s="184">
        <f>R64</f>
        <v>52452793</v>
      </c>
      <c r="AC64" s="184" t="e">
        <f>S64</f>
        <v>#REF!</v>
      </c>
      <c r="AD64" s="196"/>
      <c r="AE64" s="184" t="e">
        <f>I64</f>
        <v>#REF!</v>
      </c>
      <c r="AF64" s="196"/>
      <c r="AG64" s="184">
        <f>N64</f>
        <v>47864430</v>
      </c>
      <c r="AH64" s="199"/>
    </row>
    <row r="65" spans="2:34">
      <c r="D65" s="198" t="s">
        <v>93</v>
      </c>
      <c r="F65" s="193">
        <f>F63+F64</f>
        <v>1917784</v>
      </c>
      <c r="G65" s="193">
        <f t="shared" ref="G65:Q65" si="132">G63+G64</f>
        <v>19981074</v>
      </c>
      <c r="H65" s="193">
        <f t="shared" si="132"/>
        <v>3228603</v>
      </c>
      <c r="I65" s="193" t="e">
        <f t="shared" si="132"/>
        <v>#REF!</v>
      </c>
      <c r="J65" s="193">
        <f t="shared" si="132"/>
        <v>42529550</v>
      </c>
      <c r="K65" s="193">
        <f t="shared" si="132"/>
        <v>11954238</v>
      </c>
      <c r="L65" s="193">
        <f t="shared" si="132"/>
        <v>142850345.80000001</v>
      </c>
      <c r="M65" s="193">
        <f t="shared" si="132"/>
        <v>75276714.799999997</v>
      </c>
      <c r="N65" s="193">
        <f t="shared" si="132"/>
        <v>47864430</v>
      </c>
      <c r="O65" s="193">
        <f t="shared" si="132"/>
        <v>28878531</v>
      </c>
      <c r="P65" s="193">
        <f t="shared" si="132"/>
        <v>98782827</v>
      </c>
      <c r="Q65" s="193">
        <f t="shared" si="132"/>
        <v>67445904</v>
      </c>
      <c r="R65" s="193">
        <f t="shared" ref="R65" si="133">R63+R64</f>
        <v>52452793</v>
      </c>
      <c r="S65" s="193" t="e">
        <f t="shared" ref="S65:U65" si="134">S63+S64</f>
        <v>#REF!</v>
      </c>
      <c r="T65" s="193" t="e">
        <f t="shared" si="134"/>
        <v>#REF!</v>
      </c>
      <c r="U65" s="193" t="e">
        <f t="shared" si="134"/>
        <v>#REF!</v>
      </c>
      <c r="W65" s="193">
        <f t="shared" ref="W65" si="135">W63+W64</f>
        <v>1917784</v>
      </c>
      <c r="X65" s="193" t="e">
        <f t="shared" ref="X65" si="136">X63+X64</f>
        <v>#REF!</v>
      </c>
      <c r="Z65" s="193">
        <f t="shared" ref="Z65" si="137">Z63+Z64</f>
        <v>142850345.80000001</v>
      </c>
      <c r="AA65" s="193">
        <f t="shared" ref="AA65" si="138">AA63+AA64</f>
        <v>28878531</v>
      </c>
      <c r="AB65" s="193">
        <f t="shared" ref="AB65" si="139">AB63+AB64</f>
        <v>52452793</v>
      </c>
      <c r="AC65" s="193" t="e">
        <f t="shared" ref="AC65" si="140">AC63+AC64</f>
        <v>#REF!</v>
      </c>
      <c r="AE65" s="193" t="e">
        <f t="shared" ref="AE65" si="141">AE63+AE64</f>
        <v>#REF!</v>
      </c>
      <c r="AG65" s="193">
        <f t="shared" ref="AG65" si="142">AG63+AG64</f>
        <v>47864430</v>
      </c>
    </row>
    <row r="66" spans="2:34">
      <c r="D66" s="198" t="s">
        <v>94</v>
      </c>
      <c r="F66" s="193">
        <f>F62+F65</f>
        <v>260926184.75</v>
      </c>
      <c r="G66" s="193">
        <f t="shared" ref="G66:Q66" si="143">G62+G65</f>
        <v>429735765.30000001</v>
      </c>
      <c r="H66" s="193">
        <f t="shared" si="143"/>
        <v>388098413.31999999</v>
      </c>
      <c r="I66" s="193" t="e">
        <f t="shared" si="143"/>
        <v>#REF!</v>
      </c>
      <c r="J66" s="193">
        <f t="shared" si="143"/>
        <v>233418206.38</v>
      </c>
      <c r="K66" s="193">
        <f t="shared" si="143"/>
        <v>162093360.38</v>
      </c>
      <c r="L66" s="193">
        <f t="shared" si="143"/>
        <v>413088713.18000001</v>
      </c>
      <c r="M66" s="193">
        <f t="shared" si="143"/>
        <v>373192973.81999999</v>
      </c>
      <c r="N66" s="193">
        <f t="shared" si="143"/>
        <v>362712071.01999998</v>
      </c>
      <c r="O66" s="193">
        <f t="shared" si="143"/>
        <v>482888130</v>
      </c>
      <c r="P66" s="193">
        <f t="shared" si="143"/>
        <v>386087452.50999999</v>
      </c>
      <c r="Q66" s="193">
        <f t="shared" si="143"/>
        <v>559320294</v>
      </c>
      <c r="R66" s="193">
        <f t="shared" ref="R66" si="144">R62+R65</f>
        <v>411612939</v>
      </c>
      <c r="S66" s="193" t="e">
        <f t="shared" ref="S66:U66" si="145">S62+S65</f>
        <v>#REF!</v>
      </c>
      <c r="T66" s="193" t="e">
        <f t="shared" si="145"/>
        <v>#REF!</v>
      </c>
      <c r="U66" s="193" t="e">
        <f t="shared" si="145"/>
        <v>#REF!</v>
      </c>
      <c r="W66" s="193">
        <f t="shared" ref="W66" si="146">W62+W65</f>
        <v>260926184.75</v>
      </c>
      <c r="X66" s="193" t="e">
        <f t="shared" ref="X66" si="147">X62+X65</f>
        <v>#REF!</v>
      </c>
      <c r="Z66" s="193">
        <f t="shared" ref="Z66" si="148">Z62+Z65</f>
        <v>413088713.18000001</v>
      </c>
      <c r="AA66" s="193">
        <f t="shared" ref="AA66" si="149">AA62+AA65</f>
        <v>482888130</v>
      </c>
      <c r="AB66" s="193">
        <f t="shared" ref="AB66" si="150">AB62+AB65</f>
        <v>411612939</v>
      </c>
      <c r="AC66" s="193" t="e">
        <f t="shared" ref="AC66" si="151">AC62+AC65</f>
        <v>#REF!</v>
      </c>
      <c r="AE66" s="193" t="e">
        <f t="shared" ref="AE66" si="152">AE62+AE65</f>
        <v>#REF!</v>
      </c>
      <c r="AG66" s="193">
        <f t="shared" ref="AG66" si="153">AG62+AG65</f>
        <v>362712071.01999998</v>
      </c>
    </row>
    <row r="67" spans="2:34" s="189" customFormat="1" ht="25.5">
      <c r="D67" s="185" t="s">
        <v>95</v>
      </c>
      <c r="E67" s="186"/>
      <c r="F67" s="190" t="e">
        <f t="shared" ref="F67" si="154">F66/F$46</f>
        <v>#REF!</v>
      </c>
      <c r="G67" s="190" t="e">
        <f t="shared" ref="G67:Q67" si="155">G66/G$46</f>
        <v>#REF!</v>
      </c>
      <c r="H67" s="190" t="e">
        <f t="shared" si="155"/>
        <v>#REF!</v>
      </c>
      <c r="I67" s="190" t="e">
        <f t="shared" si="155"/>
        <v>#REF!</v>
      </c>
      <c r="J67" s="190">
        <f t="shared" si="155"/>
        <v>0.32308921523891176</v>
      </c>
      <c r="K67" s="190">
        <f t="shared" si="155"/>
        <v>0.27675105189162369</v>
      </c>
      <c r="L67" s="190">
        <f t="shared" si="155"/>
        <v>0.48558556488258287</v>
      </c>
      <c r="M67" s="190">
        <f t="shared" si="155"/>
        <v>0.4425611601290349</v>
      </c>
      <c r="N67" s="190">
        <f t="shared" si="155"/>
        <v>0.45056585362038321</v>
      </c>
      <c r="O67" s="190">
        <f t="shared" si="155"/>
        <v>0.52045602729910967</v>
      </c>
      <c r="P67" s="190">
        <f t="shared" si="155"/>
        <v>0.4581905271846019</v>
      </c>
      <c r="Q67" s="190">
        <f t="shared" si="155"/>
        <v>0.53323717044329999</v>
      </c>
      <c r="R67" s="190">
        <f t="shared" ref="R67" si="156">R66/R$46</f>
        <v>0.43946573967450475</v>
      </c>
      <c r="S67" s="190" t="e">
        <f t="shared" ref="S67:U67" si="157">S66/S$46</f>
        <v>#REF!</v>
      </c>
      <c r="T67" s="190" t="e">
        <f t="shared" si="157"/>
        <v>#REF!</v>
      </c>
      <c r="U67" s="190" t="e">
        <f t="shared" si="157"/>
        <v>#REF!</v>
      </c>
      <c r="V67" s="186"/>
      <c r="W67" s="190" t="e">
        <f>W66/W$46</f>
        <v>#REF!</v>
      </c>
      <c r="X67" s="190" t="e">
        <f>X66/X$46</f>
        <v>#REF!</v>
      </c>
      <c r="Y67" s="186"/>
      <c r="Z67" s="190" t="e">
        <f t="shared" ref="Z67:AC67" si="158">Z66/Z$46</f>
        <v>#REF!</v>
      </c>
      <c r="AA67" s="190" t="e">
        <f t="shared" si="158"/>
        <v>#REF!</v>
      </c>
      <c r="AB67" s="190" t="e">
        <f t="shared" si="158"/>
        <v>#REF!</v>
      </c>
      <c r="AC67" s="190" t="e">
        <f t="shared" si="158"/>
        <v>#REF!</v>
      </c>
      <c r="AD67" s="186"/>
      <c r="AE67" s="190" t="e">
        <f>AE66/AE$46</f>
        <v>#REF!</v>
      </c>
      <c r="AF67" s="186"/>
      <c r="AG67" s="190" t="e">
        <f>AG66/AG$46</f>
        <v>#REF!</v>
      </c>
      <c r="AH67" s="188"/>
    </row>
    <row r="68" spans="2:34" s="189" customFormat="1">
      <c r="D68" s="185" t="s">
        <v>96</v>
      </c>
      <c r="E68" s="186"/>
      <c r="F68" s="190">
        <f t="shared" ref="F68" si="159">F66/F$24</f>
        <v>1.0135237073369712</v>
      </c>
      <c r="G68" s="190">
        <f t="shared" ref="G68:Q68" si="160">G66/G$24</f>
        <v>0.83009177660046962</v>
      </c>
      <c r="H68" s="190">
        <f t="shared" si="160"/>
        <v>0.81118143734615167</v>
      </c>
      <c r="I68" s="190" t="e">
        <f t="shared" si="160"/>
        <v>#REF!</v>
      </c>
      <c r="J68" s="190">
        <f t="shared" si="160"/>
        <v>0.33634135662839731</v>
      </c>
      <c r="K68" s="190">
        <f t="shared" si="160"/>
        <v>0.29096677156439649</v>
      </c>
      <c r="L68" s="190">
        <f t="shared" si="160"/>
        <v>0.5029042212589564</v>
      </c>
      <c r="M68" s="190">
        <f t="shared" si="160"/>
        <v>0.45877220314122413</v>
      </c>
      <c r="N68" s="190">
        <f t="shared" si="160"/>
        <v>0.47666387241594727</v>
      </c>
      <c r="O68" s="190">
        <f t="shared" si="160"/>
        <v>0.5559173253099523</v>
      </c>
      <c r="P68" s="190">
        <f t="shared" si="160"/>
        <v>0.4922482531475863</v>
      </c>
      <c r="Q68" s="190">
        <f t="shared" si="160"/>
        <v>0.56436178295039496</v>
      </c>
      <c r="R68" s="190">
        <f t="shared" ref="R68" si="161">R66/R$24</f>
        <v>0.46793935135951931</v>
      </c>
      <c r="S68" s="190" t="e">
        <f t="shared" ref="S68:U68" si="162">S66/S$24</f>
        <v>#REF!</v>
      </c>
      <c r="T68" s="190" t="e">
        <f t="shared" si="162"/>
        <v>#REF!</v>
      </c>
      <c r="U68" s="190" t="e">
        <f t="shared" si="162"/>
        <v>#REF!</v>
      </c>
      <c r="V68" s="186"/>
      <c r="W68" s="190">
        <f t="shared" ref="W68:X68" si="163">W66/W$24</f>
        <v>1.0135237073369712</v>
      </c>
      <c r="X68" s="190" t="e">
        <f t="shared" si="163"/>
        <v>#REF!</v>
      </c>
      <c r="Y68" s="186"/>
      <c r="Z68" s="190">
        <f t="shared" ref="Z68:AC68" si="164">Z66/Z$24</f>
        <v>0.51503733420265219</v>
      </c>
      <c r="AA68" s="190">
        <f t="shared" si="164"/>
        <v>0.56822508339466338</v>
      </c>
      <c r="AB68" s="190">
        <f t="shared" si="164"/>
        <v>0.47886530151339307</v>
      </c>
      <c r="AC68" s="190" t="e">
        <f t="shared" si="164"/>
        <v>#REF!</v>
      </c>
      <c r="AD68" s="186"/>
      <c r="AE68" s="190" t="e">
        <f t="shared" ref="AE68" si="165">AE66/AE$24</f>
        <v>#REF!</v>
      </c>
      <c r="AF68" s="186"/>
      <c r="AG68" s="190">
        <f t="shared" ref="AG68" si="166">AG66/AG$24</f>
        <v>0.48751492530783974</v>
      </c>
      <c r="AH68" s="188"/>
    </row>
    <row r="69" spans="2:34" s="189" customFormat="1">
      <c r="D69" s="185" t="s">
        <v>97</v>
      </c>
      <c r="E69" s="186"/>
      <c r="F69" s="190">
        <f>(F56+F63)/F$83</f>
        <v>0</v>
      </c>
      <c r="G69" s="190">
        <f t="shared" ref="G69:Q69" si="167">(G56+G63)/G$83</f>
        <v>0</v>
      </c>
      <c r="H69" s="190">
        <f t="shared" si="167"/>
        <v>0</v>
      </c>
      <c r="I69" s="190" t="e">
        <f t="shared" si="167"/>
        <v>#REF!</v>
      </c>
      <c r="J69" s="190">
        <f t="shared" si="167"/>
        <v>0</v>
      </c>
      <c r="K69" s="190">
        <f t="shared" si="167"/>
        <v>0</v>
      </c>
      <c r="L69" s="190">
        <f t="shared" si="167"/>
        <v>0</v>
      </c>
      <c r="M69" s="190">
        <f t="shared" si="167"/>
        <v>0</v>
      </c>
      <c r="N69" s="190">
        <f t="shared" si="167"/>
        <v>0</v>
      </c>
      <c r="O69" s="190">
        <f t="shared" si="167"/>
        <v>0</v>
      </c>
      <c r="P69" s="190">
        <f t="shared" si="167"/>
        <v>0</v>
      </c>
      <c r="Q69" s="190">
        <f t="shared" si="167"/>
        <v>0</v>
      </c>
      <c r="R69" s="190">
        <f t="shared" ref="R69" si="168">(R56+R63)/R$83</f>
        <v>0</v>
      </c>
      <c r="S69" s="190" t="e">
        <f t="shared" ref="S69:U69" si="169">(S56+S63)/S$83</f>
        <v>#REF!</v>
      </c>
      <c r="T69" s="190" t="e">
        <f t="shared" si="169"/>
        <v>#REF!</v>
      </c>
      <c r="U69" s="190" t="e">
        <f t="shared" si="169"/>
        <v>#REF!</v>
      </c>
      <c r="V69" s="186"/>
      <c r="W69" s="190">
        <f>(W56+W63)/W$83</f>
        <v>0</v>
      </c>
      <c r="X69" s="190" t="e">
        <f>(X56+X63)/X$83</f>
        <v>#REF!</v>
      </c>
      <c r="Y69" s="186"/>
      <c r="Z69" s="190">
        <f t="shared" ref="Z69:AC69" si="170">(Z56+Z63)/Z$83</f>
        <v>0</v>
      </c>
      <c r="AA69" s="190">
        <f t="shared" si="170"/>
        <v>0</v>
      </c>
      <c r="AB69" s="190">
        <f t="shared" si="170"/>
        <v>0</v>
      </c>
      <c r="AC69" s="190" t="e">
        <f t="shared" si="170"/>
        <v>#REF!</v>
      </c>
      <c r="AD69" s="186"/>
      <c r="AE69" s="190" t="e">
        <f>(AE56+AE63)/AE$83</f>
        <v>#REF!</v>
      </c>
      <c r="AF69" s="186"/>
      <c r="AG69" s="190">
        <f>(AG56+AG63)/AG$83</f>
        <v>0</v>
      </c>
      <c r="AH69" s="188"/>
    </row>
    <row r="70" spans="2:34" s="206" customFormat="1">
      <c r="B70" s="189"/>
      <c r="D70" s="207" t="s">
        <v>98</v>
      </c>
      <c r="E70" s="208"/>
      <c r="F70" s="209">
        <f>F99/F$3</f>
        <v>3185711.6883333335</v>
      </c>
      <c r="G70" s="209">
        <f t="shared" ref="G70:P70" si="171">G99/G$3</f>
        <v>3984992.767704918</v>
      </c>
      <c r="H70" s="209">
        <f t="shared" si="171"/>
        <v>4954481.2358241752</v>
      </c>
      <c r="I70" s="209" t="e">
        <f t="shared" si="171"/>
        <v>#REF!</v>
      </c>
      <c r="J70" s="209">
        <f t="shared" si="171"/>
        <v>2305141.1761290319</v>
      </c>
      <c r="K70" s="209">
        <f t="shared" si="171"/>
        <v>1707637.4950847456</v>
      </c>
      <c r="L70" s="209">
        <f t="shared" si="171"/>
        <v>3371811.9391111108</v>
      </c>
      <c r="M70" s="209">
        <f t="shared" si="171"/>
        <v>3096625.7194999997</v>
      </c>
      <c r="N70" s="209">
        <f t="shared" si="171"/>
        <v>3323282.3398013245</v>
      </c>
      <c r="O70" s="209">
        <f t="shared" si="171"/>
        <v>3751903.7509392262</v>
      </c>
      <c r="P70" s="209">
        <f t="shared" si="171"/>
        <v>4027985.8113207547</v>
      </c>
      <c r="Q70" s="209">
        <f>Q99/Q$3</f>
        <v>4573647.7655967074</v>
      </c>
      <c r="R70" s="209">
        <f>R99/R$3</f>
        <v>4618418.9744525552</v>
      </c>
      <c r="S70" s="209" t="e">
        <f t="shared" ref="S70:U70" si="172">S99/S$3</f>
        <v>#REF!</v>
      </c>
      <c r="T70" s="209" t="e">
        <f t="shared" si="172"/>
        <v>#REF!</v>
      </c>
      <c r="U70" s="209" t="e">
        <f t="shared" si="172"/>
        <v>#REF!</v>
      </c>
      <c r="V70" s="208"/>
      <c r="W70" s="209">
        <f>W99/W$3</f>
        <v>3185711.6883333335</v>
      </c>
      <c r="X70" s="209" t="e">
        <f>X99/X$3</f>
        <v>#REF!</v>
      </c>
      <c r="Y70" s="208"/>
      <c r="Z70" s="209">
        <f t="shared" ref="Z70:AC70" si="173">Z99/Z$3</f>
        <v>3371811.9391111108</v>
      </c>
      <c r="AA70" s="209">
        <f t="shared" si="173"/>
        <v>3751903.7509392262</v>
      </c>
      <c r="AB70" s="209">
        <f t="shared" si="173"/>
        <v>4618418.9744525552</v>
      </c>
      <c r="AC70" s="209" t="e">
        <f t="shared" si="173"/>
        <v>#REF!</v>
      </c>
      <c r="AD70" s="208"/>
      <c r="AE70" s="209" t="e">
        <f>AE99/AE$3</f>
        <v>#REF!</v>
      </c>
      <c r="AF70" s="208"/>
      <c r="AG70" s="209">
        <f>AG99/AG$3</f>
        <v>3323282.3398013245</v>
      </c>
      <c r="AH70" s="211"/>
    </row>
    <row r="71" spans="2:34" s="206" customFormat="1">
      <c r="B71" s="189"/>
      <c r="D71" s="207" t="s">
        <v>99</v>
      </c>
      <c r="E71" s="208"/>
      <c r="F71" s="187">
        <f>F95/F70</f>
        <v>1.5262007861976365</v>
      </c>
      <c r="G71" s="187">
        <f t="shared" ref="G71:P71" si="174">G95/G70</f>
        <v>1.5645250333073162</v>
      </c>
      <c r="H71" s="187">
        <f t="shared" si="174"/>
        <v>1.4204678025096324</v>
      </c>
      <c r="I71" s="187" t="e">
        <f t="shared" si="174"/>
        <v>#REF!</v>
      </c>
      <c r="J71" s="187">
        <f t="shared" si="174"/>
        <v>1.79612612589539</v>
      </c>
      <c r="K71" s="187">
        <f t="shared" si="174"/>
        <v>1.7350642260677933</v>
      </c>
      <c r="L71" s="187">
        <f t="shared" si="174"/>
        <v>1.6132382985124449</v>
      </c>
      <c r="M71" s="187">
        <f t="shared" si="174"/>
        <v>1.791082959560536</v>
      </c>
      <c r="N71" s="187">
        <f t="shared" si="174"/>
        <v>1.7155999013449708</v>
      </c>
      <c r="O71" s="187">
        <f t="shared" si="174"/>
        <v>1.6426505800916018</v>
      </c>
      <c r="P71" s="187">
        <f t="shared" si="174"/>
        <v>1.6114898966217714</v>
      </c>
      <c r="Q71" s="187">
        <f>Q95/Q70</f>
        <v>1.5676849366828056</v>
      </c>
      <c r="R71" s="187">
        <f>R95/R70</f>
        <v>1.600865025381442</v>
      </c>
      <c r="S71" s="187" t="e">
        <f t="shared" ref="S71:U71" si="175">S95/S70</f>
        <v>#REF!</v>
      </c>
      <c r="T71" s="187" t="e">
        <f t="shared" si="175"/>
        <v>#REF!</v>
      </c>
      <c r="U71" s="187" t="e">
        <f t="shared" si="175"/>
        <v>#REF!</v>
      </c>
      <c r="V71" s="208"/>
      <c r="W71" s="187">
        <f>W95/W70</f>
        <v>1.5262007861976365</v>
      </c>
      <c r="X71" s="187" t="e">
        <f>X95/X70</f>
        <v>#REF!</v>
      </c>
      <c r="Y71" s="208"/>
      <c r="Z71" s="187">
        <f t="shared" ref="Z71:AC71" si="176">Z95/Z70</f>
        <v>1.6132382985124449</v>
      </c>
      <c r="AA71" s="187">
        <f t="shared" si="176"/>
        <v>1.6426505800916018</v>
      </c>
      <c r="AB71" s="187">
        <f t="shared" si="176"/>
        <v>1.600865025381442</v>
      </c>
      <c r="AC71" s="187" t="e">
        <f t="shared" si="176"/>
        <v>#REF!</v>
      </c>
      <c r="AD71" s="208"/>
      <c r="AE71" s="187" t="e">
        <f>AE95/AE70</f>
        <v>#REF!</v>
      </c>
      <c r="AF71" s="208"/>
      <c r="AG71" s="187">
        <f>AG95/AG70</f>
        <v>1.7155999013449708</v>
      </c>
      <c r="AH71" s="211"/>
    </row>
    <row r="72" spans="2:34" s="189" customFormat="1">
      <c r="D72" s="185" t="s">
        <v>100</v>
      </c>
      <c r="E72" s="186"/>
      <c r="F72" s="212">
        <f>F57/F70</f>
        <v>56.085655749807067</v>
      </c>
      <c r="G72" s="212">
        <f t="shared" ref="G72:P72" si="177">G57/G70</f>
        <v>74.63143147215429</v>
      </c>
      <c r="H72" s="212">
        <f t="shared" si="177"/>
        <v>64.885321586352333</v>
      </c>
      <c r="I72" s="212" t="e">
        <f t="shared" si="177"/>
        <v>#REF!</v>
      </c>
      <c r="J72" s="212">
        <f t="shared" si="177"/>
        <v>56.444168082795507</v>
      </c>
      <c r="K72" s="212">
        <f t="shared" si="177"/>
        <v>64.01829329390236</v>
      </c>
      <c r="L72" s="212">
        <f t="shared" si="177"/>
        <v>56.637024973090298</v>
      </c>
      <c r="M72" s="212">
        <f t="shared" si="177"/>
        <v>60.819914339021246</v>
      </c>
      <c r="N72" s="212">
        <f t="shared" si="177"/>
        <v>73.57342139476998</v>
      </c>
      <c r="O72" s="212">
        <f t="shared" si="177"/>
        <v>96.857588606591733</v>
      </c>
      <c r="P72" s="212">
        <f t="shared" si="177"/>
        <v>48.561860235516001</v>
      </c>
      <c r="Q72" s="212">
        <f>Q57/Q70</f>
        <v>82.202476725041194</v>
      </c>
      <c r="R72" s="212">
        <f>R57/R70</f>
        <v>62.838474292904664</v>
      </c>
      <c r="S72" s="212" t="e">
        <f t="shared" ref="S72:U72" si="178">S57/S70</f>
        <v>#REF!</v>
      </c>
      <c r="T72" s="212" t="e">
        <f t="shared" si="178"/>
        <v>#REF!</v>
      </c>
      <c r="U72" s="212" t="e">
        <f t="shared" si="178"/>
        <v>#REF!</v>
      </c>
      <c r="V72" s="186"/>
      <c r="W72" s="212">
        <f>W57/W70</f>
        <v>56.085655749807067</v>
      </c>
      <c r="X72" s="212" t="e">
        <f>X57/X70</f>
        <v>#REF!</v>
      </c>
      <c r="Y72" s="186"/>
      <c r="Z72" s="212">
        <f t="shared" ref="Z72:AC72" si="179">Z57/Z70</f>
        <v>56.637024973090298</v>
      </c>
      <c r="AA72" s="212">
        <f t="shared" si="179"/>
        <v>96.857588606591733</v>
      </c>
      <c r="AB72" s="212">
        <f t="shared" si="179"/>
        <v>62.838474292904664</v>
      </c>
      <c r="AC72" s="212" t="e">
        <f t="shared" si="179"/>
        <v>#REF!</v>
      </c>
      <c r="AD72" s="186"/>
      <c r="AE72" s="212" t="e">
        <f>AE57/AE70</f>
        <v>#REF!</v>
      </c>
      <c r="AF72" s="186"/>
      <c r="AG72" s="212">
        <f>AG57/AG70</f>
        <v>73.57342139476998</v>
      </c>
      <c r="AH72" s="188"/>
    </row>
    <row r="73" spans="2:34" s="189" customFormat="1">
      <c r="D73" s="185" t="s">
        <v>101</v>
      </c>
      <c r="E73" s="186"/>
      <c r="F73" s="213">
        <f>F$66/F$95</f>
        <v>53.666036562511032</v>
      </c>
      <c r="G73" s="213">
        <f t="shared" ref="G73:U73" si="180">G$66/G$95</f>
        <v>68.927328422184232</v>
      </c>
      <c r="H73" s="213">
        <f t="shared" si="180"/>
        <v>55.145780159659999</v>
      </c>
      <c r="I73" s="213" t="e">
        <f t="shared" si="180"/>
        <v>#REF!</v>
      </c>
      <c r="J73" s="213">
        <f t="shared" si="180"/>
        <v>56.376793220178875</v>
      </c>
      <c r="K73" s="213">
        <f t="shared" si="180"/>
        <v>54.708396788163668</v>
      </c>
      <c r="L73" s="213">
        <f t="shared" si="180"/>
        <v>75.941900442761195</v>
      </c>
      <c r="M73" s="213">
        <f t="shared" si="180"/>
        <v>67.286670667812814</v>
      </c>
      <c r="N73" s="213">
        <f t="shared" si="180"/>
        <v>63.617816164284051</v>
      </c>
      <c r="O73" s="213">
        <f t="shared" si="180"/>
        <v>78.35192120356983</v>
      </c>
      <c r="P73" s="213">
        <f t="shared" si="180"/>
        <v>59.479891632058447</v>
      </c>
      <c r="Q73" s="213">
        <f>Q$66/Q$95</f>
        <v>78.007988072653077</v>
      </c>
      <c r="R73" s="213">
        <f>R$66/R$95</f>
        <v>55.672531924252652</v>
      </c>
      <c r="S73" s="213" t="e">
        <f t="shared" si="180"/>
        <v>#REF!</v>
      </c>
      <c r="T73" s="213" t="e">
        <f t="shared" si="180"/>
        <v>#REF!</v>
      </c>
      <c r="U73" s="213" t="e">
        <f t="shared" si="180"/>
        <v>#REF!</v>
      </c>
      <c r="V73" s="186"/>
      <c r="W73" s="213">
        <f>W$66/W$95</f>
        <v>53.666036562511032</v>
      </c>
      <c r="X73" s="213" t="e">
        <f>X$66/X$95</f>
        <v>#REF!</v>
      </c>
      <c r="Y73" s="186"/>
      <c r="Z73" s="213">
        <f t="shared" ref="Z73:AC73" si="181">Z$66/Z$95</f>
        <v>75.941900442761195</v>
      </c>
      <c r="AA73" s="213">
        <f t="shared" si="181"/>
        <v>78.35192120356983</v>
      </c>
      <c r="AB73" s="213">
        <f t="shared" si="181"/>
        <v>55.672531924252652</v>
      </c>
      <c r="AC73" s="213" t="e">
        <f t="shared" si="181"/>
        <v>#REF!</v>
      </c>
      <c r="AD73" s="186"/>
      <c r="AE73" s="213" t="e">
        <f>AE$66/AE$95</f>
        <v>#REF!</v>
      </c>
      <c r="AF73" s="186"/>
      <c r="AG73" s="213">
        <f>AG$66/AG$95</f>
        <v>63.617816164284051</v>
      </c>
      <c r="AH73" s="188"/>
    </row>
    <row r="74" spans="2:34" s="173" customFormat="1">
      <c r="D74" s="203"/>
      <c r="E74" s="170"/>
      <c r="V74" s="170"/>
      <c r="Y74" s="170"/>
      <c r="AD74" s="170"/>
      <c r="AF74" s="170"/>
    </row>
    <row r="75" spans="2:34">
      <c r="D75" s="183" t="s">
        <v>102</v>
      </c>
      <c r="F75" s="184">
        <f>'CIFRAS EEFF'!D46</f>
        <v>149816494</v>
      </c>
      <c r="G75" s="184">
        <f>'CIFRAS EEFF'!E46</f>
        <v>200000000</v>
      </c>
      <c r="H75" s="184">
        <f>'CIFRAS EEFF'!F46</f>
        <v>200000000</v>
      </c>
      <c r="I75" s="184" t="e">
        <f>'CIFRAS EEFF'!#REF!</f>
        <v>#REF!</v>
      </c>
      <c r="J75" s="184">
        <f>'CIFRAS EEFF'!G46</f>
        <v>750000000</v>
      </c>
      <c r="K75" s="184">
        <f>'CIFRAS EEFF'!H46</f>
        <v>750000000</v>
      </c>
      <c r="L75" s="184">
        <f>'CIFRAS EEFF'!I46</f>
        <v>750000000</v>
      </c>
      <c r="M75" s="184">
        <f>'CIFRAS EEFF'!J46</f>
        <v>750000000</v>
      </c>
      <c r="N75" s="184">
        <f>'CIFRAS EEFF'!K46</f>
        <v>750000000</v>
      </c>
      <c r="O75" s="184">
        <f>'CIFRAS EEFF'!L46</f>
        <v>750000000</v>
      </c>
      <c r="P75" s="184">
        <f>'CIFRAS EEFF'!M46</f>
        <v>750000000</v>
      </c>
      <c r="Q75" s="184">
        <f>'CIFRAS EEFF'!N46</f>
        <v>750000000</v>
      </c>
      <c r="R75" s="184">
        <f>'CIFRAS EEFF'!O46</f>
        <v>750000000</v>
      </c>
      <c r="S75" s="184" t="e">
        <f>'CIFRAS EEFF'!#REF!</f>
        <v>#REF!</v>
      </c>
      <c r="T75" s="184" t="e">
        <f>'CIFRAS EEFF'!#REF!</f>
        <v>#REF!</v>
      </c>
      <c r="U75" s="184" t="e">
        <f>'CIFRAS EEFF'!#REF!</f>
        <v>#REF!</v>
      </c>
      <c r="W75" s="184">
        <f>F75</f>
        <v>149816494</v>
      </c>
      <c r="X75" s="184" t="e">
        <f>I75</f>
        <v>#REF!</v>
      </c>
      <c r="Z75" s="184">
        <f>L75</f>
        <v>750000000</v>
      </c>
      <c r="AA75" s="184">
        <f>O75</f>
        <v>750000000</v>
      </c>
      <c r="AB75" s="184">
        <f>R75</f>
        <v>750000000</v>
      </c>
      <c r="AC75" s="184" t="e">
        <f>S75</f>
        <v>#REF!</v>
      </c>
      <c r="AE75" s="184" t="e">
        <f>I75</f>
        <v>#REF!</v>
      </c>
      <c r="AG75" s="184">
        <f>N75</f>
        <v>750000000</v>
      </c>
    </row>
    <row r="76" spans="2:34" s="195" customFormat="1">
      <c r="D76" s="183" t="s">
        <v>269</v>
      </c>
      <c r="E76" s="192"/>
      <c r="F76" s="184">
        <v>0</v>
      </c>
      <c r="G76" s="184">
        <v>0</v>
      </c>
      <c r="H76" s="184">
        <v>0</v>
      </c>
      <c r="I76" s="184">
        <v>0</v>
      </c>
      <c r="J76" s="184">
        <f>+'CIFRAS EEFF'!G47</f>
        <v>5739011</v>
      </c>
      <c r="K76" s="184">
        <f>+'CIFRAS EEFF'!H47</f>
        <v>5739011</v>
      </c>
      <c r="L76" s="184">
        <f>+'CIFRAS EEFF'!I47</f>
        <v>5739011</v>
      </c>
      <c r="M76" s="184">
        <f>+'CIFRAS EEFF'!J47</f>
        <v>5739011</v>
      </c>
      <c r="N76" s="184">
        <f>+'CIFRAS EEFF'!K47</f>
        <v>5739011</v>
      </c>
      <c r="O76" s="184">
        <f>+'CIFRAS EEFF'!L47</f>
        <v>5739011</v>
      </c>
      <c r="P76" s="184">
        <f>+'CIFRAS EEFF'!M47</f>
        <v>5739011</v>
      </c>
      <c r="Q76" s="184">
        <f>+'CIFRAS EEFF'!N47</f>
        <v>5739011</v>
      </c>
      <c r="R76" s="184">
        <f>+'CIFRAS EEFF'!O47</f>
        <v>5739011</v>
      </c>
      <c r="S76" s="184" t="e">
        <f>+'CIFRAS EEFF'!#REF!</f>
        <v>#REF!</v>
      </c>
      <c r="T76" s="184" t="e">
        <f>+'CIFRAS EEFF'!#REF!</f>
        <v>#REF!</v>
      </c>
      <c r="U76" s="184" t="e">
        <f>+'CIFRAS EEFF'!#REF!</f>
        <v>#REF!</v>
      </c>
      <c r="V76" s="192"/>
      <c r="W76" s="184">
        <f>F76</f>
        <v>0</v>
      </c>
      <c r="X76" s="184">
        <f>I76</f>
        <v>0</v>
      </c>
      <c r="Y76" s="192"/>
      <c r="Z76" s="184">
        <f>L76</f>
        <v>5739011</v>
      </c>
      <c r="AA76" s="184">
        <f>O76</f>
        <v>5739011</v>
      </c>
      <c r="AB76" s="184">
        <f>R76</f>
        <v>5739011</v>
      </c>
      <c r="AC76" s="184" t="e">
        <f>U76</f>
        <v>#REF!</v>
      </c>
      <c r="AD76" s="192"/>
      <c r="AE76" s="184">
        <f>I76</f>
        <v>0</v>
      </c>
      <c r="AF76" s="192"/>
      <c r="AG76" s="184">
        <f>N76</f>
        <v>5739011</v>
      </c>
      <c r="AH76" s="194"/>
    </row>
    <row r="77" spans="2:34" s="197" customFormat="1">
      <c r="D77" s="183" t="s">
        <v>270</v>
      </c>
      <c r="E77" s="196"/>
      <c r="F77" s="184">
        <f>'CIFRAS EEFF'!D49</f>
        <v>0</v>
      </c>
      <c r="G77" s="184">
        <f>'CIFRAS EEFF'!E49</f>
        <v>0</v>
      </c>
      <c r="H77" s="184">
        <f>'CIFRAS EEFF'!F49</f>
        <v>0</v>
      </c>
      <c r="I77" s="184" t="e">
        <f>'CIFRAS EEFF'!#REF!</f>
        <v>#REF!</v>
      </c>
      <c r="J77" s="184">
        <f>'CIFRAS EEFF'!G49</f>
        <v>-272360733.06</v>
      </c>
      <c r="K77" s="184">
        <f>'CIFRAS EEFF'!H49</f>
        <v>-272360733.06</v>
      </c>
      <c r="L77" s="184">
        <f>'CIFRAS EEFF'!I49</f>
        <v>-272360733</v>
      </c>
      <c r="M77" s="184">
        <f>'CIFRAS EEFF'!J49</f>
        <v>-272360733</v>
      </c>
      <c r="N77" s="184">
        <f>'CIFRAS EEFF'!K49</f>
        <v>-272360733</v>
      </c>
      <c r="O77" s="184">
        <f>'CIFRAS EEFF'!L49</f>
        <v>-272360733</v>
      </c>
      <c r="P77" s="184">
        <f>'CIFRAS EEFF'!M49</f>
        <v>-272360733</v>
      </c>
      <c r="Q77" s="184">
        <f>'CIFRAS EEFF'!N49</f>
        <v>-272360733</v>
      </c>
      <c r="R77" s="184">
        <f>'CIFRAS EEFF'!O49</f>
        <v>-272360733</v>
      </c>
      <c r="S77" s="184" t="e">
        <f>'CIFRAS EEFF'!#REF!</f>
        <v>#REF!</v>
      </c>
      <c r="T77" s="184" t="e">
        <f>'CIFRAS EEFF'!#REF!</f>
        <v>#REF!</v>
      </c>
      <c r="U77" s="184" t="e">
        <f>'CIFRAS EEFF'!#REF!</f>
        <v>#REF!</v>
      </c>
      <c r="V77" s="196"/>
      <c r="W77" s="184">
        <f>F77</f>
        <v>0</v>
      </c>
      <c r="X77" s="184" t="e">
        <f>I77</f>
        <v>#REF!</v>
      </c>
      <c r="Y77" s="196"/>
      <c r="Z77" s="184">
        <f>L77</f>
        <v>-272360733</v>
      </c>
      <c r="AA77" s="184">
        <f>O77</f>
        <v>-272360733</v>
      </c>
      <c r="AB77" s="184">
        <f>R77</f>
        <v>-272360733</v>
      </c>
      <c r="AC77" s="184" t="e">
        <f>S77</f>
        <v>#REF!</v>
      </c>
      <c r="AD77" s="196"/>
      <c r="AE77" s="184" t="e">
        <f>I77</f>
        <v>#REF!</v>
      </c>
      <c r="AF77" s="196"/>
      <c r="AG77" s="184">
        <f>N77</f>
        <v>-272360733</v>
      </c>
      <c r="AH77" s="199"/>
    </row>
    <row r="78" spans="2:34" s="197" customFormat="1">
      <c r="D78" s="183" t="s">
        <v>103</v>
      </c>
      <c r="E78" s="196"/>
      <c r="F78" s="184">
        <f>'CIFRAS EEFF'!D48</f>
        <v>13701026.41</v>
      </c>
      <c r="G78" s="184">
        <f>'CIFRAS EEFF'!E48</f>
        <v>54652705.009999983</v>
      </c>
      <c r="H78" s="184">
        <f>'CIFRAS EEFF'!F48</f>
        <v>53847342.520000078</v>
      </c>
      <c r="I78" s="184" t="e">
        <f>'CIFRAS EEFF'!#REF!</f>
        <v>#REF!</v>
      </c>
      <c r="J78" s="184">
        <f>'CIFRAS EEFF'!G48</f>
        <v>5660952.7300000042</v>
      </c>
      <c r="K78" s="184">
        <f>'CIFRAS EEFF'!H48</f>
        <v>-59770664.289999999</v>
      </c>
      <c r="L78" s="184">
        <f>'CIFRAS EEFF'!I48</f>
        <v>-45764781</v>
      </c>
      <c r="M78" s="184">
        <f>'CIFRAS EEFF'!J48</f>
        <v>-13313850.299999977</v>
      </c>
      <c r="N78" s="184">
        <f>'CIFRAS EEFF'!K48</f>
        <v>-41075791.710000016</v>
      </c>
      <c r="O78" s="184">
        <f>'CIFRAS EEFF'!L48</f>
        <v>-38449061.739999652</v>
      </c>
      <c r="P78" s="184">
        <f>'CIFRAS EEFF'!M48</f>
        <v>-26830561.139999963</v>
      </c>
      <c r="Q78" s="184">
        <f>'CIFRAS EEFF'!N48</f>
        <v>6216104.7300000191</v>
      </c>
      <c r="R78" s="184">
        <f>'CIFRAS EEFF'!O48</f>
        <v>41630005.360000014</v>
      </c>
      <c r="S78" s="184" t="e">
        <f>'CIFRAS EEFF'!#REF!</f>
        <v>#REF!</v>
      </c>
      <c r="T78" s="184" t="e">
        <f>'CIFRAS EEFF'!#REF!</f>
        <v>#REF!</v>
      </c>
      <c r="U78" s="184" t="e">
        <f>'CIFRAS EEFF'!#REF!</f>
        <v>#REF!</v>
      </c>
      <c r="V78" s="196"/>
      <c r="W78" s="184">
        <f>F78</f>
        <v>13701026.41</v>
      </c>
      <c r="X78" s="184" t="e">
        <f>I78</f>
        <v>#REF!</v>
      </c>
      <c r="Y78" s="196"/>
      <c r="Z78" s="184">
        <f>L78</f>
        <v>-45764781</v>
      </c>
      <c r="AA78" s="184">
        <f>O78</f>
        <v>-38449061.739999652</v>
      </c>
      <c r="AB78" s="184">
        <f>R78</f>
        <v>41630005.360000014</v>
      </c>
      <c r="AC78" s="184" t="e">
        <f>S78</f>
        <v>#REF!</v>
      </c>
      <c r="AD78" s="196"/>
      <c r="AE78" s="184" t="e">
        <f>I78</f>
        <v>#REF!</v>
      </c>
      <c r="AF78" s="196"/>
      <c r="AG78" s="184">
        <f>N78</f>
        <v>-41075791.710000016</v>
      </c>
      <c r="AH78" s="199"/>
    </row>
    <row r="79" spans="2:34" s="197" customFormat="1">
      <c r="D79" s="198" t="s">
        <v>104</v>
      </c>
      <c r="E79" s="196"/>
      <c r="F79" s="193">
        <f>SUM(F75:F78)</f>
        <v>163517520.41</v>
      </c>
      <c r="G79" s="193">
        <f t="shared" ref="G79:P79" si="182">SUM(G75:G78)</f>
        <v>254652705.00999999</v>
      </c>
      <c r="H79" s="193">
        <f t="shared" si="182"/>
        <v>253847342.52000007</v>
      </c>
      <c r="I79" s="193" t="e">
        <f t="shared" si="182"/>
        <v>#REF!</v>
      </c>
      <c r="J79" s="193">
        <f>SUM(J75:J78)</f>
        <v>489039230.67000002</v>
      </c>
      <c r="K79" s="193">
        <f t="shared" si="182"/>
        <v>423607613.64999998</v>
      </c>
      <c r="L79" s="193">
        <f t="shared" si="182"/>
        <v>437613497</v>
      </c>
      <c r="M79" s="193">
        <f t="shared" si="182"/>
        <v>470064427.70000005</v>
      </c>
      <c r="N79" s="193">
        <f t="shared" si="182"/>
        <v>442302486.28999996</v>
      </c>
      <c r="O79" s="193">
        <f t="shared" si="182"/>
        <v>444929216.26000035</v>
      </c>
      <c r="P79" s="193">
        <f t="shared" si="182"/>
        <v>456547716.86000001</v>
      </c>
      <c r="Q79" s="193">
        <f>SUM(Q75:Q78)</f>
        <v>489594382.73000002</v>
      </c>
      <c r="R79" s="193">
        <f>SUM(R75:R78)</f>
        <v>525008283.36000001</v>
      </c>
      <c r="S79" s="193" t="e">
        <f t="shared" ref="S79:U79" si="183">SUM(S75:S78)</f>
        <v>#REF!</v>
      </c>
      <c r="T79" s="193" t="e">
        <f t="shared" si="183"/>
        <v>#REF!</v>
      </c>
      <c r="U79" s="193" t="e">
        <f t="shared" si="183"/>
        <v>#REF!</v>
      </c>
      <c r="V79" s="196"/>
      <c r="W79" s="193">
        <f t="shared" ref="W79" si="184">SUM(W75:W78)</f>
        <v>163517520.41</v>
      </c>
      <c r="X79" s="193" t="e">
        <f t="shared" ref="X79" si="185">SUM(X75:X78)</f>
        <v>#REF!</v>
      </c>
      <c r="Y79" s="196"/>
      <c r="Z79" s="193">
        <f t="shared" ref="Z79" si="186">SUM(Z75:Z78)</f>
        <v>437613497</v>
      </c>
      <c r="AA79" s="193">
        <f t="shared" ref="AA79" si="187">SUM(AA75:AA78)</f>
        <v>444929216.26000035</v>
      </c>
      <c r="AB79" s="193">
        <f t="shared" ref="AB79" si="188">SUM(AB75:AB78)</f>
        <v>525008283.36000001</v>
      </c>
      <c r="AC79" s="193" t="e">
        <f t="shared" ref="AC79" si="189">SUM(AC75:AC78)</f>
        <v>#REF!</v>
      </c>
      <c r="AD79" s="196"/>
      <c r="AE79" s="193" t="e">
        <f t="shared" ref="AE79" si="190">SUM(AE75:AE78)</f>
        <v>#REF!</v>
      </c>
      <c r="AF79" s="196"/>
      <c r="AG79" s="193">
        <f t="shared" ref="AG79" si="191">SUM(AG75:AG78)</f>
        <v>442302486.28999996</v>
      </c>
      <c r="AH79" s="199"/>
    </row>
    <row r="80" spans="2:34" s="189" customFormat="1">
      <c r="D80" s="185" t="s">
        <v>105</v>
      </c>
      <c r="E80" s="186"/>
      <c r="F80" s="190">
        <f t="shared" ref="F80:Q80" si="192">F79/F$66</f>
        <v>0.62668114572966405</v>
      </c>
      <c r="G80" s="190">
        <f t="shared" si="192"/>
        <v>0.59257973287893795</v>
      </c>
      <c r="H80" s="190">
        <f t="shared" si="192"/>
        <v>0.65407982565157907</v>
      </c>
      <c r="I80" s="190" t="e">
        <f t="shared" si="192"/>
        <v>#REF!</v>
      </c>
      <c r="J80" s="190">
        <f t="shared" si="192"/>
        <v>2.0951203346745553</v>
      </c>
      <c r="K80" s="190">
        <f t="shared" si="192"/>
        <v>2.6133557392907694</v>
      </c>
      <c r="L80" s="190">
        <f t="shared" si="192"/>
        <v>1.0593692905119718</v>
      </c>
      <c r="M80" s="190">
        <f t="shared" si="192"/>
        <v>1.2595746990850998</v>
      </c>
      <c r="N80" s="190">
        <f t="shared" si="192"/>
        <v>1.2194313937393371</v>
      </c>
      <c r="O80" s="190">
        <f t="shared" si="192"/>
        <v>0.9213919096748151</v>
      </c>
      <c r="P80" s="190">
        <f t="shared" si="192"/>
        <v>1.1824981979909721</v>
      </c>
      <c r="Q80" s="190">
        <f t="shared" si="192"/>
        <v>0.87533813448578357</v>
      </c>
      <c r="R80" s="190">
        <f t="shared" ref="R80" si="193">R79/R$66</f>
        <v>1.275490232730512</v>
      </c>
      <c r="S80" s="190" t="e">
        <f t="shared" ref="S80:U80" si="194">S79/S$66</f>
        <v>#REF!</v>
      </c>
      <c r="T80" s="190" t="e">
        <f t="shared" si="194"/>
        <v>#REF!</v>
      </c>
      <c r="U80" s="190" t="e">
        <f t="shared" si="194"/>
        <v>#REF!</v>
      </c>
      <c r="V80" s="186"/>
      <c r="W80" s="190">
        <f>W79/W$66</f>
        <v>0.62668114572966405</v>
      </c>
      <c r="X80" s="190" t="e">
        <f>#REF!/#REF!</f>
        <v>#REF!</v>
      </c>
      <c r="Y80" s="186"/>
      <c r="Z80" s="190">
        <f>Z79/Z$66</f>
        <v>1.0593692905119718</v>
      </c>
      <c r="AA80" s="190">
        <f>AA79/AA$66</f>
        <v>0.9213919096748151</v>
      </c>
      <c r="AB80" s="190">
        <f>AB79/AB$66</f>
        <v>1.275490232730512</v>
      </c>
      <c r="AC80" s="190" t="e">
        <f>AC79/AC$66</f>
        <v>#REF!</v>
      </c>
      <c r="AD80" s="186"/>
      <c r="AE80" s="190" t="e">
        <f t="shared" ref="AE80" si="195">AE79/AE$66</f>
        <v>#REF!</v>
      </c>
      <c r="AF80" s="186"/>
      <c r="AG80" s="190">
        <f t="shared" ref="AG80" si="196">AG79/AG$66</f>
        <v>1.2194313937393371</v>
      </c>
      <c r="AH80" s="188"/>
    </row>
    <row r="81" spans="2:34" s="189" customFormat="1">
      <c r="D81" s="185" t="s">
        <v>106</v>
      </c>
      <c r="E81" s="214"/>
      <c r="F81" s="190" t="e">
        <f t="shared" ref="F81:AG81" si="197">F79/F$46</f>
        <v>#REF!</v>
      </c>
      <c r="G81" s="190" t="e">
        <f t="shared" si="197"/>
        <v>#REF!</v>
      </c>
      <c r="H81" s="190" t="e">
        <f t="shared" si="197"/>
        <v>#REF!</v>
      </c>
      <c r="I81" s="190" t="e">
        <f t="shared" si="197"/>
        <v>#REF!</v>
      </c>
      <c r="J81" s="190">
        <f t="shared" si="197"/>
        <v>0.67691078476108835</v>
      </c>
      <c r="K81" s="190">
        <f t="shared" si="197"/>
        <v>0.72324894981573218</v>
      </c>
      <c r="L81" s="190">
        <f t="shared" si="197"/>
        <v>0.51441443535251685</v>
      </c>
      <c r="M81" s="190">
        <f t="shared" si="197"/>
        <v>0.55743884009628186</v>
      </c>
      <c r="N81" s="190">
        <f t="shared" si="197"/>
        <v>0.54943414685165792</v>
      </c>
      <c r="O81" s="190">
        <f t="shared" si="197"/>
        <v>0.47954397289489437</v>
      </c>
      <c r="P81" s="190">
        <f t="shared" si="197"/>
        <v>0.54180947273232527</v>
      </c>
      <c r="Q81" s="190">
        <f t="shared" si="197"/>
        <v>0.46676283001431601</v>
      </c>
      <c r="R81" s="190">
        <f t="shared" ref="R81" si="198">R79/R$46</f>
        <v>0.56053425857452066</v>
      </c>
      <c r="S81" s="190" t="e">
        <f t="shared" ref="S81:U81" si="199">S79/S$46</f>
        <v>#REF!</v>
      </c>
      <c r="T81" s="190" t="e">
        <f t="shared" si="199"/>
        <v>#REF!</v>
      </c>
      <c r="U81" s="190" t="e">
        <f t="shared" si="199"/>
        <v>#REF!</v>
      </c>
      <c r="V81" s="214"/>
      <c r="W81" s="190" t="e">
        <f t="shared" si="197"/>
        <v>#REF!</v>
      </c>
      <c r="X81" s="190" t="e">
        <f t="shared" si="197"/>
        <v>#REF!</v>
      </c>
      <c r="Y81" s="214"/>
      <c r="Z81" s="190" t="e">
        <f t="shared" si="197"/>
        <v>#REF!</v>
      </c>
      <c r="AA81" s="190" t="e">
        <f t="shared" si="197"/>
        <v>#REF!</v>
      </c>
      <c r="AB81" s="190" t="e">
        <f t="shared" si="197"/>
        <v>#REF!</v>
      </c>
      <c r="AC81" s="190" t="e">
        <f t="shared" si="197"/>
        <v>#REF!</v>
      </c>
      <c r="AD81" s="214"/>
      <c r="AE81" s="190" t="e">
        <f t="shared" si="197"/>
        <v>#REF!</v>
      </c>
      <c r="AF81" s="214"/>
      <c r="AG81" s="190" t="e">
        <f t="shared" si="197"/>
        <v>#REF!</v>
      </c>
      <c r="AH81" s="188"/>
    </row>
    <row r="82" spans="2:34" s="173" customFormat="1">
      <c r="D82" s="203"/>
      <c r="E82" s="170"/>
      <c r="V82" s="170"/>
      <c r="Y82" s="170"/>
      <c r="AD82" s="170"/>
      <c r="AF82" s="170"/>
    </row>
    <row r="83" spans="2:34" s="195" customFormat="1">
      <c r="D83" s="198" t="s">
        <v>107</v>
      </c>
      <c r="E83" s="192"/>
      <c r="F83" s="193">
        <f t="shared" ref="F83:Q83" si="200">(F66+F79)</f>
        <v>424443705.15999997</v>
      </c>
      <c r="G83" s="193">
        <f t="shared" si="200"/>
        <v>684388470.30999994</v>
      </c>
      <c r="H83" s="193">
        <f t="shared" si="200"/>
        <v>641945755.84000003</v>
      </c>
      <c r="I83" s="193" t="e">
        <f t="shared" si="200"/>
        <v>#REF!</v>
      </c>
      <c r="J83" s="193">
        <f t="shared" si="200"/>
        <v>722457437.04999995</v>
      </c>
      <c r="K83" s="193">
        <f>(K66+K79)</f>
        <v>585700974.02999997</v>
      </c>
      <c r="L83" s="193">
        <f t="shared" si="200"/>
        <v>850702210.18000007</v>
      </c>
      <c r="M83" s="193">
        <f t="shared" si="200"/>
        <v>843257401.51999998</v>
      </c>
      <c r="N83" s="193">
        <f t="shared" si="200"/>
        <v>805014557.30999994</v>
      </c>
      <c r="O83" s="193">
        <f t="shared" si="200"/>
        <v>927817346.26000035</v>
      </c>
      <c r="P83" s="193">
        <f t="shared" si="200"/>
        <v>842635169.37</v>
      </c>
      <c r="Q83" s="193">
        <f t="shared" si="200"/>
        <v>1048914676.73</v>
      </c>
      <c r="R83" s="193">
        <f t="shared" ref="R83" si="201">(R66+R79)</f>
        <v>936621222.36000001</v>
      </c>
      <c r="S83" s="193" t="e">
        <f t="shared" ref="S83:U83" si="202">(S66+S79)</f>
        <v>#REF!</v>
      </c>
      <c r="T83" s="193" t="e">
        <f t="shared" si="202"/>
        <v>#REF!</v>
      </c>
      <c r="U83" s="193" t="e">
        <f t="shared" si="202"/>
        <v>#REF!</v>
      </c>
      <c r="V83" s="192"/>
      <c r="W83" s="193">
        <f>(W66+W79)</f>
        <v>424443705.15999997</v>
      </c>
      <c r="X83" s="193" t="e">
        <f>(X66+X79)</f>
        <v>#REF!</v>
      </c>
      <c r="Y83" s="192"/>
      <c r="Z83" s="193">
        <f>(Z66+Z79)</f>
        <v>850702210.18000007</v>
      </c>
      <c r="AA83" s="193">
        <f>(AA66+AA79)</f>
        <v>927817346.26000035</v>
      </c>
      <c r="AB83" s="193">
        <f>(AB66+AB79)</f>
        <v>936621222.36000001</v>
      </c>
      <c r="AC83" s="337" t="e">
        <f>(AC66+AC79)</f>
        <v>#REF!</v>
      </c>
      <c r="AD83" s="192"/>
      <c r="AE83" s="193" t="e">
        <f>(AE66+AE79)</f>
        <v>#REF!</v>
      </c>
      <c r="AF83" s="192"/>
      <c r="AG83" s="193">
        <f>(AG66+AG79)</f>
        <v>805014557.30999994</v>
      </c>
      <c r="AH83" s="194"/>
    </row>
    <row r="84" spans="2:34" s="216" customFormat="1">
      <c r="D84" s="217"/>
      <c r="E84" s="218"/>
      <c r="F84" s="219" t="e">
        <f t="shared" ref="F84:Q84" si="203">F46-F83</f>
        <v>#REF!</v>
      </c>
      <c r="G84" s="219" t="e">
        <f t="shared" si="203"/>
        <v>#REF!</v>
      </c>
      <c r="H84" s="219" t="e">
        <f t="shared" si="203"/>
        <v>#REF!</v>
      </c>
      <c r="I84" s="219" t="e">
        <f t="shared" si="203"/>
        <v>#REF!</v>
      </c>
      <c r="J84" s="219">
        <f t="shared" si="203"/>
        <v>0</v>
      </c>
      <c r="K84" s="219">
        <f>K46-K83</f>
        <v>-1</v>
      </c>
      <c r="L84" s="219">
        <f t="shared" si="203"/>
        <v>-0.19999992847442627</v>
      </c>
      <c r="M84" s="219">
        <f t="shared" si="203"/>
        <v>-0.18999993801116943</v>
      </c>
      <c r="N84" s="219">
        <f t="shared" si="203"/>
        <v>-0.37999999523162842</v>
      </c>
      <c r="O84" s="219">
        <f t="shared" si="203"/>
        <v>-0.18000030517578125</v>
      </c>
      <c r="P84" s="219">
        <f t="shared" si="203"/>
        <v>7.0000052452087402E-2</v>
      </c>
      <c r="Q84" s="219">
        <f t="shared" si="203"/>
        <v>-0.48000013828277588</v>
      </c>
      <c r="R84" s="219">
        <f t="shared" ref="R84" si="204">R46-R83</f>
        <v>1.6399999856948853</v>
      </c>
      <c r="S84" s="219" t="e">
        <f>S46-S83</f>
        <v>#REF!</v>
      </c>
      <c r="T84" s="219" t="e">
        <f t="shared" ref="T84:U84" si="205">T46-T83</f>
        <v>#REF!</v>
      </c>
      <c r="U84" s="219" t="e">
        <f t="shared" si="205"/>
        <v>#REF!</v>
      </c>
      <c r="V84" s="218"/>
      <c r="W84" s="219" t="e">
        <f>W46-W83</f>
        <v>#REF!</v>
      </c>
      <c r="X84" s="219" t="e">
        <f>X46-X83</f>
        <v>#REF!</v>
      </c>
      <c r="Y84" s="218"/>
      <c r="Z84" s="219" t="e">
        <f>Z46-Z83</f>
        <v>#REF!</v>
      </c>
      <c r="AA84" s="219" t="e">
        <f>AA46-AA83</f>
        <v>#REF!</v>
      </c>
      <c r="AB84" s="219" t="e">
        <f>AB46-AB83</f>
        <v>#REF!</v>
      </c>
      <c r="AC84" s="219" t="e">
        <f>AC46-AC83</f>
        <v>#REF!</v>
      </c>
      <c r="AD84" s="218"/>
      <c r="AE84" s="219" t="e">
        <f>AE46-AE83</f>
        <v>#REF!</v>
      </c>
      <c r="AF84" s="218"/>
      <c r="AG84" s="219" t="e">
        <f>AG46-AG83</f>
        <v>#REF!</v>
      </c>
      <c r="AH84" s="221"/>
    </row>
    <row r="85" spans="2:34" s="173" customFormat="1">
      <c r="D85" s="203"/>
      <c r="E85" s="170"/>
      <c r="V85" s="170"/>
      <c r="Y85" s="170"/>
      <c r="AD85" s="170"/>
      <c r="AF85" s="170"/>
    </row>
    <row r="86" spans="2:34">
      <c r="D86" s="174" t="s">
        <v>180</v>
      </c>
      <c r="F86" s="383" t="s">
        <v>188</v>
      </c>
      <c r="G86" s="383"/>
      <c r="H86" s="383"/>
      <c r="I86" s="383"/>
      <c r="J86" s="384" t="s">
        <v>189</v>
      </c>
      <c r="K86" s="384"/>
      <c r="L86" s="384"/>
      <c r="M86" s="384"/>
      <c r="N86" s="384"/>
      <c r="O86" s="384"/>
      <c r="P86" s="384" t="str">
        <f>J86</f>
        <v>ESTADO  DE  RESULTADOS  ACUMULADOS  AÑO  2 0 1 4</v>
      </c>
      <c r="Q86" s="384"/>
      <c r="R86" s="384"/>
      <c r="S86" s="384"/>
      <c r="T86" s="384"/>
      <c r="U86" s="384"/>
      <c r="W86" s="383" t="str">
        <f>W5</f>
        <v>INFORMACIÓN 2013 CIF ACUM</v>
      </c>
      <c r="X86" s="383"/>
      <c r="Z86" s="384" t="str">
        <f>Z$5</f>
        <v>INFORMACION 2014 CIFRAS ACUMULADAS</v>
      </c>
      <c r="AA86" s="384"/>
      <c r="AB86" s="384"/>
      <c r="AC86" s="384"/>
      <c r="AE86" s="175" t="str">
        <f t="shared" ref="AE86:AG86" si="206">AE$5</f>
        <v>2 0 1 3</v>
      </c>
      <c r="AG86" s="176" t="str">
        <f t="shared" si="206"/>
        <v>2 0 1 4</v>
      </c>
    </row>
    <row r="87" spans="2:34">
      <c r="D87" s="174" t="s">
        <v>51</v>
      </c>
      <c r="F87" s="177">
        <f t="shared" ref="F87:U87" si="207">F$6</f>
        <v>41518</v>
      </c>
      <c r="G87" s="177">
        <f t="shared" si="207"/>
        <v>41548</v>
      </c>
      <c r="H87" s="177">
        <f t="shared" si="207"/>
        <v>41579</v>
      </c>
      <c r="I87" s="177">
        <f t="shared" si="207"/>
        <v>41609</v>
      </c>
      <c r="J87" s="178">
        <f>J$6</f>
        <v>42005</v>
      </c>
      <c r="K87" s="178">
        <f t="shared" si="207"/>
        <v>42036</v>
      </c>
      <c r="L87" s="178">
        <f t="shared" si="207"/>
        <v>42064</v>
      </c>
      <c r="M87" s="178">
        <f t="shared" si="207"/>
        <v>42095</v>
      </c>
      <c r="N87" s="178">
        <f t="shared" si="207"/>
        <v>42125</v>
      </c>
      <c r="O87" s="178">
        <f t="shared" si="207"/>
        <v>42156</v>
      </c>
      <c r="P87" s="178">
        <f t="shared" si="207"/>
        <v>42186</v>
      </c>
      <c r="Q87" s="178">
        <f t="shared" si="207"/>
        <v>42217</v>
      </c>
      <c r="R87" s="178">
        <f t="shared" si="207"/>
        <v>42248</v>
      </c>
      <c r="S87" s="178">
        <f t="shared" si="207"/>
        <v>42278</v>
      </c>
      <c r="T87" s="178">
        <f t="shared" si="207"/>
        <v>42309</v>
      </c>
      <c r="U87" s="178">
        <f t="shared" si="207"/>
        <v>42339</v>
      </c>
      <c r="W87" s="177">
        <f>W$6</f>
        <v>41547</v>
      </c>
      <c r="X87" s="177">
        <f>X$6</f>
        <v>41639</v>
      </c>
      <c r="Z87" s="178">
        <f>Z$6</f>
        <v>41729</v>
      </c>
      <c r="AA87" s="178">
        <f>AA$6</f>
        <v>41820</v>
      </c>
      <c r="AB87" s="178">
        <f>AB$6</f>
        <v>41912</v>
      </c>
      <c r="AC87" s="178">
        <f>AC$6</f>
        <v>42004</v>
      </c>
      <c r="AE87" s="177">
        <f t="shared" ref="AE87:AG87" si="208">AE$6</f>
        <v>41639</v>
      </c>
      <c r="AG87" s="178">
        <f t="shared" si="208"/>
        <v>41639</v>
      </c>
    </row>
    <row r="88" spans="2:34" s="173" customFormat="1">
      <c r="D88" s="203"/>
      <c r="E88" s="170"/>
      <c r="V88" s="170"/>
      <c r="Y88" s="170"/>
      <c r="AD88" s="170"/>
      <c r="AF88" s="170"/>
    </row>
    <row r="89" spans="2:34">
      <c r="B89" s="222"/>
      <c r="C89" s="223" t="e">
        <f>#REF!/#REF!</f>
        <v>#REF!</v>
      </c>
      <c r="D89" s="224" t="s">
        <v>108</v>
      </c>
      <c r="F89" s="184">
        <f>'CIFRAS EEFF'!D57</f>
        <v>145861070.5</v>
      </c>
      <c r="G89" s="184">
        <f>'CIFRAS EEFF'!E57</f>
        <v>380311877.5</v>
      </c>
      <c r="H89" s="184">
        <f>'CIFRAS EEFF'!F57</f>
        <v>640428977.70000005</v>
      </c>
      <c r="I89" s="184" t="e">
        <f>'CIFRAS EEFF'!#REF!</f>
        <v>#REF!</v>
      </c>
      <c r="J89" s="184">
        <f>'CIFRAS EEFF'!G57</f>
        <v>128350053</v>
      </c>
      <c r="K89" s="184">
        <f>'CIFRAS EEFF'!H57</f>
        <v>174808783</v>
      </c>
      <c r="L89" s="184">
        <f>'CIFRAS EEFF'!I57</f>
        <v>489558254</v>
      </c>
      <c r="M89" s="184">
        <f>'CIFRAS EEFF'!J57</f>
        <v>665557627</v>
      </c>
      <c r="N89" s="184">
        <f>'CIFRAS EEFF'!K57</f>
        <v>860914851</v>
      </c>
      <c r="O89" s="184">
        <f>'CIFRAS EEFF'!L57</f>
        <v>1115515104</v>
      </c>
      <c r="P89" s="184">
        <f>'CIFRAS EEFF'!M57</f>
        <v>1376104389</v>
      </c>
      <c r="Q89" s="184">
        <f>'CIFRAS EEFF'!N57</f>
        <v>1742319406</v>
      </c>
      <c r="R89" s="184">
        <f>'CIFRAS EEFF'!O57</f>
        <v>2025809522</v>
      </c>
      <c r="S89" s="184" t="e">
        <f>'CIFRAS EEFF'!#REF!</f>
        <v>#REF!</v>
      </c>
      <c r="T89" s="184" t="e">
        <f>'CIFRAS EEFF'!#REF!</f>
        <v>#REF!</v>
      </c>
      <c r="U89" s="184" t="e">
        <f>'CIFRAS EEFF'!#REF!</f>
        <v>#REF!</v>
      </c>
      <c r="W89" s="184">
        <f>F89</f>
        <v>145861070.5</v>
      </c>
      <c r="X89" s="184" t="e">
        <f>I89</f>
        <v>#REF!</v>
      </c>
      <c r="Z89" s="184">
        <f>L89</f>
        <v>489558254</v>
      </c>
      <c r="AA89" s="184">
        <f>O89</f>
        <v>1115515104</v>
      </c>
      <c r="AB89" s="184">
        <f>R89</f>
        <v>2025809522</v>
      </c>
      <c r="AC89" s="184" t="e">
        <f>S89</f>
        <v>#REF!</v>
      </c>
      <c r="AE89" s="184" t="e">
        <f>I89</f>
        <v>#REF!</v>
      </c>
      <c r="AG89" s="184">
        <f>N89</f>
        <v>860914851</v>
      </c>
    </row>
    <row r="90" spans="2:34">
      <c r="B90" s="222"/>
      <c r="C90" s="225"/>
      <c r="D90" s="224" t="s">
        <v>109</v>
      </c>
      <c r="F90" s="184">
        <v>0</v>
      </c>
      <c r="G90" s="184">
        <v>0</v>
      </c>
      <c r="H90" s="184">
        <v>0</v>
      </c>
      <c r="I90" s="184">
        <v>0</v>
      </c>
      <c r="J90" s="184">
        <v>0</v>
      </c>
      <c r="K90" s="184">
        <v>0</v>
      </c>
      <c r="L90" s="184">
        <v>0</v>
      </c>
      <c r="M90" s="184">
        <v>0</v>
      </c>
      <c r="N90" s="184">
        <v>0</v>
      </c>
      <c r="O90" s="184">
        <v>0</v>
      </c>
      <c r="P90" s="184">
        <v>0</v>
      </c>
      <c r="Q90" s="184">
        <v>0</v>
      </c>
      <c r="R90" s="184">
        <v>0</v>
      </c>
      <c r="S90" s="184">
        <v>0</v>
      </c>
      <c r="T90" s="184">
        <v>0</v>
      </c>
      <c r="U90" s="184">
        <v>0</v>
      </c>
      <c r="W90" s="184">
        <f>F90</f>
        <v>0</v>
      </c>
      <c r="X90" s="184">
        <f>I90</f>
        <v>0</v>
      </c>
      <c r="Z90" s="184">
        <f>L90</f>
        <v>0</v>
      </c>
      <c r="AA90" s="184">
        <f>O90</f>
        <v>0</v>
      </c>
      <c r="AB90" s="184">
        <f>R90</f>
        <v>0</v>
      </c>
      <c r="AC90" s="184">
        <f>U90</f>
        <v>0</v>
      </c>
      <c r="AE90" s="184">
        <f>I90</f>
        <v>0</v>
      </c>
      <c r="AG90" s="184">
        <f>N90</f>
        <v>0</v>
      </c>
    </row>
    <row r="91" spans="2:34">
      <c r="B91" s="222"/>
      <c r="C91" s="225"/>
      <c r="D91" s="224" t="s">
        <v>110</v>
      </c>
      <c r="F91" s="184">
        <v>0</v>
      </c>
      <c r="G91" s="184">
        <v>0</v>
      </c>
      <c r="H91" s="184">
        <v>0</v>
      </c>
      <c r="I91" s="184">
        <v>0</v>
      </c>
      <c r="J91" s="184">
        <v>0</v>
      </c>
      <c r="K91" s="184">
        <v>0</v>
      </c>
      <c r="L91" s="184">
        <v>0</v>
      </c>
      <c r="M91" s="184">
        <v>0</v>
      </c>
      <c r="N91" s="184">
        <v>0</v>
      </c>
      <c r="O91" s="184">
        <v>0</v>
      </c>
      <c r="P91" s="184">
        <v>0</v>
      </c>
      <c r="Q91" s="184">
        <v>0</v>
      </c>
      <c r="R91" s="184">
        <v>0</v>
      </c>
      <c r="S91" s="184">
        <v>0</v>
      </c>
      <c r="T91" s="184">
        <v>0</v>
      </c>
      <c r="U91" s="184">
        <v>0</v>
      </c>
      <c r="W91" s="184">
        <f>F91</f>
        <v>0</v>
      </c>
      <c r="X91" s="184">
        <f>I91</f>
        <v>0</v>
      </c>
      <c r="Z91" s="184">
        <f>L91</f>
        <v>0</v>
      </c>
      <c r="AA91" s="184">
        <f>O91</f>
        <v>0</v>
      </c>
      <c r="AB91" s="184">
        <f>R91</f>
        <v>0</v>
      </c>
      <c r="AC91" s="184">
        <f>U91</f>
        <v>0</v>
      </c>
      <c r="AE91" s="184">
        <f>I91</f>
        <v>0</v>
      </c>
      <c r="AG91" s="184">
        <f>N91</f>
        <v>0</v>
      </c>
    </row>
    <row r="92" spans="2:34">
      <c r="B92" s="222"/>
      <c r="D92" s="226" t="s">
        <v>111</v>
      </c>
      <c r="F92" s="193">
        <f>SUM(F89:F91)</f>
        <v>145861070.5</v>
      </c>
      <c r="G92" s="193">
        <f t="shared" ref="G92:Q92" si="209">SUM(G89:G91)</f>
        <v>380311877.5</v>
      </c>
      <c r="H92" s="193">
        <f t="shared" si="209"/>
        <v>640428977.70000005</v>
      </c>
      <c r="I92" s="193" t="e">
        <f t="shared" si="209"/>
        <v>#REF!</v>
      </c>
      <c r="J92" s="193">
        <f t="shared" si="209"/>
        <v>128350053</v>
      </c>
      <c r="K92" s="193">
        <f t="shared" si="209"/>
        <v>174808783</v>
      </c>
      <c r="L92" s="193">
        <f t="shared" si="209"/>
        <v>489558254</v>
      </c>
      <c r="M92" s="193">
        <f t="shared" si="209"/>
        <v>665557627</v>
      </c>
      <c r="N92" s="193">
        <f t="shared" si="209"/>
        <v>860914851</v>
      </c>
      <c r="O92" s="193">
        <f t="shared" si="209"/>
        <v>1115515104</v>
      </c>
      <c r="P92" s="193">
        <f t="shared" si="209"/>
        <v>1376104389</v>
      </c>
      <c r="Q92" s="193">
        <f t="shared" si="209"/>
        <v>1742319406</v>
      </c>
      <c r="R92" s="193">
        <f t="shared" ref="R92" si="210">SUM(R89:R91)</f>
        <v>2025809522</v>
      </c>
      <c r="S92" s="193" t="e">
        <f t="shared" ref="S92:U92" si="211">SUM(S89:S91)</f>
        <v>#REF!</v>
      </c>
      <c r="T92" s="193" t="e">
        <f t="shared" si="211"/>
        <v>#REF!</v>
      </c>
      <c r="U92" s="193" t="e">
        <f t="shared" si="211"/>
        <v>#REF!</v>
      </c>
      <c r="W92" s="193">
        <f t="shared" ref="W92" si="212">SUM(W89:W91)</f>
        <v>145861070.5</v>
      </c>
      <c r="X92" s="193" t="e">
        <f t="shared" ref="X92" si="213">SUM(X89:X91)</f>
        <v>#REF!</v>
      </c>
      <c r="Z92" s="193">
        <f t="shared" ref="Z92" si="214">SUM(Z89:Z91)</f>
        <v>489558254</v>
      </c>
      <c r="AA92" s="193">
        <f t="shared" ref="AA92" si="215">SUM(AA89:AA91)</f>
        <v>1115515104</v>
      </c>
      <c r="AB92" s="193">
        <f t="shared" ref="AB92" si="216">SUM(AB89:AB91)</f>
        <v>2025809522</v>
      </c>
      <c r="AC92" s="193" t="e">
        <f t="shared" ref="AC92" si="217">SUM(AC89:AC91)</f>
        <v>#REF!</v>
      </c>
      <c r="AE92" s="193" t="e">
        <f t="shared" ref="AE92" si="218">SUM(AE89:AE91)</f>
        <v>#REF!</v>
      </c>
      <c r="AG92" s="193">
        <f t="shared" ref="AG92" si="219">SUM(AG89:AG91)</f>
        <v>860914851</v>
      </c>
    </row>
    <row r="93" spans="2:34" s="206" customFormat="1">
      <c r="B93" s="222"/>
      <c r="D93" s="207" t="s">
        <v>112</v>
      </c>
      <c r="E93" s="208"/>
      <c r="F93" s="209">
        <f>F92</f>
        <v>145861070.5</v>
      </c>
      <c r="G93" s="209">
        <f>G92-F92</f>
        <v>234450807</v>
      </c>
      <c r="H93" s="209">
        <f>H92-G92</f>
        <v>260117100.20000005</v>
      </c>
      <c r="I93" s="209" t="e">
        <f t="shared" ref="I93" si="220">I92-H92</f>
        <v>#REF!</v>
      </c>
      <c r="J93" s="209">
        <f>J92</f>
        <v>128350053</v>
      </c>
      <c r="K93" s="209">
        <f t="shared" ref="K93:M93" si="221">K92-J92</f>
        <v>46458730</v>
      </c>
      <c r="L93" s="209">
        <f t="shared" si="221"/>
        <v>314749471</v>
      </c>
      <c r="M93" s="209">
        <f t="shared" si="221"/>
        <v>175999373</v>
      </c>
      <c r="N93" s="209">
        <f>N92-M92</f>
        <v>195357224</v>
      </c>
      <c r="O93" s="209">
        <f>O92-N92</f>
        <v>254600253</v>
      </c>
      <c r="P93" s="209">
        <f>P92-O92</f>
        <v>260589285</v>
      </c>
      <c r="Q93" s="209">
        <f t="shared" ref="Q93:R93" si="222">Q92-P92</f>
        <v>366215017</v>
      </c>
      <c r="R93" s="209">
        <f t="shared" si="222"/>
        <v>283490116</v>
      </c>
      <c r="S93" s="209" t="e">
        <f t="shared" ref="S93" si="223">S92-R92</f>
        <v>#REF!</v>
      </c>
      <c r="T93" s="209" t="e">
        <f t="shared" ref="T93" si="224">T92-S92</f>
        <v>#REF!</v>
      </c>
      <c r="U93" s="209" t="e">
        <f t="shared" ref="U93" si="225">U92-T92</f>
        <v>#REF!</v>
      </c>
      <c r="V93" s="208"/>
      <c r="W93" s="209">
        <f>W92/3</f>
        <v>48620356.833333336</v>
      </c>
      <c r="X93" s="209" t="e">
        <f>X92/4</f>
        <v>#REF!</v>
      </c>
      <c r="Y93" s="208"/>
      <c r="Z93" s="209">
        <f>Z92</f>
        <v>489558254</v>
      </c>
      <c r="AA93" s="209">
        <f>AA92/2</f>
        <v>557757552</v>
      </c>
      <c r="AB93" s="209">
        <f>AB92/3</f>
        <v>675269840.66666663</v>
      </c>
      <c r="AC93" s="209" t="e">
        <f>AC92/4</f>
        <v>#REF!</v>
      </c>
      <c r="AD93" s="208"/>
      <c r="AE93" s="209"/>
      <c r="AF93" s="208"/>
      <c r="AG93" s="209" t="e">
        <f>AG92-AE92</f>
        <v>#REF!</v>
      </c>
      <c r="AH93" s="211"/>
    </row>
    <row r="94" spans="2:34" s="206" customFormat="1">
      <c r="B94" s="222"/>
      <c r="D94" s="207" t="s">
        <v>113</v>
      </c>
      <c r="E94" s="208"/>
      <c r="F94" s="209">
        <f t="shared" ref="F94:P94" si="226">F92/F$1</f>
        <v>145861070.5</v>
      </c>
      <c r="G94" s="209">
        <f t="shared" si="226"/>
        <v>190155938.75</v>
      </c>
      <c r="H94" s="209">
        <f t="shared" si="226"/>
        <v>213476325.90000001</v>
      </c>
      <c r="I94" s="209" t="e">
        <f t="shared" si="226"/>
        <v>#REF!</v>
      </c>
      <c r="J94" s="209">
        <f t="shared" si="226"/>
        <v>128350053</v>
      </c>
      <c r="K94" s="209">
        <f t="shared" si="226"/>
        <v>87404391.5</v>
      </c>
      <c r="L94" s="209">
        <f t="shared" si="226"/>
        <v>163186084.66666666</v>
      </c>
      <c r="M94" s="209">
        <f t="shared" si="226"/>
        <v>166389406.75</v>
      </c>
      <c r="N94" s="209">
        <f t="shared" si="226"/>
        <v>172182970.19999999</v>
      </c>
      <c r="O94" s="209">
        <f t="shared" si="226"/>
        <v>185919184</v>
      </c>
      <c r="P94" s="209">
        <f t="shared" si="226"/>
        <v>196586341.2857143</v>
      </c>
      <c r="Q94" s="209">
        <f>Q92/Q$1</f>
        <v>217789925.75</v>
      </c>
      <c r="R94" s="209">
        <f>R92/R$1</f>
        <v>225089946.8888889</v>
      </c>
      <c r="S94" s="209" t="e">
        <f t="shared" ref="S94:U94" si="227">S92/S$1</f>
        <v>#REF!</v>
      </c>
      <c r="T94" s="209" t="e">
        <f t="shared" si="227"/>
        <v>#REF!</v>
      </c>
      <c r="U94" s="209" t="e">
        <f t="shared" si="227"/>
        <v>#REF!</v>
      </c>
      <c r="V94" s="208"/>
      <c r="W94" s="209">
        <f t="shared" ref="W94:X94" si="228">W92/W$1</f>
        <v>145861070.5</v>
      </c>
      <c r="X94" s="209" t="e">
        <f t="shared" si="228"/>
        <v>#REF!</v>
      </c>
      <c r="Y94" s="208"/>
      <c r="Z94" s="209">
        <f t="shared" ref="Z94:AC94" si="229">Z92/Z$1</f>
        <v>163186084.66666666</v>
      </c>
      <c r="AA94" s="209">
        <f t="shared" si="229"/>
        <v>185919184</v>
      </c>
      <c r="AB94" s="209">
        <f t="shared" si="229"/>
        <v>225089946.8888889</v>
      </c>
      <c r="AC94" s="209" t="e">
        <f t="shared" si="229"/>
        <v>#REF!</v>
      </c>
      <c r="AD94" s="208"/>
      <c r="AE94" s="209" t="e">
        <f>AE92/AE$1</f>
        <v>#REF!</v>
      </c>
      <c r="AF94" s="208"/>
      <c r="AG94" s="209">
        <f>AG92/AG$1</f>
        <v>172182970.19999999</v>
      </c>
      <c r="AH94" s="211"/>
    </row>
    <row r="95" spans="2:34" s="206" customFormat="1">
      <c r="B95" s="222"/>
      <c r="D95" s="207" t="s">
        <v>114</v>
      </c>
      <c r="E95" s="208"/>
      <c r="F95" s="209">
        <f t="shared" ref="F95:P95" si="230">F92/F$3</f>
        <v>4862035.6833333336</v>
      </c>
      <c r="G95" s="209">
        <f t="shared" si="230"/>
        <v>6234620.9426229512</v>
      </c>
      <c r="H95" s="209">
        <f t="shared" si="230"/>
        <v>7037681.0736263739</v>
      </c>
      <c r="I95" s="209" t="e">
        <f t="shared" si="230"/>
        <v>#REF!</v>
      </c>
      <c r="J95" s="209">
        <f t="shared" si="230"/>
        <v>4140324.2903225808</v>
      </c>
      <c r="K95" s="209">
        <f t="shared" si="230"/>
        <v>2962860.7288135593</v>
      </c>
      <c r="L95" s="209">
        <f t="shared" si="230"/>
        <v>5439536.1555555556</v>
      </c>
      <c r="M95" s="209">
        <f t="shared" si="230"/>
        <v>5546313.5583333336</v>
      </c>
      <c r="N95" s="209">
        <f t="shared" si="230"/>
        <v>5701422.8543046359</v>
      </c>
      <c r="O95" s="209">
        <f t="shared" si="230"/>
        <v>6163066.872928177</v>
      </c>
      <c r="P95" s="209">
        <f t="shared" si="230"/>
        <v>6491058.4386792453</v>
      </c>
      <c r="Q95" s="209">
        <f>Q92/Q$3</f>
        <v>7170038.70781893</v>
      </c>
      <c r="R95" s="209">
        <f>R92/R$3</f>
        <v>7393465.4087591236</v>
      </c>
      <c r="S95" s="209" t="e">
        <f t="shared" ref="S95:U95" si="231">S92/S$3</f>
        <v>#REF!</v>
      </c>
      <c r="T95" s="209" t="e">
        <f t="shared" si="231"/>
        <v>#REF!</v>
      </c>
      <c r="U95" s="209" t="e">
        <f t="shared" si="231"/>
        <v>#REF!</v>
      </c>
      <c r="V95" s="208"/>
      <c r="W95" s="209">
        <f t="shared" ref="W95:X95" si="232">W92/W$3</f>
        <v>4862035.6833333336</v>
      </c>
      <c r="X95" s="209" t="e">
        <f t="shared" si="232"/>
        <v>#REF!</v>
      </c>
      <c r="Y95" s="208"/>
      <c r="Z95" s="209">
        <f t="shared" ref="Z95:AC95" si="233">Z92/Z$3</f>
        <v>5439536.1555555556</v>
      </c>
      <c r="AA95" s="209">
        <f t="shared" si="233"/>
        <v>6163066.872928177</v>
      </c>
      <c r="AB95" s="209">
        <f t="shared" si="233"/>
        <v>7393465.4087591236</v>
      </c>
      <c r="AC95" s="209" t="e">
        <f t="shared" si="233"/>
        <v>#REF!</v>
      </c>
      <c r="AD95" s="208"/>
      <c r="AE95" s="209" t="e">
        <f>AE92/AE$3</f>
        <v>#REF!</v>
      </c>
      <c r="AF95" s="208"/>
      <c r="AG95" s="209">
        <f>AG92/AG$3</f>
        <v>5701422.8543046359</v>
      </c>
      <c r="AH95" s="211"/>
    </row>
    <row r="96" spans="2:34" s="206" customFormat="1">
      <c r="B96" s="222"/>
      <c r="D96" s="207" t="s">
        <v>115</v>
      </c>
      <c r="E96" s="208"/>
      <c r="F96" s="227">
        <f>(F$92*12/9)/F$36</f>
        <v>18.350073318358646</v>
      </c>
      <c r="G96" s="227">
        <f>(G$92*12/10)/G$36</f>
        <v>31.57168621005264</v>
      </c>
      <c r="H96" s="227">
        <f>(H$92*12/11)/H$36</f>
        <v>49.302246502920759</v>
      </c>
      <c r="I96" s="227" t="e">
        <f>(I$92*1)/I$36</f>
        <v>#REF!</v>
      </c>
      <c r="J96" s="227">
        <f>(J$92*12)/J$36</f>
        <v>54.107721135243885</v>
      </c>
      <c r="K96" s="227">
        <f>(K$92*6)/K$36</f>
        <v>36.65330145276036</v>
      </c>
      <c r="L96" s="227">
        <f>(L$92*12/3)/L$36</f>
        <v>66.843301636004028</v>
      </c>
      <c r="M96" s="227">
        <f>(M$92*12/4)/M$36</f>
        <v>67.008962809957467</v>
      </c>
      <c r="N96" s="227">
        <f>(N$92*12/5)/N$36</f>
        <v>46.878359464360173</v>
      </c>
      <c r="O96" s="227">
        <f>(O$92*12/5)/O$36</f>
        <v>45.235541127228615</v>
      </c>
      <c r="P96" s="227">
        <f>(P$92*12/5)/P$36</f>
        <v>56.648912508876215</v>
      </c>
      <c r="Q96" s="227">
        <f>(Q$92*12/8)/Q$36</f>
        <v>45.178573532863446</v>
      </c>
      <c r="R96" s="227">
        <f>(R$92*12/8)/R$36</f>
        <v>53.317881268565522</v>
      </c>
      <c r="S96" s="227" t="e">
        <f t="shared" ref="S96:U96" si="234">(S$92*12/9)/S$36</f>
        <v>#REF!</v>
      </c>
      <c r="T96" s="227" t="e">
        <f t="shared" si="234"/>
        <v>#REF!</v>
      </c>
      <c r="U96" s="227" t="e">
        <f t="shared" si="234"/>
        <v>#REF!</v>
      </c>
      <c r="V96" s="208"/>
      <c r="W96" s="227">
        <f>(W$92*12/9)/W$36</f>
        <v>18.350073318358646</v>
      </c>
      <c r="X96" s="227" t="e">
        <f>(X$92)/X$36</f>
        <v>#REF!</v>
      </c>
      <c r="Y96" s="208"/>
      <c r="Z96" s="227">
        <f>(Z$92*12/3)/Z$36</f>
        <v>66.843301636004028</v>
      </c>
      <c r="AA96" s="227">
        <f>(AA$92*12/6)/AA$36</f>
        <v>37.696284272690512</v>
      </c>
      <c r="AB96" s="227">
        <f>(AB$92*12/9)/AB$36</f>
        <v>47.393672238724903</v>
      </c>
      <c r="AC96" s="227" t="e">
        <f>(AC$92)/AC$36</f>
        <v>#REF!</v>
      </c>
      <c r="AD96" s="208"/>
      <c r="AE96" s="227" t="e">
        <f>(AE$92)/AE$36</f>
        <v>#REF!</v>
      </c>
      <c r="AF96" s="208"/>
      <c r="AG96" s="227">
        <f>(AG$92)/AG$36</f>
        <v>19.532649776816736</v>
      </c>
      <c r="AH96" s="211"/>
    </row>
    <row r="97" spans="2:34" s="206" customFormat="1">
      <c r="B97" s="222"/>
      <c r="D97" s="207" t="s">
        <v>116</v>
      </c>
      <c r="E97" s="208"/>
      <c r="F97" s="227">
        <f>(F$92*12/9)/F$79</f>
        <v>1.1893614020423937</v>
      </c>
      <c r="G97" s="227">
        <f>(G$92*12/10)/G$79</f>
        <v>1.7921437472344093</v>
      </c>
      <c r="H97" s="227">
        <f>(H$92*12/11)/H$79</f>
        <v>2.7522438758621255</v>
      </c>
      <c r="I97" s="227" t="e">
        <f>(I$92*1)/I$79</f>
        <v>#REF!</v>
      </c>
      <c r="J97" s="227">
        <f>(J$92*12)/J$79</f>
        <v>3.1494418840179219</v>
      </c>
      <c r="K97" s="227">
        <f>(K$92*6)/K$79</f>
        <v>2.4760005821486493</v>
      </c>
      <c r="L97" s="227">
        <f>(L$92*12/3)/L$79</f>
        <v>4.4748003190587147</v>
      </c>
      <c r="M97" s="227">
        <f>(M$92*12/4)/M$79</f>
        <v>4.2476579024913947</v>
      </c>
      <c r="N97" s="227">
        <f>(N$92*12/5)/N$79</f>
        <v>4.6714538272915762</v>
      </c>
      <c r="O97" s="227">
        <f>(O$92*12/6)/O$79</f>
        <v>5.0143486344944082</v>
      </c>
      <c r="P97" s="227">
        <f>(P$92*12/7)/P$79</f>
        <v>5.1671183718830589</v>
      </c>
      <c r="Q97" s="227">
        <f>(Q$92*12/8)/Q$79</f>
        <v>5.3380496206413248</v>
      </c>
      <c r="R97" s="227">
        <f>(R$92*12/8)/R$79</f>
        <v>5.7879358846541153</v>
      </c>
      <c r="S97" s="227" t="e">
        <f t="shared" ref="S97:U97" si="235">(S$92*12/9)/S$79</f>
        <v>#REF!</v>
      </c>
      <c r="T97" s="227" t="e">
        <f t="shared" si="235"/>
        <v>#REF!</v>
      </c>
      <c r="U97" s="227" t="e">
        <f t="shared" si="235"/>
        <v>#REF!</v>
      </c>
      <c r="V97" s="208"/>
      <c r="W97" s="227">
        <f>(W$92*12/9)/W$79</f>
        <v>1.1893614020423937</v>
      </c>
      <c r="X97" s="227" t="e">
        <f>(X$92)/X$79</f>
        <v>#REF!</v>
      </c>
      <c r="Y97" s="208"/>
      <c r="Z97" s="227">
        <f>(Z$92*12/3)/Z$79</f>
        <v>4.4748003190587147</v>
      </c>
      <c r="AA97" s="227">
        <f>(AA$92*12/6)/AA$79</f>
        <v>5.0143486344944082</v>
      </c>
      <c r="AB97" s="227">
        <f>(AB$92*12/9)/AB$79</f>
        <v>5.1448318974703238</v>
      </c>
      <c r="AC97" s="227" t="e">
        <f>(AC$92)/AC$79</f>
        <v>#REF!</v>
      </c>
      <c r="AD97" s="208"/>
      <c r="AE97" s="227" t="e">
        <f>(AE$92)/AE$79</f>
        <v>#REF!</v>
      </c>
      <c r="AF97" s="208"/>
      <c r="AG97" s="227">
        <f>(AG$92)/AG$79</f>
        <v>1.9464390947048231</v>
      </c>
      <c r="AH97" s="211"/>
    </row>
    <row r="98" spans="2:34" s="173" customFormat="1">
      <c r="D98" s="203"/>
      <c r="E98" s="170"/>
      <c r="V98" s="170"/>
      <c r="Y98" s="170"/>
      <c r="AD98" s="170"/>
      <c r="AF98" s="170"/>
    </row>
    <row r="99" spans="2:34" ht="12.95" customHeight="1">
      <c r="B99" s="222" t="s">
        <v>117</v>
      </c>
      <c r="D99" s="228" t="s">
        <v>175</v>
      </c>
      <c r="F99" s="184">
        <f>'CIFRAS EEFF'!D63</f>
        <v>95571350.650000006</v>
      </c>
      <c r="G99" s="184">
        <f>'CIFRAS EEFF'!E63</f>
        <v>243084558.83000001</v>
      </c>
      <c r="H99" s="184">
        <f>'CIFRAS EEFF'!F63</f>
        <v>450857792.45999998</v>
      </c>
      <c r="I99" s="184" t="e">
        <f>'CIFRAS EEFF'!#REF!</f>
        <v>#REF!</v>
      </c>
      <c r="J99" s="184">
        <f>'CIFRAS EEFF'!G63</f>
        <v>71459376.459999993</v>
      </c>
      <c r="K99" s="184">
        <f>'CIFRAS EEFF'!H63</f>
        <v>100750612.20999999</v>
      </c>
      <c r="L99" s="184">
        <f>'CIFRAS EEFF'!I63</f>
        <v>303463074.51999998</v>
      </c>
      <c r="M99" s="184">
        <f>'CIFRAS EEFF'!J63</f>
        <v>371595086.33999997</v>
      </c>
      <c r="N99" s="184">
        <f>'CIFRAS EEFF'!K63</f>
        <v>501815633.31</v>
      </c>
      <c r="O99" s="184">
        <f>'CIFRAS EEFF'!L63</f>
        <v>679094578.91999996</v>
      </c>
      <c r="P99" s="184">
        <f>'CIFRAS EEFF'!M63</f>
        <v>853932992</v>
      </c>
      <c r="Q99" s="184">
        <f>'CIFRAS EEFF'!N63</f>
        <v>1111396407.04</v>
      </c>
      <c r="R99" s="184">
        <f>'CIFRAS EEFF'!O63</f>
        <v>1265446799</v>
      </c>
      <c r="S99" s="184" t="e">
        <f>'CIFRAS EEFF'!#REF!</f>
        <v>#REF!</v>
      </c>
      <c r="T99" s="184" t="e">
        <f>'CIFRAS EEFF'!#REF!</f>
        <v>#REF!</v>
      </c>
      <c r="U99" s="184" t="e">
        <f>'CIFRAS EEFF'!#REF!</f>
        <v>#REF!</v>
      </c>
      <c r="W99" s="184">
        <f>F99</f>
        <v>95571350.650000006</v>
      </c>
      <c r="X99" s="184" t="e">
        <f>I99</f>
        <v>#REF!</v>
      </c>
      <c r="Z99" s="184">
        <f>L99</f>
        <v>303463074.51999998</v>
      </c>
      <c r="AA99" s="184">
        <f>O99</f>
        <v>679094578.91999996</v>
      </c>
      <c r="AB99" s="184">
        <f>R99</f>
        <v>1265446799</v>
      </c>
      <c r="AC99" s="184" t="e">
        <f>S99</f>
        <v>#REF!</v>
      </c>
      <c r="AE99" s="184" t="e">
        <f>I99</f>
        <v>#REF!</v>
      </c>
      <c r="AG99" s="184">
        <f>N99</f>
        <v>501815633.31</v>
      </c>
    </row>
    <row r="100" spans="2:34" s="206" customFormat="1">
      <c r="B100" s="222"/>
      <c r="D100" s="207" t="s">
        <v>181</v>
      </c>
      <c r="E100" s="208"/>
      <c r="F100" s="190">
        <f>F99/F$92</f>
        <v>0.6552217827717095</v>
      </c>
      <c r="G100" s="190">
        <f t="shared" ref="G100:AG100" si="236">G99/G$92</f>
        <v>0.6391716199555193</v>
      </c>
      <c r="H100" s="190">
        <f t="shared" si="236"/>
        <v>0.70399342965270695</v>
      </c>
      <c r="I100" s="190" t="e">
        <f t="shared" si="236"/>
        <v>#REF!</v>
      </c>
      <c r="J100" s="190">
        <f t="shared" si="236"/>
        <v>0.55675377446084884</v>
      </c>
      <c r="K100" s="190">
        <f t="shared" si="236"/>
        <v>0.5763475409013058</v>
      </c>
      <c r="L100" s="190">
        <f t="shared" si="236"/>
        <v>0.61987122480422929</v>
      </c>
      <c r="M100" s="190">
        <f t="shared" si="236"/>
        <v>0.55832143042964477</v>
      </c>
      <c r="N100" s="190">
        <f t="shared" si="236"/>
        <v>0.58288648723751657</v>
      </c>
      <c r="O100" s="190">
        <f t="shared" si="236"/>
        <v>0.6087721954502554</v>
      </c>
      <c r="P100" s="190">
        <f t="shared" si="236"/>
        <v>0.62054376021614444</v>
      </c>
      <c r="Q100" s="190">
        <f t="shared" si="236"/>
        <v>0.63788327399252986</v>
      </c>
      <c r="R100" s="190">
        <f t="shared" ref="R100" si="237">R99/R$92</f>
        <v>0.62466228204450114</v>
      </c>
      <c r="S100" s="190" t="e">
        <f t="shared" ref="S100:U100" si="238">S99/S$92</f>
        <v>#REF!</v>
      </c>
      <c r="T100" s="190" t="e">
        <f t="shared" si="238"/>
        <v>#REF!</v>
      </c>
      <c r="U100" s="190" t="e">
        <f t="shared" si="238"/>
        <v>#REF!</v>
      </c>
      <c r="V100" s="208"/>
      <c r="W100" s="190">
        <f t="shared" si="236"/>
        <v>0.6552217827717095</v>
      </c>
      <c r="X100" s="190" t="e">
        <f t="shared" si="236"/>
        <v>#REF!</v>
      </c>
      <c r="Y100" s="208"/>
      <c r="Z100" s="190">
        <f t="shared" si="236"/>
        <v>0.61987122480422929</v>
      </c>
      <c r="AA100" s="190">
        <f t="shared" si="236"/>
        <v>0.6087721954502554</v>
      </c>
      <c r="AB100" s="190">
        <f t="shared" si="236"/>
        <v>0.62466228204450114</v>
      </c>
      <c r="AC100" s="190" t="e">
        <f t="shared" si="236"/>
        <v>#REF!</v>
      </c>
      <c r="AD100" s="208"/>
      <c r="AE100" s="190" t="e">
        <f t="shared" si="236"/>
        <v>#REF!</v>
      </c>
      <c r="AF100" s="208"/>
      <c r="AG100" s="190">
        <f t="shared" si="236"/>
        <v>0.58288648723751657</v>
      </c>
      <c r="AH100" s="211"/>
    </row>
    <row r="101" spans="2:34">
      <c r="B101" s="222"/>
      <c r="D101" s="228" t="s">
        <v>190</v>
      </c>
      <c r="F101" s="184">
        <v>0</v>
      </c>
      <c r="G101" s="184">
        <v>0</v>
      </c>
      <c r="H101" s="184">
        <v>0</v>
      </c>
      <c r="I101" s="184">
        <v>0</v>
      </c>
      <c r="J101" s="235"/>
      <c r="K101" s="235"/>
      <c r="L101" s="235"/>
      <c r="M101" s="235"/>
      <c r="N101" s="235"/>
      <c r="O101" s="235"/>
      <c r="P101" s="235"/>
      <c r="Q101" s="235"/>
      <c r="R101" s="235"/>
      <c r="S101" s="235"/>
      <c r="T101" s="235" t="e">
        <f>+'CIFRAS EEFF'!#REF!</f>
        <v>#REF!</v>
      </c>
      <c r="U101" s="235" t="e">
        <f>+'CIFRAS EEFF'!#REF!</f>
        <v>#REF!</v>
      </c>
      <c r="W101" s="184">
        <f>F101</f>
        <v>0</v>
      </c>
      <c r="X101" s="184">
        <f>I101</f>
        <v>0</v>
      </c>
      <c r="Z101" s="184">
        <f>L101</f>
        <v>0</v>
      </c>
      <c r="AA101" s="184">
        <f>O101</f>
        <v>0</v>
      </c>
      <c r="AB101" s="184">
        <f>R101</f>
        <v>0</v>
      </c>
      <c r="AC101" s="184">
        <f>S101</f>
        <v>0</v>
      </c>
      <c r="AE101" s="184">
        <f>I101</f>
        <v>0</v>
      </c>
      <c r="AG101" s="184">
        <f>N101</f>
        <v>0</v>
      </c>
    </row>
    <row r="102" spans="2:34" s="206" customFormat="1">
      <c r="B102" s="222"/>
      <c r="D102" s="207" t="s">
        <v>193</v>
      </c>
      <c r="E102" s="208"/>
      <c r="F102" s="190">
        <f>F101/F$92</f>
        <v>0</v>
      </c>
      <c r="G102" s="190">
        <f t="shared" ref="G102:Q102" si="239">G101/G$92</f>
        <v>0</v>
      </c>
      <c r="H102" s="190">
        <f t="shared" si="239"/>
        <v>0</v>
      </c>
      <c r="I102" s="190" t="e">
        <f t="shared" si="239"/>
        <v>#REF!</v>
      </c>
      <c r="J102" s="190">
        <f t="shared" si="239"/>
        <v>0</v>
      </c>
      <c r="K102" s="190">
        <f t="shared" si="239"/>
        <v>0</v>
      </c>
      <c r="L102" s="190">
        <f t="shared" si="239"/>
        <v>0</v>
      </c>
      <c r="M102" s="190">
        <f t="shared" si="239"/>
        <v>0</v>
      </c>
      <c r="N102" s="190">
        <f t="shared" si="239"/>
        <v>0</v>
      </c>
      <c r="O102" s="190">
        <f t="shared" si="239"/>
        <v>0</v>
      </c>
      <c r="P102" s="190">
        <f t="shared" si="239"/>
        <v>0</v>
      </c>
      <c r="Q102" s="190">
        <f t="shared" si="239"/>
        <v>0</v>
      </c>
      <c r="R102" s="190">
        <f t="shared" ref="R102" si="240">R101/R$92</f>
        <v>0</v>
      </c>
      <c r="S102" s="190" t="e">
        <f t="shared" ref="S102:U102" si="241">S101/S$92</f>
        <v>#REF!</v>
      </c>
      <c r="T102" s="190" t="e">
        <f t="shared" si="241"/>
        <v>#REF!</v>
      </c>
      <c r="U102" s="190" t="e">
        <f t="shared" si="241"/>
        <v>#REF!</v>
      </c>
      <c r="V102" s="208"/>
      <c r="W102" s="190">
        <f t="shared" ref="W102:X102" si="242">W101/W$92</f>
        <v>0</v>
      </c>
      <c r="X102" s="190" t="e">
        <f t="shared" si="242"/>
        <v>#REF!</v>
      </c>
      <c r="Y102" s="208"/>
      <c r="Z102" s="190">
        <f t="shared" ref="Z102:AC102" si="243">Z101/Z$92</f>
        <v>0</v>
      </c>
      <c r="AA102" s="190">
        <f t="shared" si="243"/>
        <v>0</v>
      </c>
      <c r="AB102" s="190">
        <f t="shared" si="243"/>
        <v>0</v>
      </c>
      <c r="AC102" s="190" t="e">
        <f t="shared" si="243"/>
        <v>#REF!</v>
      </c>
      <c r="AD102" s="208"/>
      <c r="AE102" s="190" t="e">
        <f t="shared" ref="AE102" si="244">AE101/AE$92</f>
        <v>#REF!</v>
      </c>
      <c r="AF102" s="208"/>
      <c r="AG102" s="190">
        <f t="shared" ref="AG102" si="245">AG101/AG$92</f>
        <v>0</v>
      </c>
      <c r="AH102" s="211"/>
    </row>
    <row r="103" spans="2:34" s="206" customFormat="1">
      <c r="B103" s="222"/>
      <c r="C103" s="206">
        <v>1</v>
      </c>
      <c r="D103" s="207" t="s">
        <v>194</v>
      </c>
      <c r="E103" s="208"/>
      <c r="F103" s="209">
        <f t="shared" ref="F103:Q103" si="246">F101/F$1</f>
        <v>0</v>
      </c>
      <c r="G103" s="209">
        <f t="shared" si="246"/>
        <v>0</v>
      </c>
      <c r="H103" s="209">
        <f t="shared" si="246"/>
        <v>0</v>
      </c>
      <c r="I103" s="209">
        <f t="shared" si="246"/>
        <v>0</v>
      </c>
      <c r="J103" s="209">
        <f t="shared" si="246"/>
        <v>0</v>
      </c>
      <c r="K103" s="209">
        <f t="shared" si="246"/>
        <v>0</v>
      </c>
      <c r="L103" s="209">
        <f t="shared" si="246"/>
        <v>0</v>
      </c>
      <c r="M103" s="209">
        <f t="shared" si="246"/>
        <v>0</v>
      </c>
      <c r="N103" s="209">
        <f t="shared" si="246"/>
        <v>0</v>
      </c>
      <c r="O103" s="209">
        <f t="shared" si="246"/>
        <v>0</v>
      </c>
      <c r="P103" s="209">
        <f t="shared" si="246"/>
        <v>0</v>
      </c>
      <c r="Q103" s="209">
        <f t="shared" si="246"/>
        <v>0</v>
      </c>
      <c r="R103" s="209">
        <f t="shared" ref="R103" si="247">R101/R$1</f>
        <v>0</v>
      </c>
      <c r="S103" s="209">
        <f t="shared" ref="S103:U103" si="248">S101/S$1</f>
        <v>0</v>
      </c>
      <c r="T103" s="209" t="e">
        <f t="shared" si="248"/>
        <v>#REF!</v>
      </c>
      <c r="U103" s="209" t="e">
        <f t="shared" si="248"/>
        <v>#REF!</v>
      </c>
      <c r="V103" s="208"/>
      <c r="W103" s="209">
        <f t="shared" ref="W103:X103" si="249">W101/W$1</f>
        <v>0</v>
      </c>
      <c r="X103" s="209">
        <f t="shared" si="249"/>
        <v>0</v>
      </c>
      <c r="Y103" s="208"/>
      <c r="Z103" s="209">
        <f t="shared" ref="Z103:AC103" si="250">Z101/Z$1</f>
        <v>0</v>
      </c>
      <c r="AA103" s="209">
        <f t="shared" si="250"/>
        <v>0</v>
      </c>
      <c r="AB103" s="209">
        <f t="shared" si="250"/>
        <v>0</v>
      </c>
      <c r="AC103" s="209">
        <f t="shared" si="250"/>
        <v>0</v>
      </c>
      <c r="AD103" s="208"/>
      <c r="AE103" s="209">
        <f>AE101/AE$1</f>
        <v>0</v>
      </c>
      <c r="AF103" s="208"/>
      <c r="AG103" s="209">
        <f>AG101/AG$1</f>
        <v>0</v>
      </c>
      <c r="AH103" s="211"/>
    </row>
    <row r="104" spans="2:34">
      <c r="B104" s="222"/>
      <c r="D104" s="226" t="s">
        <v>118</v>
      </c>
      <c r="F104" s="193">
        <f>+F99+F101</f>
        <v>95571350.650000006</v>
      </c>
      <c r="G104" s="193">
        <f t="shared" ref="G104:I104" si="251">+G99+G101</f>
        <v>243084558.83000001</v>
      </c>
      <c r="H104" s="193">
        <f t="shared" si="251"/>
        <v>450857792.45999998</v>
      </c>
      <c r="I104" s="193" t="e">
        <f t="shared" si="251"/>
        <v>#REF!</v>
      </c>
      <c r="J104" s="193">
        <f>+J99</f>
        <v>71459376.459999993</v>
      </c>
      <c r="K104" s="193">
        <f t="shared" ref="K104:O104" si="252">+K99</f>
        <v>100750612.20999999</v>
      </c>
      <c r="L104" s="193">
        <f t="shared" si="252"/>
        <v>303463074.51999998</v>
      </c>
      <c r="M104" s="193">
        <f t="shared" si="252"/>
        <v>371595086.33999997</v>
      </c>
      <c r="N104" s="193">
        <f t="shared" si="252"/>
        <v>501815633.31</v>
      </c>
      <c r="O104" s="193">
        <f t="shared" si="252"/>
        <v>679094578.91999996</v>
      </c>
      <c r="P104" s="193">
        <f>+P99</f>
        <v>853932992</v>
      </c>
      <c r="Q104" s="193">
        <f t="shared" ref="Q104:V104" si="253">+Q99</f>
        <v>1111396407.04</v>
      </c>
      <c r="R104" s="193">
        <f t="shared" ref="R104" si="254">+R99</f>
        <v>1265446799</v>
      </c>
      <c r="S104" s="193" t="e">
        <f>+S99</f>
        <v>#REF!</v>
      </c>
      <c r="T104" s="193" t="e">
        <f t="shared" ref="T104:U104" si="255">+T99</f>
        <v>#REF!</v>
      </c>
      <c r="U104" s="193" t="e">
        <f t="shared" si="255"/>
        <v>#REF!</v>
      </c>
      <c r="V104" s="193">
        <f t="shared" si="253"/>
        <v>0</v>
      </c>
      <c r="W104" s="193">
        <f t="shared" ref="W104:X104" si="256">+W99+W101</f>
        <v>95571350.650000006</v>
      </c>
      <c r="X104" s="193" t="e">
        <f t="shared" si="256"/>
        <v>#REF!</v>
      </c>
      <c r="Z104" s="193">
        <f t="shared" ref="Z104:AC104" si="257">+Z99+Z101</f>
        <v>303463074.51999998</v>
      </c>
      <c r="AA104" s="193">
        <f t="shared" si="257"/>
        <v>679094578.91999996</v>
      </c>
      <c r="AB104" s="193">
        <f t="shared" si="257"/>
        <v>1265446799</v>
      </c>
      <c r="AC104" s="193" t="e">
        <f t="shared" si="257"/>
        <v>#REF!</v>
      </c>
      <c r="AE104" s="193" t="e">
        <f t="shared" ref="AE104" si="258">+AE99+AE101</f>
        <v>#REF!</v>
      </c>
      <c r="AG104" s="193">
        <f t="shared" ref="AG104" si="259">+AG99+AG101</f>
        <v>501815633.31</v>
      </c>
    </row>
    <row r="105" spans="2:34" s="206" customFormat="1">
      <c r="B105" s="222"/>
      <c r="D105" s="207" t="s">
        <v>119</v>
      </c>
      <c r="E105" s="208"/>
      <c r="F105" s="190">
        <f t="shared" ref="F105:Q105" si="260">F104/F$92</f>
        <v>0.6552217827717095</v>
      </c>
      <c r="G105" s="190">
        <f t="shared" si="260"/>
        <v>0.6391716199555193</v>
      </c>
      <c r="H105" s="190">
        <f t="shared" si="260"/>
        <v>0.70399342965270695</v>
      </c>
      <c r="I105" s="190" t="e">
        <f t="shared" si="260"/>
        <v>#REF!</v>
      </c>
      <c r="J105" s="190">
        <f t="shared" si="260"/>
        <v>0.55675377446084884</v>
      </c>
      <c r="K105" s="190">
        <f t="shared" si="260"/>
        <v>0.5763475409013058</v>
      </c>
      <c r="L105" s="190">
        <f t="shared" si="260"/>
        <v>0.61987122480422929</v>
      </c>
      <c r="M105" s="190">
        <f t="shared" si="260"/>
        <v>0.55832143042964477</v>
      </c>
      <c r="N105" s="190">
        <f t="shared" si="260"/>
        <v>0.58288648723751657</v>
      </c>
      <c r="O105" s="190">
        <f t="shared" si="260"/>
        <v>0.6087721954502554</v>
      </c>
      <c r="P105" s="190">
        <f t="shared" si="260"/>
        <v>0.62054376021614444</v>
      </c>
      <c r="Q105" s="190">
        <f t="shared" si="260"/>
        <v>0.63788327399252986</v>
      </c>
      <c r="R105" s="190">
        <f t="shared" ref="R105" si="261">R104/R$92</f>
        <v>0.62466228204450114</v>
      </c>
      <c r="S105" s="190" t="e">
        <f t="shared" ref="S105:U105" si="262">S104/S$92</f>
        <v>#REF!</v>
      </c>
      <c r="T105" s="190" t="e">
        <f t="shared" si="262"/>
        <v>#REF!</v>
      </c>
      <c r="U105" s="190" t="e">
        <f t="shared" si="262"/>
        <v>#REF!</v>
      </c>
      <c r="V105" s="208"/>
      <c r="W105" s="190">
        <f t="shared" ref="W105:X105" si="263">W104/W$92</f>
        <v>0.6552217827717095</v>
      </c>
      <c r="X105" s="190" t="e">
        <f t="shared" si="263"/>
        <v>#REF!</v>
      </c>
      <c r="Y105" s="208"/>
      <c r="Z105" s="190">
        <f t="shared" ref="Z105:AB105" si="264">Z104/Z$92</f>
        <v>0.61987122480422929</v>
      </c>
      <c r="AA105" s="190">
        <f t="shared" si="264"/>
        <v>0.6087721954502554</v>
      </c>
      <c r="AB105" s="190">
        <f t="shared" si="264"/>
        <v>0.62466228204450114</v>
      </c>
      <c r="AC105" s="190" t="e">
        <f t="shared" ref="AC105" si="265">AC104/AC$92</f>
        <v>#REF!</v>
      </c>
      <c r="AD105" s="208"/>
      <c r="AE105" s="190" t="e">
        <f t="shared" ref="AE105" si="266">AE104/AE$92</f>
        <v>#REF!</v>
      </c>
      <c r="AF105" s="208"/>
      <c r="AG105" s="190">
        <f t="shared" ref="AG105" si="267">AG104/AG$92</f>
        <v>0.58288648723751657</v>
      </c>
      <c r="AH105" s="211"/>
    </row>
    <row r="106" spans="2:34" s="206" customFormat="1">
      <c r="B106" s="222"/>
      <c r="D106" s="207" t="s">
        <v>120</v>
      </c>
      <c r="E106" s="208"/>
      <c r="F106" s="209">
        <f t="shared" ref="F106:P106" si="268">F104/F$1</f>
        <v>95571350.650000006</v>
      </c>
      <c r="G106" s="209">
        <f t="shared" si="268"/>
        <v>121542279.41500001</v>
      </c>
      <c r="H106" s="209">
        <f t="shared" si="268"/>
        <v>150285930.81999999</v>
      </c>
      <c r="I106" s="209" t="e">
        <f t="shared" si="268"/>
        <v>#REF!</v>
      </c>
      <c r="J106" s="209">
        <f t="shared" si="268"/>
        <v>71459376.459999993</v>
      </c>
      <c r="K106" s="209">
        <f t="shared" si="268"/>
        <v>50375306.104999997</v>
      </c>
      <c r="L106" s="209">
        <f t="shared" si="268"/>
        <v>101154358.17333333</v>
      </c>
      <c r="M106" s="209">
        <f t="shared" si="268"/>
        <v>92898771.584999993</v>
      </c>
      <c r="N106" s="209">
        <f t="shared" si="268"/>
        <v>100363126.662</v>
      </c>
      <c r="O106" s="209">
        <f t="shared" si="268"/>
        <v>113182429.81999999</v>
      </c>
      <c r="P106" s="209">
        <f t="shared" si="268"/>
        <v>121990427.42857143</v>
      </c>
      <c r="Q106" s="209">
        <f>Q104/Q$1</f>
        <v>138924550.88</v>
      </c>
      <c r="R106" s="209">
        <f>R104/R$1</f>
        <v>140605199.8888889</v>
      </c>
      <c r="S106" s="209" t="e">
        <f t="shared" ref="S106:U106" si="269">S104/S$1</f>
        <v>#REF!</v>
      </c>
      <c r="T106" s="209" t="e">
        <f t="shared" si="269"/>
        <v>#REF!</v>
      </c>
      <c r="U106" s="209" t="e">
        <f t="shared" si="269"/>
        <v>#REF!</v>
      </c>
      <c r="V106" s="208"/>
      <c r="W106" s="209">
        <f t="shared" ref="W106:X106" si="270">W104/W$1</f>
        <v>95571350.650000006</v>
      </c>
      <c r="X106" s="209" t="e">
        <f t="shared" si="270"/>
        <v>#REF!</v>
      </c>
      <c r="Y106" s="208"/>
      <c r="Z106" s="209">
        <f t="shared" ref="Z106:AB106" si="271">Z104/Z$1</f>
        <v>101154358.17333333</v>
      </c>
      <c r="AA106" s="209">
        <f t="shared" si="271"/>
        <v>113182429.81999999</v>
      </c>
      <c r="AB106" s="209">
        <f t="shared" si="271"/>
        <v>140605199.8888889</v>
      </c>
      <c r="AC106" s="209" t="e">
        <f t="shared" ref="AC106" si="272">AC104/AC$1</f>
        <v>#REF!</v>
      </c>
      <c r="AD106" s="208"/>
      <c r="AE106" s="209" t="e">
        <f t="shared" ref="AE106" si="273">AE104/AE$1</f>
        <v>#REF!</v>
      </c>
      <c r="AF106" s="208"/>
      <c r="AG106" s="209">
        <f t="shared" ref="AG106" si="274">AG104/AG$1</f>
        <v>100363126.662</v>
      </c>
      <c r="AH106" s="211"/>
    </row>
    <row r="107" spans="2:34" s="189" customFormat="1">
      <c r="B107" s="222"/>
      <c r="D107" s="185" t="s">
        <v>61</v>
      </c>
      <c r="E107" s="186"/>
      <c r="F107" s="187">
        <f t="shared" ref="F107:Q107" si="275">(F21)/F$95</f>
        <v>18.016341270441998</v>
      </c>
      <c r="G107" s="187">
        <f t="shared" si="275"/>
        <v>29.012917621564419</v>
      </c>
      <c r="H107" s="187">
        <f t="shared" si="275"/>
        <v>17.816792126300438</v>
      </c>
      <c r="I107" s="187" t="e">
        <f t="shared" si="275"/>
        <v>#REF!</v>
      </c>
      <c r="J107" s="187">
        <f t="shared" si="275"/>
        <v>25.549669060284689</v>
      </c>
      <c r="K107" s="187">
        <f t="shared" si="275"/>
        <v>35.35382621306848</v>
      </c>
      <c r="L107" s="187">
        <f t="shared" si="275"/>
        <v>23.242437523073608</v>
      </c>
      <c r="M107" s="187">
        <f t="shared" si="275"/>
        <v>22.545912708472351</v>
      </c>
      <c r="N107" s="187">
        <f t="shared" si="275"/>
        <v>21.582745796006719</v>
      </c>
      <c r="O107" s="187">
        <f t="shared" si="275"/>
        <v>20.5037766870703</v>
      </c>
      <c r="P107" s="187">
        <f t="shared" si="275"/>
        <v>17.111858112095593</v>
      </c>
      <c r="Q107" s="187">
        <f t="shared" si="275"/>
        <v>14.631474187942322</v>
      </c>
      <c r="R107" s="187">
        <f t="shared" ref="R107" si="276">(R21)/R$95</f>
        <v>13.61767093421728</v>
      </c>
      <c r="S107" s="187" t="e">
        <f t="shared" ref="S107:U107" si="277">(S21)/S$95</f>
        <v>#REF!</v>
      </c>
      <c r="T107" s="187" t="e">
        <f t="shared" si="277"/>
        <v>#REF!</v>
      </c>
      <c r="U107" s="187" t="e">
        <f t="shared" si="277"/>
        <v>#REF!</v>
      </c>
      <c r="V107" s="186"/>
      <c r="W107" s="187">
        <f>(W21)/W$95</f>
        <v>18.016341270441998</v>
      </c>
      <c r="X107" s="187" t="e">
        <f>(X21)/X$95</f>
        <v>#REF!</v>
      </c>
      <c r="Y107" s="186"/>
      <c r="Z107" s="187">
        <f>(Z21)/Z$95</f>
        <v>23.242437523073608</v>
      </c>
      <c r="AA107" s="187">
        <f>(AA21)/AA$95</f>
        <v>20.5037766870703</v>
      </c>
      <c r="AB107" s="187">
        <f>(AB21)/AB$95</f>
        <v>13.61767093421728</v>
      </c>
      <c r="AC107" s="187" t="e">
        <f>(AC21)/AC$95</f>
        <v>#REF!</v>
      </c>
      <c r="AD107" s="186"/>
      <c r="AE107" s="187" t="e">
        <f>(AE21)/AE$95</f>
        <v>#REF!</v>
      </c>
      <c r="AF107" s="186"/>
      <c r="AG107" s="187">
        <f>(AG21)/AG$95</f>
        <v>21.582745796006719</v>
      </c>
      <c r="AH107" s="188"/>
    </row>
    <row r="108" spans="2:34" s="173" customFormat="1">
      <c r="D108" s="203"/>
      <c r="E108" s="170"/>
      <c r="V108" s="170"/>
      <c r="Y108" s="170"/>
      <c r="AD108" s="170"/>
      <c r="AF108" s="170"/>
    </row>
    <row r="109" spans="2:34">
      <c r="B109" s="222"/>
      <c r="D109" s="226" t="s">
        <v>326</v>
      </c>
      <c r="F109" s="193">
        <f t="shared" ref="F109:Q109" si="278">F92-F104</f>
        <v>50289719.849999994</v>
      </c>
      <c r="G109" s="193">
        <f t="shared" si="278"/>
        <v>137227318.66999999</v>
      </c>
      <c r="H109" s="193">
        <f t="shared" si="278"/>
        <v>189571185.24000007</v>
      </c>
      <c r="I109" s="193" t="e">
        <f t="shared" si="278"/>
        <v>#REF!</v>
      </c>
      <c r="J109" s="193">
        <f t="shared" si="278"/>
        <v>56890676.540000007</v>
      </c>
      <c r="K109" s="193">
        <f t="shared" si="278"/>
        <v>74058170.790000007</v>
      </c>
      <c r="L109" s="193">
        <f t="shared" si="278"/>
        <v>186095179.48000002</v>
      </c>
      <c r="M109" s="193">
        <f t="shared" si="278"/>
        <v>293962540.66000003</v>
      </c>
      <c r="N109" s="193">
        <f t="shared" si="278"/>
        <v>359099217.69</v>
      </c>
      <c r="O109" s="193">
        <f t="shared" si="278"/>
        <v>436420525.08000004</v>
      </c>
      <c r="P109" s="193">
        <f t="shared" si="278"/>
        <v>522171397</v>
      </c>
      <c r="Q109" s="193">
        <f t="shared" si="278"/>
        <v>630922998.96000004</v>
      </c>
      <c r="R109" s="193">
        <f t="shared" ref="R109" si="279">R92-R104</f>
        <v>760362723</v>
      </c>
      <c r="S109" s="193" t="e">
        <f t="shared" ref="S109:U109" si="280">S92-S104</f>
        <v>#REF!</v>
      </c>
      <c r="T109" s="193" t="e">
        <f t="shared" si="280"/>
        <v>#REF!</v>
      </c>
      <c r="U109" s="193" t="e">
        <f t="shared" si="280"/>
        <v>#REF!</v>
      </c>
      <c r="W109" s="193">
        <f>W92-W104</f>
        <v>50289719.849999994</v>
      </c>
      <c r="X109" s="193" t="e">
        <f>X92-X104</f>
        <v>#REF!</v>
      </c>
      <c r="Z109" s="193">
        <f>Z92-Z104</f>
        <v>186095179.48000002</v>
      </c>
      <c r="AA109" s="193">
        <f>AA92-AA104</f>
        <v>436420525.08000004</v>
      </c>
      <c r="AB109" s="193">
        <f>AB92-AB104</f>
        <v>760362723</v>
      </c>
      <c r="AC109" s="193" t="e">
        <f>AC92-AC104</f>
        <v>#REF!</v>
      </c>
      <c r="AE109" s="193" t="e">
        <f>AE92-AE104</f>
        <v>#REF!</v>
      </c>
      <c r="AG109" s="193">
        <f>AG92-AG104</f>
        <v>359099217.69</v>
      </c>
    </row>
    <row r="110" spans="2:34" s="206" customFormat="1">
      <c r="B110" s="222"/>
      <c r="D110" s="207" t="s">
        <v>122</v>
      </c>
      <c r="E110" s="208"/>
      <c r="F110" s="190">
        <f t="shared" ref="F110:Q110" si="281">F109/F92</f>
        <v>0.3447782172282905</v>
      </c>
      <c r="G110" s="190">
        <f t="shared" si="281"/>
        <v>0.3608283800444807</v>
      </c>
      <c r="H110" s="190">
        <f t="shared" si="281"/>
        <v>0.29600657034729311</v>
      </c>
      <c r="I110" s="190" t="e">
        <f t="shared" si="281"/>
        <v>#REF!</v>
      </c>
      <c r="J110" s="190">
        <f>J109/J92</f>
        <v>0.44324622553915116</v>
      </c>
      <c r="K110" s="190">
        <f t="shared" si="281"/>
        <v>0.4236524590986942</v>
      </c>
      <c r="L110" s="190">
        <f t="shared" si="281"/>
        <v>0.38012877519577071</v>
      </c>
      <c r="M110" s="190">
        <f t="shared" si="281"/>
        <v>0.44167856957035523</v>
      </c>
      <c r="N110" s="190">
        <f t="shared" si="281"/>
        <v>0.41711351276248343</v>
      </c>
      <c r="O110" s="190">
        <f t="shared" si="281"/>
        <v>0.3912278045497446</v>
      </c>
      <c r="P110" s="190">
        <f t="shared" si="281"/>
        <v>0.37945623978385551</v>
      </c>
      <c r="Q110" s="190">
        <f t="shared" si="281"/>
        <v>0.36211672600747008</v>
      </c>
      <c r="R110" s="190">
        <f t="shared" ref="R110" si="282">R109/R92</f>
        <v>0.37533771795549886</v>
      </c>
      <c r="S110" s="190" t="e">
        <f t="shared" ref="S110:U110" si="283">S109/S92</f>
        <v>#REF!</v>
      </c>
      <c r="T110" s="190" t="e">
        <f t="shared" si="283"/>
        <v>#REF!</v>
      </c>
      <c r="U110" s="190" t="e">
        <f t="shared" si="283"/>
        <v>#REF!</v>
      </c>
      <c r="V110" s="208"/>
      <c r="W110" s="190">
        <f>W109/W92</f>
        <v>0.3447782172282905</v>
      </c>
      <c r="X110" s="190" t="e">
        <f>X109/X92</f>
        <v>#REF!</v>
      </c>
      <c r="Y110" s="208"/>
      <c r="Z110" s="190">
        <f>Z109/Z92</f>
        <v>0.38012877519577071</v>
      </c>
      <c r="AA110" s="190">
        <f>AA109/AA92</f>
        <v>0.3912278045497446</v>
      </c>
      <c r="AB110" s="190">
        <f>AB109/AB92</f>
        <v>0.37533771795549886</v>
      </c>
      <c r="AC110" s="190" t="e">
        <f>AC109/AC92</f>
        <v>#REF!</v>
      </c>
      <c r="AD110" s="208"/>
      <c r="AE110" s="190" t="e">
        <f>AE109/AE92</f>
        <v>#REF!</v>
      </c>
      <c r="AF110" s="208"/>
      <c r="AG110" s="190">
        <f>AG109/AG92</f>
        <v>0.41711351276248343</v>
      </c>
      <c r="AH110" s="211"/>
    </row>
    <row r="111" spans="2:34" s="173" customFormat="1">
      <c r="D111" s="203"/>
      <c r="E111" s="170"/>
      <c r="V111" s="170"/>
      <c r="Y111" s="170"/>
      <c r="AD111" s="170"/>
      <c r="AF111" s="170"/>
    </row>
    <row r="112" spans="2:34" s="230" customFormat="1" ht="12.95" customHeight="1">
      <c r="B112" s="229" t="s">
        <v>123</v>
      </c>
      <c r="D112" s="231" t="s">
        <v>124</v>
      </c>
      <c r="E112" s="232"/>
      <c r="F112" s="184">
        <f>'CIFRAS EEFF'!D83</f>
        <v>9674364</v>
      </c>
      <c r="G112" s="184">
        <f>'CIFRAS EEFF'!E83</f>
        <v>28932846.02</v>
      </c>
      <c r="H112" s="184">
        <f>'CIFRAS EEFF'!F83</f>
        <v>54945583.07</v>
      </c>
      <c r="I112" s="184" t="e">
        <f>'CIFRAS EEFF'!#REF!</f>
        <v>#REF!</v>
      </c>
      <c r="J112" s="184">
        <f>+'CIFRAS EEFF'!G84+'CIFRAS EEFF'!G90+'CIFRAS EEFF'!G91+'CIFRAS EEFF'!G95+'CIFRAS EEFF'!G94+'CIFRAS EEFF'!G96</f>
        <v>20905605</v>
      </c>
      <c r="K112" s="184">
        <f>+'CIFRAS EEFF'!H84+'CIFRAS EEFF'!H90+'CIFRAS EEFF'!H91+'CIFRAS EEFF'!H95+'CIFRAS EEFF'!H94+'CIFRAS EEFF'!H96</f>
        <v>57864163</v>
      </c>
      <c r="L112" s="184">
        <f>+'CIFRAS EEFF'!I84+'CIFRAS EEFF'!I90+'CIFRAS EEFF'!I91+'CIFRAS EEFF'!I95+'CIFRAS EEFF'!I94+'CIFRAS EEFF'!I96</f>
        <v>95905646.640000001</v>
      </c>
      <c r="M112" s="184">
        <f>+'CIFRAS EEFF'!J84+'CIFRAS EEFF'!J90+'CIFRAS EEFF'!J91+'CIFRAS EEFF'!J95+'CIFRAS EEFF'!J94+'CIFRAS EEFF'!J96</f>
        <v>122635893.64</v>
      </c>
      <c r="N112" s="184">
        <f>+'CIFRAS EEFF'!K84+'CIFRAS EEFF'!K90+'CIFRAS EEFF'!K91+'CIFRAS EEFF'!K95+'CIFRAS EEFF'!K94+'CIFRAS EEFF'!K96</f>
        <v>156267855.20987111</v>
      </c>
      <c r="O112" s="184">
        <f>+'CIFRAS EEFF'!L84+'CIFRAS EEFF'!L90+'CIFRAS EEFF'!L91+'CIFRAS EEFF'!L95+'CIFRAS EEFF'!L94+'CIFRAS EEFF'!L96</f>
        <v>193045704.31715301</v>
      </c>
      <c r="P112" s="184">
        <f>+'CIFRAS EEFF'!M84+'CIFRAS EEFF'!M90+'CIFRAS EEFF'!M91+'CIFRAS EEFF'!M95+'CIFRAS EEFF'!M94+'CIFRAS EEFF'!M96</f>
        <v>228407344.69</v>
      </c>
      <c r="Q112" s="184">
        <f>+'CIFRAS EEFF'!N84+'CIFRAS EEFF'!N90+'CIFRAS EEFF'!N91+'CIFRAS EEFF'!N95+'CIFRAS EEFF'!N94+'CIFRAS EEFF'!N96</f>
        <v>259782536.69</v>
      </c>
      <c r="R112" s="184">
        <f>+'CIFRAS EEFF'!O84+'CIFRAS EEFF'!O90+'CIFRAS EEFF'!O91+'CIFRAS EEFF'!O95+'CIFRAS EEFF'!O94+'CIFRAS EEFF'!O96</f>
        <v>303178756.60000002</v>
      </c>
      <c r="S112" s="184" t="e">
        <f>+'CIFRAS EEFF'!#REF!+'CIFRAS EEFF'!#REF!+'CIFRAS EEFF'!#REF!+'CIFRAS EEFF'!#REF!+'CIFRAS EEFF'!#REF!+'CIFRAS EEFF'!#REF!+'CIFRAS EEFF'!#REF!</f>
        <v>#REF!</v>
      </c>
      <c r="T112" s="184" t="e">
        <f>+'CIFRAS EEFF'!#REF!+'CIFRAS EEFF'!#REF!+'CIFRAS EEFF'!#REF!+'CIFRAS EEFF'!#REF!+'CIFRAS EEFF'!#REF!+'CIFRAS EEFF'!#REF!+'CIFRAS EEFF'!#REF!</f>
        <v>#REF!</v>
      </c>
      <c r="U112" s="184" t="e">
        <f>+'CIFRAS EEFF'!#REF!+'CIFRAS EEFF'!#REF!+'CIFRAS EEFF'!#REF!+'CIFRAS EEFF'!#REF!+'CIFRAS EEFF'!#REF!+'CIFRAS EEFF'!#REF!+'CIFRAS EEFF'!#REF!</f>
        <v>#REF!</v>
      </c>
      <c r="V112" s="184" t="e">
        <f>+'CIFRAS EEFF'!#REF!+'CIFRAS EEFF'!#REF!+'CIFRAS EEFF'!#REF!+'CIFRAS EEFF'!#REF!+'CIFRAS EEFF'!#REF!+'CIFRAS EEFF'!#REF!</f>
        <v>#REF!</v>
      </c>
      <c r="W112" s="233">
        <f>F112</f>
        <v>9674364</v>
      </c>
      <c r="X112" s="232" t="e">
        <f>I112</f>
        <v>#REF!</v>
      </c>
      <c r="Y112" s="233"/>
      <c r="Z112" s="234">
        <f>L112</f>
        <v>95905646.640000001</v>
      </c>
      <c r="AA112" s="230">
        <f>O112</f>
        <v>193045704.31715301</v>
      </c>
      <c r="AB112" s="230">
        <f>R112</f>
        <v>303178756.60000002</v>
      </c>
      <c r="AC112" s="230" t="e">
        <f>S112</f>
        <v>#REF!</v>
      </c>
      <c r="AE112" s="230" t="e">
        <f>I112</f>
        <v>#REF!</v>
      </c>
      <c r="AG112" s="230">
        <f>N112</f>
        <v>156267855.20987111</v>
      </c>
    </row>
    <row r="113" spans="2:34" s="206" customFormat="1">
      <c r="B113" s="229"/>
      <c r="D113" s="207" t="s">
        <v>125</v>
      </c>
      <c r="E113" s="208"/>
      <c r="F113" s="190">
        <f t="shared" ref="F113:Q113" si="284">F112/F$92</f>
        <v>6.6325880969041698E-2</v>
      </c>
      <c r="G113" s="190">
        <f t="shared" si="284"/>
        <v>7.6076630081057611E-2</v>
      </c>
      <c r="H113" s="190">
        <f t="shared" si="284"/>
        <v>8.5794967097410899E-2</v>
      </c>
      <c r="I113" s="190" t="e">
        <f t="shared" si="284"/>
        <v>#REF!</v>
      </c>
      <c r="J113" s="236">
        <f t="shared" si="284"/>
        <v>0.16287959772015054</v>
      </c>
      <c r="K113" s="236">
        <f t="shared" si="284"/>
        <v>0.3310140486476586</v>
      </c>
      <c r="L113" s="236">
        <f t="shared" si="284"/>
        <v>0.19590241989873589</v>
      </c>
      <c r="M113" s="236">
        <f t="shared" si="284"/>
        <v>0.18426036854656916</v>
      </c>
      <c r="N113" s="236">
        <f t="shared" si="284"/>
        <v>0.18151371767876626</v>
      </c>
      <c r="O113" s="236">
        <f t="shared" si="284"/>
        <v>0.17305521334935955</v>
      </c>
      <c r="P113" s="236">
        <f t="shared" si="284"/>
        <v>0.16598111779585351</v>
      </c>
      <c r="Q113" s="236">
        <f t="shared" si="284"/>
        <v>0.14910155726636037</v>
      </c>
      <c r="R113" s="236">
        <f t="shared" ref="R113" si="285">R112/R$92</f>
        <v>0.14965807658988781</v>
      </c>
      <c r="S113" s="190" t="e">
        <f t="shared" ref="S113:U113" si="286">S112/S$92</f>
        <v>#REF!</v>
      </c>
      <c r="T113" s="190" t="e">
        <f t="shared" si="286"/>
        <v>#REF!</v>
      </c>
      <c r="U113" s="190" t="e">
        <f t="shared" si="286"/>
        <v>#REF!</v>
      </c>
      <c r="V113" s="208"/>
      <c r="W113" s="190">
        <f t="shared" ref="W113:X113" si="287">W112/W$92</f>
        <v>6.6325880969041698E-2</v>
      </c>
      <c r="X113" s="190" t="e">
        <f t="shared" si="287"/>
        <v>#REF!</v>
      </c>
      <c r="Y113" s="208"/>
      <c r="Z113" s="190">
        <f t="shared" ref="Z113:AC113" si="288">Z112/Z$92</f>
        <v>0.19590241989873589</v>
      </c>
      <c r="AA113" s="190">
        <f t="shared" si="288"/>
        <v>0.17305521334935955</v>
      </c>
      <c r="AB113" s="190">
        <f t="shared" si="288"/>
        <v>0.14965807658988781</v>
      </c>
      <c r="AC113" s="190" t="e">
        <f t="shared" si="288"/>
        <v>#REF!</v>
      </c>
      <c r="AD113" s="208"/>
      <c r="AE113" s="190" t="e">
        <f t="shared" ref="AE113" si="289">AE112/AE$92</f>
        <v>#REF!</v>
      </c>
      <c r="AF113" s="208"/>
      <c r="AG113" s="190">
        <f t="shared" ref="AG113" si="290">AG112/AG$92</f>
        <v>0.18151371767876626</v>
      </c>
      <c r="AH113" s="211"/>
    </row>
    <row r="114" spans="2:34" s="206" customFormat="1">
      <c r="B114" s="229"/>
      <c r="D114" s="207" t="s">
        <v>126</v>
      </c>
      <c r="E114" s="208"/>
      <c r="F114" s="209">
        <f t="shared" ref="F114:Q114" si="291">F112/F$1</f>
        <v>9674364</v>
      </c>
      <c r="G114" s="209">
        <f t="shared" si="291"/>
        <v>14466423.01</v>
      </c>
      <c r="H114" s="209">
        <f t="shared" si="291"/>
        <v>18315194.356666666</v>
      </c>
      <c r="I114" s="209" t="e">
        <f t="shared" si="291"/>
        <v>#REF!</v>
      </c>
      <c r="J114" s="239">
        <f t="shared" si="291"/>
        <v>20905605</v>
      </c>
      <c r="K114" s="239">
        <f t="shared" si="291"/>
        <v>28932081.5</v>
      </c>
      <c r="L114" s="239">
        <f t="shared" si="291"/>
        <v>31968548.879999999</v>
      </c>
      <c r="M114" s="338">
        <f>M112/M$1</f>
        <v>30658973.41</v>
      </c>
      <c r="N114" s="239">
        <f t="shared" si="291"/>
        <v>31253571.041974224</v>
      </c>
      <c r="O114" s="239">
        <f t="shared" si="291"/>
        <v>32174284.052858833</v>
      </c>
      <c r="P114" s="239">
        <f t="shared" si="291"/>
        <v>32629620.669999998</v>
      </c>
      <c r="Q114" s="236">
        <f t="shared" si="291"/>
        <v>32472817.08625</v>
      </c>
      <c r="R114" s="236">
        <f t="shared" ref="R114" si="292">R112/R$1</f>
        <v>33686528.51111111</v>
      </c>
      <c r="S114" s="190" t="e">
        <f t="shared" ref="S114:U114" si="293">S112/S$1</f>
        <v>#REF!</v>
      </c>
      <c r="T114" s="190" t="e">
        <f t="shared" si="293"/>
        <v>#REF!</v>
      </c>
      <c r="U114" s="190" t="e">
        <f t="shared" si="293"/>
        <v>#REF!</v>
      </c>
      <c r="V114" s="190"/>
      <c r="W114" s="190">
        <f t="shared" ref="W114:X114" si="294">W112/W$1</f>
        <v>9674364</v>
      </c>
      <c r="X114" s="190" t="e">
        <f t="shared" si="294"/>
        <v>#REF!</v>
      </c>
      <c r="Y114" s="208"/>
      <c r="Z114" s="209">
        <f t="shared" ref="Z114:AC114" si="295">Z112/Z$1</f>
        <v>31968548.879999999</v>
      </c>
      <c r="AA114" s="209">
        <f t="shared" si="295"/>
        <v>32174284.052858833</v>
      </c>
      <c r="AB114" s="209">
        <f t="shared" si="295"/>
        <v>33686528.51111111</v>
      </c>
      <c r="AC114" s="209" t="e">
        <f t="shared" si="295"/>
        <v>#REF!</v>
      </c>
      <c r="AD114" s="208"/>
      <c r="AE114" s="209" t="e">
        <f t="shared" ref="AE114" si="296">AE112/AE$1</f>
        <v>#REF!</v>
      </c>
      <c r="AF114" s="208"/>
      <c r="AG114" s="209">
        <f t="shared" ref="AG114" si="297">AG112/AG$1</f>
        <v>31253571.041974224</v>
      </c>
      <c r="AH114" s="211"/>
    </row>
    <row r="115" spans="2:34" s="230" customFormat="1" ht="12.95" customHeight="1">
      <c r="B115" s="229"/>
      <c r="D115" s="231" t="s">
        <v>127</v>
      </c>
      <c r="E115" s="232"/>
      <c r="F115" s="184"/>
      <c r="G115" s="184"/>
      <c r="H115" s="184"/>
      <c r="I115" s="184"/>
      <c r="J115" s="235">
        <f>+'CIFRAS EEFF'!G86+'CIFRAS EEFF'!G88</f>
        <v>1850034</v>
      </c>
      <c r="K115" s="235">
        <f>+'CIFRAS EEFF'!H86+'CIFRAS EEFF'!H88</f>
        <v>9503360</v>
      </c>
      <c r="L115" s="235">
        <f>+'CIFRAS EEFF'!I86+'CIFRAS EEFF'!I88</f>
        <v>28080646</v>
      </c>
      <c r="M115" s="235">
        <f>+'CIFRAS EEFF'!J86+'CIFRAS EEFF'!J88</f>
        <v>36002400</v>
      </c>
      <c r="N115" s="235">
        <f>+'CIFRAS EEFF'!K86+'CIFRAS EEFF'!K88</f>
        <v>48379903</v>
      </c>
      <c r="O115" s="235">
        <f>+'CIFRAS EEFF'!L86+'CIFRAS EEFF'!L88</f>
        <v>58760295</v>
      </c>
      <c r="P115" s="235">
        <f>+'CIFRAS EEFF'!M86+'CIFRAS EEFF'!M88</f>
        <v>69752709</v>
      </c>
      <c r="Q115" s="235">
        <f>+'CIFRAS EEFF'!N86+'CIFRAS EEFF'!N88</f>
        <v>81269283</v>
      </c>
      <c r="R115" s="235">
        <f>+'CIFRAS EEFF'!O86+'CIFRAS EEFF'!O88</f>
        <v>93039528</v>
      </c>
      <c r="S115" s="235" t="e">
        <f>+'CIFRAS EEFF'!#REF!+'CIFRAS EEFF'!#REF!</f>
        <v>#REF!</v>
      </c>
      <c r="T115" s="235" t="e">
        <f>+'CIFRAS EEFF'!#REF!+'CIFRAS EEFF'!#REF!</f>
        <v>#REF!</v>
      </c>
      <c r="U115" s="235" t="e">
        <f>+'CIFRAS EEFF'!#REF!+'CIFRAS EEFF'!#REF!</f>
        <v>#REF!</v>
      </c>
      <c r="V115" s="235" t="e">
        <f>+'CIFRAS EEFF'!#REF!+'CIFRAS EEFF'!#REF!</f>
        <v>#REF!</v>
      </c>
      <c r="W115" s="233">
        <f>F115</f>
        <v>0</v>
      </c>
      <c r="X115" s="232">
        <f>I115</f>
        <v>0</v>
      </c>
      <c r="Y115" s="233"/>
      <c r="Z115" s="234">
        <f>L115</f>
        <v>28080646</v>
      </c>
      <c r="AA115" s="230">
        <f>O115</f>
        <v>58760295</v>
      </c>
      <c r="AB115" s="230">
        <f>R115</f>
        <v>93039528</v>
      </c>
      <c r="AC115" s="230" t="e">
        <f>S115</f>
        <v>#REF!</v>
      </c>
      <c r="AE115" s="230">
        <f>I115</f>
        <v>0</v>
      </c>
      <c r="AG115" s="230">
        <f>N115</f>
        <v>48379903</v>
      </c>
    </row>
    <row r="116" spans="2:34" s="206" customFormat="1">
      <c r="B116" s="229"/>
      <c r="D116" s="207" t="s">
        <v>128</v>
      </c>
      <c r="E116" s="208"/>
      <c r="F116" s="190">
        <f t="shared" ref="F116:Q116" si="298">F115/F92</f>
        <v>0</v>
      </c>
      <c r="G116" s="190">
        <f t="shared" si="298"/>
        <v>0</v>
      </c>
      <c r="H116" s="190">
        <f t="shared" si="298"/>
        <v>0</v>
      </c>
      <c r="I116" s="190" t="e">
        <f t="shared" si="298"/>
        <v>#REF!</v>
      </c>
      <c r="J116" s="236">
        <f t="shared" si="298"/>
        <v>1.4413971453521721E-2</v>
      </c>
      <c r="K116" s="236">
        <f t="shared" si="298"/>
        <v>5.4364316465723581E-2</v>
      </c>
      <c r="L116" s="236">
        <f t="shared" si="298"/>
        <v>5.7359151378949071E-2</v>
      </c>
      <c r="M116" s="236">
        <f t="shared" si="298"/>
        <v>5.4093587902043529E-2</v>
      </c>
      <c r="N116" s="236">
        <f t="shared" si="298"/>
        <v>5.6195921052824303E-2</v>
      </c>
      <c r="O116" s="236">
        <f t="shared" si="298"/>
        <v>5.2675481299444604E-2</v>
      </c>
      <c r="P116" s="236">
        <f t="shared" si="298"/>
        <v>5.0688530287072577E-2</v>
      </c>
      <c r="Q116" s="236">
        <f t="shared" si="298"/>
        <v>4.6644307995499651E-2</v>
      </c>
      <c r="R116" s="236">
        <f t="shared" ref="R116" si="299">R115/R92</f>
        <v>4.5927085932613167E-2</v>
      </c>
      <c r="S116" s="236" t="e">
        <f t="shared" ref="S116:U116" si="300">S115/S92</f>
        <v>#REF!</v>
      </c>
      <c r="T116" s="236" t="e">
        <f t="shared" si="300"/>
        <v>#REF!</v>
      </c>
      <c r="U116" s="236" t="e">
        <f t="shared" si="300"/>
        <v>#REF!</v>
      </c>
      <c r="V116" s="339"/>
      <c r="W116" s="190">
        <f>W115/W92</f>
        <v>0</v>
      </c>
      <c r="X116" s="190" t="e">
        <f>X115/X92</f>
        <v>#REF!</v>
      </c>
      <c r="Y116" s="208"/>
      <c r="Z116" s="190">
        <f>Z115/Z92</f>
        <v>5.7359151378949071E-2</v>
      </c>
      <c r="AA116" s="190">
        <f>AA115/AA92</f>
        <v>5.2675481299444604E-2</v>
      </c>
      <c r="AB116" s="190">
        <f>AB115/AB92</f>
        <v>4.5927085932613167E-2</v>
      </c>
      <c r="AC116" s="190" t="e">
        <f>AC115/AC92</f>
        <v>#REF!</v>
      </c>
      <c r="AD116" s="208"/>
      <c r="AE116" s="190" t="e">
        <f>AE115/AE92</f>
        <v>#REF!</v>
      </c>
      <c r="AF116" s="208"/>
      <c r="AG116" s="190">
        <f>AG115/AG92</f>
        <v>5.6195921052824303E-2</v>
      </c>
      <c r="AH116" s="211"/>
    </row>
    <row r="117" spans="2:34">
      <c r="B117" s="229"/>
      <c r="D117" s="226" t="s">
        <v>192</v>
      </c>
      <c r="E117" s="208"/>
      <c r="F117" s="193">
        <f t="shared" ref="F117:Q117" si="301">F112+F115</f>
        <v>9674364</v>
      </c>
      <c r="G117" s="193">
        <f t="shared" si="301"/>
        <v>28932846.02</v>
      </c>
      <c r="H117" s="193">
        <f t="shared" si="301"/>
        <v>54945583.07</v>
      </c>
      <c r="I117" s="193" t="e">
        <f t="shared" si="301"/>
        <v>#REF!</v>
      </c>
      <c r="J117" s="237">
        <f>J112+J115</f>
        <v>22755639</v>
      </c>
      <c r="K117" s="237">
        <f t="shared" si="301"/>
        <v>67367523</v>
      </c>
      <c r="L117" s="237">
        <f t="shared" si="301"/>
        <v>123986292.64</v>
      </c>
      <c r="M117" s="237">
        <f t="shared" si="301"/>
        <v>158638293.63999999</v>
      </c>
      <c r="N117" s="237">
        <f t="shared" si="301"/>
        <v>204647758.20987111</v>
      </c>
      <c r="O117" s="237">
        <f t="shared" si="301"/>
        <v>251805999.31715301</v>
      </c>
      <c r="P117" s="237">
        <f t="shared" si="301"/>
        <v>298160053.69</v>
      </c>
      <c r="Q117" s="237">
        <f t="shared" si="301"/>
        <v>341051819.69</v>
      </c>
      <c r="R117" s="237">
        <f t="shared" ref="R117" si="302">R112+R115</f>
        <v>396218284.60000002</v>
      </c>
      <c r="S117" s="237" t="e">
        <f>S112+S115</f>
        <v>#REF!</v>
      </c>
      <c r="T117" s="237" t="e">
        <f t="shared" ref="T117:U117" si="303">T112+T115</f>
        <v>#REF!</v>
      </c>
      <c r="U117" s="237" t="e">
        <f t="shared" si="303"/>
        <v>#REF!</v>
      </c>
      <c r="V117" s="339"/>
      <c r="W117" s="193">
        <f>W112+W115</f>
        <v>9674364</v>
      </c>
      <c r="X117" s="193" t="e">
        <f>X112+X115</f>
        <v>#REF!</v>
      </c>
      <c r="Y117" s="208"/>
      <c r="Z117" s="193">
        <f>Z112+Z115</f>
        <v>123986292.64</v>
      </c>
      <c r="AA117" s="193">
        <f>AA112+AA115</f>
        <v>251805999.31715301</v>
      </c>
      <c r="AB117" s="193">
        <f>AB112+AB115</f>
        <v>396218284.60000002</v>
      </c>
      <c r="AC117" s="193" t="e">
        <f>AC112+AC115</f>
        <v>#REF!</v>
      </c>
      <c r="AD117" s="208"/>
      <c r="AE117" s="193" t="e">
        <f>AE112+AE115</f>
        <v>#REF!</v>
      </c>
      <c r="AF117" s="208"/>
      <c r="AG117" s="193">
        <f>AG112+AG115</f>
        <v>204647758.20987111</v>
      </c>
    </row>
    <row r="118" spans="2:34" s="173" customFormat="1">
      <c r="D118" s="203"/>
      <c r="E118" s="170"/>
      <c r="J118" s="238"/>
      <c r="K118" s="238"/>
      <c r="L118" s="238"/>
      <c r="M118" s="238"/>
      <c r="N118" s="238"/>
      <c r="O118" s="238"/>
      <c r="P118" s="238"/>
      <c r="Q118" s="238"/>
      <c r="R118" s="238"/>
      <c r="S118" s="238"/>
      <c r="T118" s="238"/>
      <c r="U118" s="238"/>
      <c r="V118" s="340"/>
      <c r="Y118" s="170"/>
      <c r="AD118" s="170"/>
      <c r="AF118" s="170"/>
    </row>
    <row r="119" spans="2:34" s="230" customFormat="1">
      <c r="B119" s="229"/>
      <c r="D119" s="231" t="s">
        <v>129</v>
      </c>
      <c r="E119" s="232"/>
      <c r="F119" s="233"/>
      <c r="G119" s="233"/>
      <c r="H119" s="233"/>
      <c r="I119" s="233"/>
      <c r="J119" s="341">
        <f>+'CIFRAS EEFF'!G85</f>
        <v>5944888</v>
      </c>
      <c r="K119" s="341">
        <f>+'CIFRAS EEFF'!H85</f>
        <v>17093020</v>
      </c>
      <c r="L119" s="341">
        <f>+'CIFRAS EEFF'!I85</f>
        <v>27960793</v>
      </c>
      <c r="M119" s="341">
        <f>+'CIFRAS EEFF'!J85</f>
        <v>38026547.420000002</v>
      </c>
      <c r="N119" s="341">
        <f>+'CIFRAS EEFF'!K85</f>
        <v>46903968.900128901</v>
      </c>
      <c r="O119" s="341">
        <f>+'CIFRAS EEFF'!L85</f>
        <v>54195620.7328467</v>
      </c>
      <c r="P119" s="341">
        <f>+'CIFRAS EEFF'!M85</f>
        <v>61368552</v>
      </c>
      <c r="Q119" s="341">
        <f>+'CIFRAS EEFF'!N85</f>
        <v>74255567</v>
      </c>
      <c r="R119" s="341">
        <f>+'CIFRAS EEFF'!O85</f>
        <v>83264914.040000007</v>
      </c>
      <c r="S119" s="341" t="e">
        <f>+'CIFRAS EEFF'!#REF!</f>
        <v>#REF!</v>
      </c>
      <c r="T119" s="341" t="e">
        <f>+'CIFRAS EEFF'!#REF!</f>
        <v>#REF!</v>
      </c>
      <c r="U119" s="341" t="e">
        <f>+'CIFRAS EEFF'!#REF!</f>
        <v>#REF!</v>
      </c>
      <c r="V119" s="341" t="e">
        <f>+'CIFRAS EEFF'!#REF!</f>
        <v>#REF!</v>
      </c>
      <c r="W119" s="233">
        <f>F119</f>
        <v>0</v>
      </c>
      <c r="X119" s="233">
        <f>I119</f>
        <v>0</v>
      </c>
      <c r="Y119" s="232"/>
      <c r="Z119" s="233">
        <f>L119</f>
        <v>27960793</v>
      </c>
      <c r="AA119" s="233">
        <f>O119</f>
        <v>54195620.7328467</v>
      </c>
      <c r="AB119" s="233">
        <f>R119</f>
        <v>83264914.040000007</v>
      </c>
      <c r="AC119" s="233" t="e">
        <f>S119</f>
        <v>#REF!</v>
      </c>
      <c r="AD119" s="232"/>
      <c r="AE119" s="233">
        <f>I119</f>
        <v>0</v>
      </c>
      <c r="AF119" s="232"/>
      <c r="AG119" s="233">
        <f>N119</f>
        <v>46903968.900128901</v>
      </c>
      <c r="AH119" s="234"/>
    </row>
    <row r="120" spans="2:34" s="206" customFormat="1">
      <c r="B120" s="229"/>
      <c r="D120" s="207" t="s">
        <v>130</v>
      </c>
      <c r="E120" s="208"/>
      <c r="F120" s="209">
        <f t="shared" ref="F120:Q120" si="304">F119/F$1</f>
        <v>0</v>
      </c>
      <c r="G120" s="209">
        <f t="shared" si="304"/>
        <v>0</v>
      </c>
      <c r="H120" s="209">
        <f t="shared" si="304"/>
        <v>0</v>
      </c>
      <c r="I120" s="209">
        <f t="shared" si="304"/>
        <v>0</v>
      </c>
      <c r="J120" s="239">
        <f t="shared" si="304"/>
        <v>5944888</v>
      </c>
      <c r="K120" s="239">
        <f t="shared" si="304"/>
        <v>8546510</v>
      </c>
      <c r="L120" s="239">
        <f t="shared" si="304"/>
        <v>9320264.333333334</v>
      </c>
      <c r="M120" s="239">
        <f t="shared" si="304"/>
        <v>9506636.8550000004</v>
      </c>
      <c r="N120" s="239">
        <f t="shared" si="304"/>
        <v>9380793.7800257802</v>
      </c>
      <c r="O120" s="239">
        <f t="shared" si="304"/>
        <v>9032603.4554744493</v>
      </c>
      <c r="P120" s="239">
        <f t="shared" si="304"/>
        <v>8766936</v>
      </c>
      <c r="Q120" s="239">
        <f t="shared" si="304"/>
        <v>9281945.875</v>
      </c>
      <c r="R120" s="239">
        <f t="shared" ref="R120" si="305">R119/R$1</f>
        <v>9251657.1155555565</v>
      </c>
      <c r="S120" s="239" t="e">
        <f t="shared" ref="S120:U120" si="306">S119/S$1</f>
        <v>#REF!</v>
      </c>
      <c r="T120" s="239" t="e">
        <f t="shared" si="306"/>
        <v>#REF!</v>
      </c>
      <c r="U120" s="239" t="e">
        <f t="shared" si="306"/>
        <v>#REF!</v>
      </c>
      <c r="V120" s="208"/>
      <c r="W120" s="209">
        <f t="shared" ref="W120:X120" si="307">W119/W$1</f>
        <v>0</v>
      </c>
      <c r="X120" s="209">
        <f t="shared" si="307"/>
        <v>0</v>
      </c>
      <c r="Y120" s="208"/>
      <c r="Z120" s="209">
        <f t="shared" ref="Z120:AC120" si="308">Z119/Z$1</f>
        <v>9320264.333333334</v>
      </c>
      <c r="AA120" s="209">
        <f t="shared" si="308"/>
        <v>9032603.4554744493</v>
      </c>
      <c r="AB120" s="209">
        <f t="shared" si="308"/>
        <v>9251657.1155555565</v>
      </c>
      <c r="AC120" s="209" t="e">
        <f t="shared" si="308"/>
        <v>#REF!</v>
      </c>
      <c r="AD120" s="208"/>
      <c r="AE120" s="209">
        <f t="shared" ref="AE120" si="309">AE119/AE$1</f>
        <v>0</v>
      </c>
      <c r="AF120" s="208"/>
      <c r="AG120" s="209">
        <f t="shared" ref="AG120" si="310">AG119/AG$1</f>
        <v>9380793.7800257802</v>
      </c>
      <c r="AH120" s="211"/>
    </row>
    <row r="121" spans="2:34" s="206" customFormat="1">
      <c r="B121" s="229"/>
      <c r="D121" s="207" t="s">
        <v>131</v>
      </c>
      <c r="E121" s="208"/>
      <c r="F121" s="190">
        <f t="shared" ref="F121:Q121" si="311">F119/F$92</f>
        <v>0</v>
      </c>
      <c r="G121" s="190">
        <f t="shared" si="311"/>
        <v>0</v>
      </c>
      <c r="H121" s="190">
        <f t="shared" si="311"/>
        <v>0</v>
      </c>
      <c r="I121" s="190" t="e">
        <f t="shared" si="311"/>
        <v>#REF!</v>
      </c>
      <c r="J121" s="190">
        <f t="shared" si="311"/>
        <v>4.631776817419779E-2</v>
      </c>
      <c r="K121" s="190">
        <f t="shared" si="311"/>
        <v>9.7781242490544651E-2</v>
      </c>
      <c r="L121" s="190">
        <f t="shared" si="311"/>
        <v>5.7114332710239628E-2</v>
      </c>
      <c r="M121" s="190">
        <f t="shared" si="311"/>
        <v>5.7134868383079927E-2</v>
      </c>
      <c r="N121" s="190">
        <f t="shared" si="311"/>
        <v>5.4481542333306668E-2</v>
      </c>
      <c r="O121" s="190">
        <f t="shared" si="311"/>
        <v>4.8583493435913797E-2</v>
      </c>
      <c r="P121" s="190">
        <f t="shared" si="311"/>
        <v>4.4595855147730366E-2</v>
      </c>
      <c r="Q121" s="190">
        <f t="shared" si="311"/>
        <v>4.2618802697305204E-2</v>
      </c>
      <c r="R121" s="190">
        <f t="shared" ref="R121" si="312">R119/R$92</f>
        <v>4.1102044953266838E-2</v>
      </c>
      <c r="S121" s="190" t="e">
        <f t="shared" ref="S121:U121" si="313">S119/S$92</f>
        <v>#REF!</v>
      </c>
      <c r="T121" s="190" t="e">
        <f t="shared" si="313"/>
        <v>#REF!</v>
      </c>
      <c r="U121" s="190" t="e">
        <f t="shared" si="313"/>
        <v>#REF!</v>
      </c>
      <c r="V121" s="208"/>
      <c r="W121" s="190">
        <f t="shared" ref="W121:X121" si="314">W119/W$92</f>
        <v>0</v>
      </c>
      <c r="X121" s="190" t="e">
        <f t="shared" si="314"/>
        <v>#REF!</v>
      </c>
      <c r="Y121" s="208"/>
      <c r="Z121" s="190">
        <f t="shared" ref="Z121:AC121" si="315">Z119/Z$92</f>
        <v>5.7114332710239628E-2</v>
      </c>
      <c r="AA121" s="190">
        <f t="shared" si="315"/>
        <v>4.8583493435913797E-2</v>
      </c>
      <c r="AB121" s="190">
        <f t="shared" si="315"/>
        <v>4.1102044953266838E-2</v>
      </c>
      <c r="AC121" s="190" t="e">
        <f t="shared" si="315"/>
        <v>#REF!</v>
      </c>
      <c r="AD121" s="208"/>
      <c r="AE121" s="190" t="e">
        <f t="shared" ref="AE121" si="316">AE119/AE$92</f>
        <v>#REF!</v>
      </c>
      <c r="AF121" s="208"/>
      <c r="AG121" s="190">
        <f t="shared" ref="AG121" si="317">AG119/AG$92</f>
        <v>5.4481542333306668E-2</v>
      </c>
      <c r="AH121" s="211"/>
    </row>
    <row r="122" spans="2:34">
      <c r="B122" s="229"/>
      <c r="D122" s="231" t="s">
        <v>132</v>
      </c>
      <c r="F122" s="184"/>
      <c r="G122" s="184"/>
      <c r="H122" s="184"/>
      <c r="I122" s="184"/>
      <c r="J122" s="184">
        <f>+'CIFRAS EEFF'!G92+'CIFRAS EEFF'!G87+'CIFRAS EEFF'!G89</f>
        <v>11383094.810000001</v>
      </c>
      <c r="K122" s="184">
        <f>+'CIFRAS EEFF'!H92+'CIFRAS EEFF'!H87+'CIFRAS EEFF'!H89</f>
        <v>21522372.18</v>
      </c>
      <c r="L122" s="184">
        <f>+'CIFRAS EEFF'!I92+'CIFRAS EEFF'!I87+'CIFRAS EEFF'!I89</f>
        <v>39316080.460000001</v>
      </c>
      <c r="M122" s="184">
        <f>+'CIFRAS EEFF'!J92+'CIFRAS EEFF'!J87+'CIFRAS EEFF'!J89</f>
        <v>58706639</v>
      </c>
      <c r="N122" s="184">
        <f>+'CIFRAS EEFF'!K92+'CIFRAS EEFF'!K87+'CIFRAS EEFF'!K89</f>
        <v>83251197</v>
      </c>
      <c r="O122" s="184">
        <f>+'CIFRAS EEFF'!L92+'CIFRAS EEFF'!L87+'CIFRAS EEFF'!L89</f>
        <v>95025974.609999999</v>
      </c>
      <c r="P122" s="184">
        <f>+'CIFRAS EEFF'!M92+'CIFRAS EEFF'!M87+'CIFRAS EEFF'!M89</f>
        <v>101791362</v>
      </c>
      <c r="Q122" s="184">
        <f>+'CIFRAS EEFF'!N92+'CIFRAS EEFF'!N87+'CIFRAS EEFF'!N89</f>
        <v>107058677</v>
      </c>
      <c r="R122" s="184">
        <f>+'CIFRAS EEFF'!O92+'CIFRAS EEFF'!O87+'CIFRAS EEFF'!O89</f>
        <v>118118666</v>
      </c>
      <c r="S122" s="184" t="e">
        <f>+'CIFRAS EEFF'!#REF!+'CIFRAS EEFF'!#REF!+'CIFRAS EEFF'!#REF!</f>
        <v>#REF!</v>
      </c>
      <c r="T122" s="184" t="e">
        <f>+'CIFRAS EEFF'!#REF!+'CIFRAS EEFF'!#REF!+'CIFRAS EEFF'!#REF!</f>
        <v>#REF!</v>
      </c>
      <c r="U122" s="184" t="e">
        <f>+'CIFRAS EEFF'!#REF!+'CIFRAS EEFF'!#REF!+'CIFRAS EEFF'!#REF!</f>
        <v>#REF!</v>
      </c>
      <c r="V122" s="184" t="e">
        <f>+'CIFRAS EEFF'!#REF!+'CIFRAS EEFF'!#REF!+'CIFRAS EEFF'!#REF!</f>
        <v>#REF!</v>
      </c>
      <c r="W122" s="184" t="e">
        <f>+'CIFRAS EEFF'!#REF!</f>
        <v>#REF!</v>
      </c>
      <c r="X122" s="184" t="e">
        <f>+'CIFRAS EEFF'!#REF!</f>
        <v>#REF!</v>
      </c>
      <c r="Z122" s="184">
        <f>L122</f>
        <v>39316080.460000001</v>
      </c>
      <c r="AA122" s="184">
        <f>O122</f>
        <v>95025974.609999999</v>
      </c>
      <c r="AB122" s="184">
        <f>R122</f>
        <v>118118666</v>
      </c>
      <c r="AC122" s="184" t="e">
        <f>S122</f>
        <v>#REF!</v>
      </c>
      <c r="AE122" s="184">
        <f>I122</f>
        <v>0</v>
      </c>
      <c r="AG122" s="184">
        <f>N122</f>
        <v>83251197</v>
      </c>
    </row>
    <row r="123" spans="2:34" s="206" customFormat="1" ht="25.5">
      <c r="B123" s="229"/>
      <c r="D123" s="207" t="s">
        <v>133</v>
      </c>
      <c r="E123" s="208"/>
      <c r="F123" s="190">
        <f t="shared" ref="F123:Q123" si="318">F122/F92</f>
        <v>0</v>
      </c>
      <c r="G123" s="190">
        <f t="shared" si="318"/>
        <v>0</v>
      </c>
      <c r="H123" s="190">
        <f t="shared" si="318"/>
        <v>0</v>
      </c>
      <c r="I123" s="190" t="e">
        <f t="shared" si="318"/>
        <v>#REF!</v>
      </c>
      <c r="J123" s="190">
        <f t="shared" si="318"/>
        <v>8.8687885543763667E-2</v>
      </c>
      <c r="K123" s="190">
        <f t="shared" si="318"/>
        <v>0.12311951270777967</v>
      </c>
      <c r="L123" s="190">
        <f t="shared" si="318"/>
        <v>8.0309299534351231E-2</v>
      </c>
      <c r="M123" s="190">
        <f t="shared" si="318"/>
        <v>8.820669558640637E-2</v>
      </c>
      <c r="N123" s="190">
        <f t="shared" si="318"/>
        <v>9.6700848990233068E-2</v>
      </c>
      <c r="O123" s="190">
        <f t="shared" si="318"/>
        <v>8.5185735512909741E-2</v>
      </c>
      <c r="P123" s="190">
        <f t="shared" si="318"/>
        <v>7.3970668805126524E-2</v>
      </c>
      <c r="Q123" s="190">
        <f t="shared" si="318"/>
        <v>6.1446068172875533E-2</v>
      </c>
      <c r="R123" s="190">
        <f t="shared" ref="R123" si="319">R122/R92</f>
        <v>5.8306896436830943E-2</v>
      </c>
      <c r="S123" s="190" t="e">
        <f t="shared" ref="S123:U123" si="320">S122/S92</f>
        <v>#REF!</v>
      </c>
      <c r="T123" s="190" t="e">
        <f t="shared" si="320"/>
        <v>#REF!</v>
      </c>
      <c r="U123" s="190" t="e">
        <f t="shared" si="320"/>
        <v>#REF!</v>
      </c>
      <c r="V123" s="208"/>
      <c r="W123" s="190" t="e">
        <f>W122/W92</f>
        <v>#REF!</v>
      </c>
      <c r="X123" s="190" t="e">
        <f>X122/X92</f>
        <v>#REF!</v>
      </c>
      <c r="Y123" s="208"/>
      <c r="Z123" s="190">
        <f>Z122/Z92</f>
        <v>8.0309299534351231E-2</v>
      </c>
      <c r="AA123" s="190">
        <f>AA122/AA92</f>
        <v>8.5185735512909741E-2</v>
      </c>
      <c r="AB123" s="190">
        <f>AB122/AB92</f>
        <v>5.8306896436830943E-2</v>
      </c>
      <c r="AC123" s="190" t="e">
        <f>AC122/AC92</f>
        <v>#REF!</v>
      </c>
      <c r="AD123" s="208"/>
      <c r="AE123" s="190" t="e">
        <f>AE122/AE92</f>
        <v>#REF!</v>
      </c>
      <c r="AF123" s="208"/>
      <c r="AG123" s="190">
        <f>AG122/AG92</f>
        <v>9.6700848990233068E-2</v>
      </c>
      <c r="AH123" s="211"/>
    </row>
    <row r="124" spans="2:34">
      <c r="B124" s="229"/>
      <c r="D124" s="226" t="s">
        <v>134</v>
      </c>
      <c r="E124" s="208"/>
      <c r="F124" s="193">
        <f t="shared" ref="F124:Q124" si="321">F119+F122</f>
        <v>0</v>
      </c>
      <c r="G124" s="193">
        <f t="shared" si="321"/>
        <v>0</v>
      </c>
      <c r="H124" s="193">
        <f t="shared" si="321"/>
        <v>0</v>
      </c>
      <c r="I124" s="193">
        <f t="shared" si="321"/>
        <v>0</v>
      </c>
      <c r="J124" s="193">
        <f t="shared" si="321"/>
        <v>17327982.810000002</v>
      </c>
      <c r="K124" s="193">
        <f t="shared" si="321"/>
        <v>38615392.18</v>
      </c>
      <c r="L124" s="193">
        <f t="shared" si="321"/>
        <v>67276873.460000008</v>
      </c>
      <c r="M124" s="193">
        <f t="shared" si="321"/>
        <v>96733186.420000002</v>
      </c>
      <c r="N124" s="193">
        <f t="shared" si="321"/>
        <v>130155165.9001289</v>
      </c>
      <c r="O124" s="193">
        <f t="shared" si="321"/>
        <v>149221595.34284669</v>
      </c>
      <c r="P124" s="193">
        <f t="shared" si="321"/>
        <v>163159914</v>
      </c>
      <c r="Q124" s="193">
        <f t="shared" si="321"/>
        <v>181314244</v>
      </c>
      <c r="R124" s="193">
        <f t="shared" ref="R124" si="322">R119+R122</f>
        <v>201383580.04000002</v>
      </c>
      <c r="S124" s="193" t="e">
        <f>S119+S122</f>
        <v>#REF!</v>
      </c>
      <c r="T124" s="193" t="e">
        <f t="shared" ref="T124:U124" si="323">T119+T122</f>
        <v>#REF!</v>
      </c>
      <c r="U124" s="193" t="e">
        <f t="shared" si="323"/>
        <v>#REF!</v>
      </c>
      <c r="V124" s="208"/>
      <c r="W124" s="193" t="e">
        <f>W119+W122</f>
        <v>#REF!</v>
      </c>
      <c r="X124" s="193" t="e">
        <f>X119+X122</f>
        <v>#REF!</v>
      </c>
      <c r="Y124" s="208"/>
      <c r="Z124" s="193">
        <f>Z119+Z122</f>
        <v>67276873.460000008</v>
      </c>
      <c r="AA124" s="193">
        <f>AA119+AA122</f>
        <v>149221595.34284669</v>
      </c>
      <c r="AB124" s="193">
        <f>AB119+AB122</f>
        <v>201383580.04000002</v>
      </c>
      <c r="AC124" s="193" t="e">
        <f>AC119+AC122</f>
        <v>#REF!</v>
      </c>
      <c r="AD124" s="208"/>
      <c r="AE124" s="193">
        <f t="shared" ref="AE124:AG124" si="324">AE119+AE122</f>
        <v>0</v>
      </c>
      <c r="AF124" s="208"/>
      <c r="AG124" s="193">
        <f t="shared" si="324"/>
        <v>130155165.9001289</v>
      </c>
    </row>
    <row r="125" spans="2:34" s="206" customFormat="1">
      <c r="B125" s="229"/>
      <c r="D125" s="207" t="s">
        <v>135</v>
      </c>
      <c r="E125" s="208"/>
      <c r="F125" s="190">
        <f t="shared" ref="F125:Q125" si="325">F124/F$109</f>
        <v>0</v>
      </c>
      <c r="G125" s="190">
        <f t="shared" si="325"/>
        <v>0</v>
      </c>
      <c r="H125" s="190">
        <f t="shared" si="325"/>
        <v>0</v>
      </c>
      <c r="I125" s="190" t="e">
        <f t="shared" si="325"/>
        <v>#REF!</v>
      </c>
      <c r="J125" s="190">
        <f t="shared" si="325"/>
        <v>0.30458387672392412</v>
      </c>
      <c r="K125" s="190">
        <f t="shared" si="325"/>
        <v>0.5214197402943983</v>
      </c>
      <c r="L125" s="190">
        <f t="shared" si="325"/>
        <v>0.36151862529695655</v>
      </c>
      <c r="M125" s="190">
        <f t="shared" si="325"/>
        <v>0.3290663708471705</v>
      </c>
      <c r="N125" s="190">
        <f t="shared" si="325"/>
        <v>0.36244903772663772</v>
      </c>
      <c r="O125" s="190">
        <f t="shared" si="325"/>
        <v>0.34192157968622799</v>
      </c>
      <c r="P125" s="190">
        <f t="shared" si="325"/>
        <v>0.31246428842597063</v>
      </c>
      <c r="Q125" s="190">
        <f t="shared" si="325"/>
        <v>0.28737935421418226</v>
      </c>
      <c r="R125" s="190">
        <f t="shared" ref="R125" si="326">R124/R$109</f>
        <v>0.2648519896470517</v>
      </c>
      <c r="S125" s="190" t="e">
        <f t="shared" ref="S125:U125" si="327">S124/S$109</f>
        <v>#REF!</v>
      </c>
      <c r="T125" s="190" t="e">
        <f t="shared" si="327"/>
        <v>#REF!</v>
      </c>
      <c r="U125" s="190" t="e">
        <f t="shared" si="327"/>
        <v>#REF!</v>
      </c>
      <c r="V125" s="208"/>
      <c r="W125" s="190" t="e">
        <f t="shared" ref="W125:X125" si="328">W124/W$109</f>
        <v>#REF!</v>
      </c>
      <c r="X125" s="190" t="e">
        <f t="shared" si="328"/>
        <v>#REF!</v>
      </c>
      <c r="Y125" s="208"/>
      <c r="Z125" s="190">
        <f t="shared" ref="Z125:AC125" si="329">Z124/Z$109</f>
        <v>0.36151862529695655</v>
      </c>
      <c r="AA125" s="190">
        <f t="shared" si="329"/>
        <v>0.34192157968622799</v>
      </c>
      <c r="AB125" s="190">
        <f t="shared" si="329"/>
        <v>0.2648519896470517</v>
      </c>
      <c r="AC125" s="190" t="e">
        <f t="shared" si="329"/>
        <v>#REF!</v>
      </c>
      <c r="AD125" s="208"/>
      <c r="AE125" s="190" t="e">
        <f t="shared" ref="AE125" si="330">AE124/AE$109</f>
        <v>#REF!</v>
      </c>
      <c r="AF125" s="208"/>
      <c r="AG125" s="190">
        <f t="shared" ref="AG125" si="331">AG124/AG$109</f>
        <v>0.36244903772663772</v>
      </c>
      <c r="AH125" s="211"/>
    </row>
    <row r="126" spans="2:34" s="206" customFormat="1">
      <c r="B126" s="229"/>
      <c r="D126" s="207" t="s">
        <v>136</v>
      </c>
      <c r="E126" s="208"/>
      <c r="F126" s="190">
        <f t="shared" ref="F126:Q126" si="332">(F119+F122)/F$92</f>
        <v>0</v>
      </c>
      <c r="G126" s="190">
        <f t="shared" si="332"/>
        <v>0</v>
      </c>
      <c r="H126" s="190">
        <f t="shared" si="332"/>
        <v>0</v>
      </c>
      <c r="I126" s="190" t="e">
        <f t="shared" si="332"/>
        <v>#REF!</v>
      </c>
      <c r="J126" s="190">
        <f t="shared" si="332"/>
        <v>0.13500565371796147</v>
      </c>
      <c r="K126" s="190">
        <f t="shared" si="332"/>
        <v>0.22090075519832433</v>
      </c>
      <c r="L126" s="190">
        <f t="shared" si="332"/>
        <v>0.13742363224459087</v>
      </c>
      <c r="M126" s="190">
        <f t="shared" si="332"/>
        <v>0.1453415639694863</v>
      </c>
      <c r="N126" s="190">
        <f t="shared" si="332"/>
        <v>0.15118239132353972</v>
      </c>
      <c r="O126" s="190">
        <f t="shared" si="332"/>
        <v>0.13376922894882354</v>
      </c>
      <c r="P126" s="190">
        <f t="shared" si="332"/>
        <v>0.1185665239528569</v>
      </c>
      <c r="Q126" s="190">
        <f t="shared" si="332"/>
        <v>0.10406487087018074</v>
      </c>
      <c r="R126" s="190">
        <f t="shared" ref="R126" si="333">(R119+R122)/R$92</f>
        <v>9.9408941390097788E-2</v>
      </c>
      <c r="S126" s="190" t="e">
        <f t="shared" ref="S126:U126" si="334">(S119+S122)/S$92</f>
        <v>#REF!</v>
      </c>
      <c r="T126" s="190" t="e">
        <f t="shared" si="334"/>
        <v>#REF!</v>
      </c>
      <c r="U126" s="190" t="e">
        <f t="shared" si="334"/>
        <v>#REF!</v>
      </c>
      <c r="V126" s="208"/>
      <c r="W126" s="190" t="e">
        <f t="shared" ref="W126:X126" si="335">(W119+W122)/W$92</f>
        <v>#REF!</v>
      </c>
      <c r="X126" s="190" t="e">
        <f t="shared" si="335"/>
        <v>#REF!</v>
      </c>
      <c r="Y126" s="208"/>
      <c r="Z126" s="190">
        <f t="shared" ref="Z126:AC126" si="336">(Z119+Z122)/Z$92</f>
        <v>0.13742363224459087</v>
      </c>
      <c r="AA126" s="190">
        <f t="shared" si="336"/>
        <v>0.13376922894882354</v>
      </c>
      <c r="AB126" s="190">
        <f t="shared" si="336"/>
        <v>9.9408941390097788E-2</v>
      </c>
      <c r="AC126" s="190" t="e">
        <f t="shared" si="336"/>
        <v>#REF!</v>
      </c>
      <c r="AD126" s="208"/>
      <c r="AE126" s="190" t="e">
        <f t="shared" ref="AE126" si="337">(AE119+AE122)/AE$92</f>
        <v>#REF!</v>
      </c>
      <c r="AF126" s="208"/>
      <c r="AG126" s="190">
        <f t="shared" ref="AG126" si="338">(AG119+AG122)/AG$92</f>
        <v>0.15118239132353972</v>
      </c>
      <c r="AH126" s="211"/>
    </row>
    <row r="127" spans="2:34" s="206" customFormat="1" ht="10.5" customHeight="1">
      <c r="B127" s="229"/>
      <c r="D127" s="207" t="s">
        <v>137</v>
      </c>
      <c r="E127" s="208"/>
      <c r="F127" s="209">
        <f t="shared" ref="F127:Q127" si="339">(F119+F122)/F$1</f>
        <v>0</v>
      </c>
      <c r="G127" s="209">
        <f t="shared" si="339"/>
        <v>0</v>
      </c>
      <c r="H127" s="209">
        <f t="shared" si="339"/>
        <v>0</v>
      </c>
      <c r="I127" s="209">
        <f t="shared" si="339"/>
        <v>0</v>
      </c>
      <c r="J127" s="209">
        <f t="shared" si="339"/>
        <v>17327982.810000002</v>
      </c>
      <c r="K127" s="209">
        <f t="shared" si="339"/>
        <v>19307696.09</v>
      </c>
      <c r="L127" s="209">
        <f t="shared" si="339"/>
        <v>22425624.486666668</v>
      </c>
      <c r="M127" s="209">
        <f t="shared" si="339"/>
        <v>24183296.605</v>
      </c>
      <c r="N127" s="209">
        <f t="shared" si="339"/>
        <v>26031033.180025779</v>
      </c>
      <c r="O127" s="209">
        <f t="shared" si="339"/>
        <v>24870265.89047445</v>
      </c>
      <c r="P127" s="209">
        <f t="shared" si="339"/>
        <v>23308559.142857142</v>
      </c>
      <c r="Q127" s="209">
        <f t="shared" si="339"/>
        <v>22664280.5</v>
      </c>
      <c r="R127" s="209">
        <f t="shared" ref="R127" si="340">(R119+R122)/R$1</f>
        <v>22375953.337777779</v>
      </c>
      <c r="S127" s="209" t="e">
        <f t="shared" ref="S127:U127" si="341">(S119+S122)/S$1</f>
        <v>#REF!</v>
      </c>
      <c r="T127" s="209" t="e">
        <f t="shared" si="341"/>
        <v>#REF!</v>
      </c>
      <c r="U127" s="209" t="e">
        <f t="shared" si="341"/>
        <v>#REF!</v>
      </c>
      <c r="V127" s="208"/>
      <c r="W127" s="209" t="e">
        <f t="shared" ref="W127:X127" si="342">(W119+W122)/W$1</f>
        <v>#REF!</v>
      </c>
      <c r="X127" s="209" t="e">
        <f t="shared" si="342"/>
        <v>#REF!</v>
      </c>
      <c r="Y127" s="208"/>
      <c r="Z127" s="209">
        <f t="shared" ref="Z127:AC127" si="343">(Z119+Z122)/Z$1</f>
        <v>22425624.486666668</v>
      </c>
      <c r="AA127" s="209">
        <f t="shared" si="343"/>
        <v>24870265.89047445</v>
      </c>
      <c r="AB127" s="209">
        <f t="shared" si="343"/>
        <v>22375953.337777779</v>
      </c>
      <c r="AC127" s="209" t="e">
        <f t="shared" si="343"/>
        <v>#REF!</v>
      </c>
      <c r="AD127" s="208"/>
      <c r="AE127" s="209">
        <f>(AE119+AE122)/AE$1</f>
        <v>0</v>
      </c>
      <c r="AF127" s="208"/>
      <c r="AG127" s="209">
        <f>(AG119+AG122)/AG$1</f>
        <v>26031033.180025779</v>
      </c>
      <c r="AH127" s="211"/>
    </row>
    <row r="128" spans="2:34" s="173" customFormat="1">
      <c r="D128" s="203"/>
      <c r="E128" s="170"/>
      <c r="V128" s="170"/>
      <c r="Y128" s="170"/>
      <c r="AD128" s="170"/>
      <c r="AF128" s="170"/>
    </row>
    <row r="129" spans="2:34">
      <c r="B129" s="229"/>
      <c r="D129" s="226" t="s">
        <v>138</v>
      </c>
      <c r="F129" s="193">
        <f>F117+F124</f>
        <v>9674364</v>
      </c>
      <c r="G129" s="193">
        <f t="shared" ref="G129:I129" si="344">G117+G124</f>
        <v>28932846.02</v>
      </c>
      <c r="H129" s="193">
        <f t="shared" si="344"/>
        <v>54945583.07</v>
      </c>
      <c r="I129" s="193" t="e">
        <f t="shared" si="344"/>
        <v>#REF!</v>
      </c>
      <c r="J129" s="237">
        <f>J117+J124</f>
        <v>40083621.810000002</v>
      </c>
      <c r="K129" s="237">
        <f t="shared" ref="K129:P129" si="345">K117+K124</f>
        <v>105982915.18000001</v>
      </c>
      <c r="L129" s="237">
        <f t="shared" si="345"/>
        <v>191263166.10000002</v>
      </c>
      <c r="M129" s="237">
        <f t="shared" si="345"/>
        <v>255371480.06</v>
      </c>
      <c r="N129" s="237">
        <f t="shared" si="345"/>
        <v>334802924.11000001</v>
      </c>
      <c r="O129" s="237">
        <f t="shared" si="345"/>
        <v>401027594.65999973</v>
      </c>
      <c r="P129" s="237">
        <f t="shared" si="345"/>
        <v>461319967.69</v>
      </c>
      <c r="Q129" s="237">
        <f>Q117</f>
        <v>341051819.69</v>
      </c>
      <c r="R129" s="237">
        <f>R117</f>
        <v>396218284.60000002</v>
      </c>
      <c r="S129" s="193" t="e">
        <f>S117</f>
        <v>#REF!</v>
      </c>
      <c r="T129" s="193" t="e">
        <f t="shared" ref="T129:U129" si="346">T117</f>
        <v>#REF!</v>
      </c>
      <c r="U129" s="193" t="e">
        <f t="shared" si="346"/>
        <v>#REF!</v>
      </c>
      <c r="W129" s="193" t="e">
        <f t="shared" ref="W129:X129" si="347">W117+W124</f>
        <v>#REF!</v>
      </c>
      <c r="X129" s="193" t="e">
        <f t="shared" si="347"/>
        <v>#REF!</v>
      </c>
      <c r="Z129" s="193">
        <f t="shared" ref="Z129:AC129" si="348">Z117+Z124</f>
        <v>191263166.10000002</v>
      </c>
      <c r="AA129" s="193">
        <f t="shared" si="348"/>
        <v>401027594.65999973</v>
      </c>
      <c r="AB129" s="193">
        <f t="shared" si="348"/>
        <v>597601864.6400001</v>
      </c>
      <c r="AC129" s="193" t="e">
        <f t="shared" si="348"/>
        <v>#REF!</v>
      </c>
      <c r="AE129" s="193" t="e">
        <f t="shared" ref="AE129" si="349">AE117+AE124</f>
        <v>#REF!</v>
      </c>
      <c r="AG129" s="193">
        <f t="shared" ref="AG129" si="350">AG117+AG124</f>
        <v>334802924.11000001</v>
      </c>
    </row>
    <row r="130" spans="2:34" s="206" customFormat="1">
      <c r="B130" s="229"/>
      <c r="D130" s="207" t="s">
        <v>139</v>
      </c>
      <c r="E130" s="208"/>
      <c r="F130" s="190">
        <f t="shared" ref="F130:Q130" si="351">F129/F$92</f>
        <v>6.6325880969041698E-2</v>
      </c>
      <c r="G130" s="190">
        <f t="shared" si="351"/>
        <v>7.6076630081057611E-2</v>
      </c>
      <c r="H130" s="190">
        <f t="shared" si="351"/>
        <v>8.5794967097410899E-2</v>
      </c>
      <c r="I130" s="190" t="e">
        <f t="shared" si="351"/>
        <v>#REF!</v>
      </c>
      <c r="J130" s="236">
        <f t="shared" si="351"/>
        <v>0.31229922289163375</v>
      </c>
      <c r="K130" s="236">
        <f t="shared" si="351"/>
        <v>0.60627912031170661</v>
      </c>
      <c r="L130" s="236">
        <f t="shared" si="351"/>
        <v>0.39068520352227587</v>
      </c>
      <c r="M130" s="236">
        <f t="shared" si="351"/>
        <v>0.38369552041809896</v>
      </c>
      <c r="N130" s="236">
        <f t="shared" si="351"/>
        <v>0.38889203005513029</v>
      </c>
      <c r="O130" s="236">
        <f t="shared" si="351"/>
        <v>0.35949992359762772</v>
      </c>
      <c r="P130" s="236">
        <f t="shared" si="351"/>
        <v>0.33523617203578299</v>
      </c>
      <c r="Q130" s="236">
        <f t="shared" si="351"/>
        <v>0.19574586526186002</v>
      </c>
      <c r="R130" s="236">
        <f t="shared" ref="R130" si="352">R129/R$92</f>
        <v>0.19558516252250097</v>
      </c>
      <c r="S130" s="190" t="e">
        <f t="shared" ref="S130:U130" si="353">S129/S$92</f>
        <v>#REF!</v>
      </c>
      <c r="T130" s="190" t="e">
        <f t="shared" si="353"/>
        <v>#REF!</v>
      </c>
      <c r="U130" s="190" t="e">
        <f t="shared" si="353"/>
        <v>#REF!</v>
      </c>
      <c r="V130" s="208"/>
      <c r="W130" s="190" t="e">
        <f t="shared" ref="W130:X130" si="354">W129/W$92</f>
        <v>#REF!</v>
      </c>
      <c r="X130" s="190" t="e">
        <f t="shared" si="354"/>
        <v>#REF!</v>
      </c>
      <c r="Y130" s="208"/>
      <c r="Z130" s="190">
        <f t="shared" ref="Z130:AC130" si="355">Z129/Z$92</f>
        <v>0.39068520352227587</v>
      </c>
      <c r="AA130" s="190">
        <f t="shared" si="355"/>
        <v>0.35949992359762772</v>
      </c>
      <c r="AB130" s="190">
        <f t="shared" si="355"/>
        <v>0.29499410391259878</v>
      </c>
      <c r="AC130" s="190" t="e">
        <f t="shared" si="355"/>
        <v>#REF!</v>
      </c>
      <c r="AD130" s="208"/>
      <c r="AE130" s="190" t="e">
        <f t="shared" ref="AE130" si="356">AE129/AE$92</f>
        <v>#REF!</v>
      </c>
      <c r="AF130" s="208"/>
      <c r="AG130" s="190">
        <f t="shared" ref="AG130" si="357">AG129/AG$92</f>
        <v>0.38889203005513029</v>
      </c>
      <c r="AH130" s="211"/>
    </row>
    <row r="131" spans="2:34" s="206" customFormat="1">
      <c r="B131" s="229"/>
      <c r="D131" s="207" t="s">
        <v>140</v>
      </c>
      <c r="E131" s="208"/>
      <c r="F131" s="209">
        <f t="shared" ref="F131:Q131" si="358">F129/F$1</f>
        <v>9674364</v>
      </c>
      <c r="G131" s="209">
        <f t="shared" si="358"/>
        <v>14466423.01</v>
      </c>
      <c r="H131" s="209">
        <f t="shared" si="358"/>
        <v>18315194.356666666</v>
      </c>
      <c r="I131" s="209" t="e">
        <f t="shared" si="358"/>
        <v>#REF!</v>
      </c>
      <c r="J131" s="239">
        <f t="shared" si="358"/>
        <v>40083621.810000002</v>
      </c>
      <c r="K131" s="239">
        <f t="shared" si="358"/>
        <v>52991457.590000004</v>
      </c>
      <c r="L131" s="239">
        <f t="shared" si="358"/>
        <v>63754388.70000001</v>
      </c>
      <c r="M131" s="239">
        <f t="shared" si="358"/>
        <v>63842870.015000001</v>
      </c>
      <c r="N131" s="239">
        <f t="shared" si="358"/>
        <v>66960584.822000004</v>
      </c>
      <c r="O131" s="239">
        <f t="shared" si="358"/>
        <v>66837932.443333291</v>
      </c>
      <c r="P131" s="239">
        <f t="shared" si="358"/>
        <v>65902852.52714286</v>
      </c>
      <c r="Q131" s="239">
        <f t="shared" si="358"/>
        <v>42631477.46125</v>
      </c>
      <c r="R131" s="239">
        <f t="shared" ref="R131" si="359">R129/R$1</f>
        <v>44024253.844444446</v>
      </c>
      <c r="S131" s="209" t="e">
        <f t="shared" ref="S131:U131" si="360">S129/S$1</f>
        <v>#REF!</v>
      </c>
      <c r="T131" s="209" t="e">
        <f t="shared" si="360"/>
        <v>#REF!</v>
      </c>
      <c r="U131" s="209" t="e">
        <f t="shared" si="360"/>
        <v>#REF!</v>
      </c>
      <c r="V131" s="208"/>
      <c r="W131" s="209" t="e">
        <f t="shared" ref="W131:X131" si="361">W129/W$1</f>
        <v>#REF!</v>
      </c>
      <c r="X131" s="209" t="e">
        <f t="shared" si="361"/>
        <v>#REF!</v>
      </c>
      <c r="Y131" s="208"/>
      <c r="Z131" s="209">
        <f t="shared" ref="Z131:AC131" si="362">Z129/Z$1</f>
        <v>63754388.70000001</v>
      </c>
      <c r="AA131" s="209">
        <f t="shared" si="362"/>
        <v>66837932.443333291</v>
      </c>
      <c r="AB131" s="209">
        <f t="shared" si="362"/>
        <v>66400207.182222232</v>
      </c>
      <c r="AC131" s="209" t="e">
        <f t="shared" si="362"/>
        <v>#REF!</v>
      </c>
      <c r="AD131" s="208"/>
      <c r="AE131" s="209" t="e">
        <f>AE129/AE$1</f>
        <v>#REF!</v>
      </c>
      <c r="AF131" s="208"/>
      <c r="AG131" s="209">
        <f>AG129/AG$1</f>
        <v>66960584.822000004</v>
      </c>
      <c r="AH131" s="211"/>
    </row>
    <row r="132" spans="2:34" s="173" customFormat="1">
      <c r="D132" s="203"/>
      <c r="E132" s="170"/>
      <c r="V132" s="170"/>
      <c r="Y132" s="170"/>
      <c r="AD132" s="170"/>
      <c r="AF132" s="170"/>
    </row>
    <row r="133" spans="2:34" s="230" customFormat="1" ht="12" customHeight="1">
      <c r="B133" s="229" t="s">
        <v>141</v>
      </c>
      <c r="D133" s="231" t="s">
        <v>142</v>
      </c>
      <c r="E133" s="232"/>
      <c r="F133" s="233">
        <f>'CIFRAS EEFF'!D69</f>
        <v>26328728.440000001</v>
      </c>
      <c r="G133" s="233">
        <f>'CIFRAS EEFF'!E69</f>
        <v>52218137.880000003</v>
      </c>
      <c r="H133" s="233">
        <f>'CIFRAS EEFF'!F69</f>
        <v>78253084.319999993</v>
      </c>
      <c r="I133" s="233" t="e">
        <f>'CIFRAS EEFF'!#REF!</f>
        <v>#REF!</v>
      </c>
      <c r="J133" s="233">
        <f>+'CIFRAS EEFF'!G70+'CIFRAS EEFF'!G71+'CIFRAS EEFF'!G72+'CIFRAS EEFF'!G73+'CIFRAS EEFF'!G74+'CIFRAS EEFF'!G76+'CIFRAS EEFF'!G77+'CIFRAS EEFF'!G78+'CIFRAS EEFF'!G81</f>
        <v>13069509</v>
      </c>
      <c r="K133" s="233">
        <f>+'CIFRAS EEFF'!H70+'CIFRAS EEFF'!H71+'CIFRAS EEFF'!H72+'CIFRAS EEFF'!H73+'CIFRAS EEFF'!H74+'CIFRAS EEFF'!H76+'CIFRAS EEFF'!H77+'CIFRAS EEFF'!H78+'CIFRAS EEFF'!H81</f>
        <v>24092522</v>
      </c>
      <c r="L133" s="233">
        <f>+'CIFRAS EEFF'!I70+'CIFRAS EEFF'!I71+'CIFRAS EEFF'!I72+'CIFRAS EEFF'!I73+'CIFRAS EEFF'!I74+'CIFRAS EEFF'!I76+'CIFRAS EEFF'!I77+'CIFRAS EEFF'!I78+'CIFRAS EEFF'!I81</f>
        <v>38101819</v>
      </c>
      <c r="M133" s="233">
        <f>+'CIFRAS EEFF'!J70+'CIFRAS EEFF'!J71+'CIFRAS EEFF'!J72+'CIFRAS EEFF'!J73+'CIFRAS EEFF'!J74+'CIFRAS EEFF'!J76+'CIFRAS EEFF'!J77+'CIFRAS EEFF'!J78+'CIFRAS EEFF'!J81</f>
        <v>50299632</v>
      </c>
      <c r="N133" s="233">
        <f>+'CIFRAS EEFF'!K70+'CIFRAS EEFF'!K71+'CIFRAS EEFF'!K72+'CIFRAS EEFF'!K73+'CIFRAS EEFF'!K74+'CIFRAS EEFF'!K76+'CIFRAS EEFF'!K77+'CIFRAS EEFF'!K78+'CIFRAS EEFF'!K81</f>
        <v>63756807</v>
      </c>
      <c r="O133" s="233">
        <f>+'CIFRAS EEFF'!L70+'CIFRAS EEFF'!L71+'CIFRAS EEFF'!L72+'CIFRAS EEFF'!L73+'CIFRAS EEFF'!L74+'CIFRAS EEFF'!L76+'CIFRAS EEFF'!L77+'CIFRAS EEFF'!L78+'CIFRAS EEFF'!L81</f>
        <v>76962724.780000001</v>
      </c>
      <c r="P133" s="233">
        <f>+'CIFRAS EEFF'!M70+'CIFRAS EEFF'!M71+'CIFRAS EEFF'!M72+'CIFRAS EEFF'!M73+'CIFRAS EEFF'!M74+'CIFRAS EEFF'!M76+'CIFRAS EEFF'!M77+'CIFRAS EEFF'!M78+'CIFRAS EEFF'!M81</f>
        <v>90015090.780000001</v>
      </c>
      <c r="Q133" s="233">
        <f>+'CIFRAS EEFF'!N70+'CIFRAS EEFF'!N71+'CIFRAS EEFF'!N72+'CIFRAS EEFF'!N73+'CIFRAS EEFF'!N74+'CIFRAS EEFF'!N76+'CIFRAS EEFF'!N77+'CIFRAS EEFF'!N78+'CIFRAS EEFF'!N81</f>
        <v>104603574.78</v>
      </c>
      <c r="R133" s="233">
        <f>+'CIFRAS EEFF'!O70+'CIFRAS EEFF'!O71+'CIFRAS EEFF'!O72+'CIFRAS EEFF'!O73+'CIFRAS EEFF'!O74+'CIFRAS EEFF'!O76+'CIFRAS EEFF'!O77+'CIFRAS EEFF'!O78+'CIFRAS EEFF'!O81</f>
        <v>121216162</v>
      </c>
      <c r="S133" s="233" t="e">
        <f>+'CIFRAS EEFF'!#REF!+'CIFRAS EEFF'!#REF!+'CIFRAS EEFF'!#REF!+'CIFRAS EEFF'!#REF!+'CIFRAS EEFF'!#REF!+'CIFRAS EEFF'!#REF!+'CIFRAS EEFF'!#REF!+'CIFRAS EEFF'!#REF!+'CIFRAS EEFF'!#REF!</f>
        <v>#REF!</v>
      </c>
      <c r="T133" s="233" t="e">
        <f>+'CIFRAS EEFF'!#REF!+'CIFRAS EEFF'!#REF!+'CIFRAS EEFF'!#REF!+'CIFRAS EEFF'!#REF!+'CIFRAS EEFF'!#REF!+'CIFRAS EEFF'!#REF!+'CIFRAS EEFF'!#REF!+'CIFRAS EEFF'!#REF!+'CIFRAS EEFF'!#REF!</f>
        <v>#REF!</v>
      </c>
      <c r="U133" s="233" t="e">
        <f>+'CIFRAS EEFF'!#REF!+'CIFRAS EEFF'!#REF!+'CIFRAS EEFF'!#REF!+'CIFRAS EEFF'!#REF!+'CIFRAS EEFF'!#REF!+'CIFRAS EEFF'!#REF!+'CIFRAS EEFF'!#REF!+'CIFRAS EEFF'!#REF!+'CIFRAS EEFF'!#REF!</f>
        <v>#REF!</v>
      </c>
      <c r="V133" s="232"/>
      <c r="W133" s="233">
        <f>F133</f>
        <v>26328728.440000001</v>
      </c>
      <c r="X133" s="233" t="e">
        <f>I133</f>
        <v>#REF!</v>
      </c>
      <c r="Y133" s="232"/>
      <c r="Z133" s="233">
        <f>L133</f>
        <v>38101819</v>
      </c>
      <c r="AA133" s="233">
        <f>O133</f>
        <v>76962724.780000001</v>
      </c>
      <c r="AB133" s="233">
        <f>R133</f>
        <v>121216162</v>
      </c>
      <c r="AC133" s="233" t="e">
        <f>S133</f>
        <v>#REF!</v>
      </c>
      <c r="AD133" s="232"/>
      <c r="AE133" s="233" t="e">
        <f>I133</f>
        <v>#REF!</v>
      </c>
      <c r="AF133" s="232"/>
      <c r="AG133" s="233">
        <f>N133</f>
        <v>63756807</v>
      </c>
      <c r="AH133" s="234"/>
    </row>
    <row r="134" spans="2:34" s="206" customFormat="1">
      <c r="B134" s="229"/>
      <c r="D134" s="207" t="s">
        <v>143</v>
      </c>
      <c r="E134" s="208"/>
      <c r="F134" s="190">
        <f t="shared" ref="F134:Q134" si="363">F133/F$92</f>
        <v>0.18050552042259968</v>
      </c>
      <c r="G134" s="190">
        <f t="shared" si="363"/>
        <v>0.13730346320829803</v>
      </c>
      <c r="H134" s="190">
        <f t="shared" si="363"/>
        <v>0.12218854399910765</v>
      </c>
      <c r="I134" s="190" t="e">
        <f t="shared" si="363"/>
        <v>#REF!</v>
      </c>
      <c r="J134" s="190">
        <f t="shared" si="363"/>
        <v>0.10182706352291104</v>
      </c>
      <c r="K134" s="190">
        <f t="shared" si="363"/>
        <v>0.13782214821551614</v>
      </c>
      <c r="L134" s="190">
        <f t="shared" si="363"/>
        <v>7.7828978857335335E-2</v>
      </c>
      <c r="M134" s="190">
        <f t="shared" si="363"/>
        <v>7.5575171795003712E-2</v>
      </c>
      <c r="N134" s="190">
        <f t="shared" si="363"/>
        <v>7.4057041676006588E-2</v>
      </c>
      <c r="O134" s="190">
        <f t="shared" si="363"/>
        <v>6.8992992119988369E-2</v>
      </c>
      <c r="P134" s="190">
        <f t="shared" si="363"/>
        <v>6.5412981383929009E-2</v>
      </c>
      <c r="Q134" s="190">
        <f t="shared" si="363"/>
        <v>6.0036968204439552E-2</v>
      </c>
      <c r="R134" s="190">
        <f t="shared" ref="R134" si="364">R133/R$92</f>
        <v>5.9835912845511839E-2</v>
      </c>
      <c r="S134" s="190" t="e">
        <f t="shared" ref="S134:U134" si="365">S133/S$92</f>
        <v>#REF!</v>
      </c>
      <c r="T134" s="190" t="e">
        <f t="shared" si="365"/>
        <v>#REF!</v>
      </c>
      <c r="U134" s="190" t="e">
        <f t="shared" si="365"/>
        <v>#REF!</v>
      </c>
      <c r="V134" s="208"/>
      <c r="W134" s="190">
        <f t="shared" ref="W134:X134" si="366">W133/W$92</f>
        <v>0.18050552042259968</v>
      </c>
      <c r="X134" s="190" t="e">
        <f t="shared" si="366"/>
        <v>#REF!</v>
      </c>
      <c r="Y134" s="208"/>
      <c r="Z134" s="190">
        <f t="shared" ref="Z134:AC134" si="367">Z133/Z$92</f>
        <v>7.7828978857335335E-2</v>
      </c>
      <c r="AA134" s="190">
        <f t="shared" si="367"/>
        <v>6.8992992119988369E-2</v>
      </c>
      <c r="AB134" s="190">
        <f t="shared" si="367"/>
        <v>5.9835912845511839E-2</v>
      </c>
      <c r="AC134" s="190" t="e">
        <f t="shared" si="367"/>
        <v>#REF!</v>
      </c>
      <c r="AD134" s="208"/>
      <c r="AE134" s="190" t="e">
        <f t="shared" ref="AE134" si="368">AE133/AE$92</f>
        <v>#REF!</v>
      </c>
      <c r="AF134" s="208"/>
      <c r="AG134" s="190">
        <f t="shared" ref="AG134" si="369">AG133/AG$92</f>
        <v>7.4057041676006588E-2</v>
      </c>
      <c r="AH134" s="211"/>
    </row>
    <row r="135" spans="2:34" s="206" customFormat="1">
      <c r="B135" s="229"/>
      <c r="D135" s="207" t="s">
        <v>144</v>
      </c>
      <c r="E135" s="208"/>
      <c r="F135" s="209">
        <f t="shared" ref="F135:Q135" si="370">F133/F$1</f>
        <v>26328728.440000001</v>
      </c>
      <c r="G135" s="209">
        <f t="shared" si="370"/>
        <v>26109068.940000001</v>
      </c>
      <c r="H135" s="209">
        <f t="shared" si="370"/>
        <v>26084361.439999998</v>
      </c>
      <c r="I135" s="209" t="e">
        <f t="shared" si="370"/>
        <v>#REF!</v>
      </c>
      <c r="J135" s="210">
        <f>J133/J$1</f>
        <v>13069509</v>
      </c>
      <c r="K135" s="209">
        <f t="shared" si="370"/>
        <v>12046261</v>
      </c>
      <c r="L135" s="209">
        <f t="shared" si="370"/>
        <v>12700606.333333334</v>
      </c>
      <c r="M135" s="209">
        <f t="shared" si="370"/>
        <v>12574908</v>
      </c>
      <c r="N135" s="209">
        <f t="shared" si="370"/>
        <v>12751361.4</v>
      </c>
      <c r="O135" s="209">
        <f t="shared" si="370"/>
        <v>12827120.796666667</v>
      </c>
      <c r="P135" s="209">
        <f t="shared" si="370"/>
        <v>12859298.682857143</v>
      </c>
      <c r="Q135" s="209">
        <f t="shared" si="370"/>
        <v>13075446.8475</v>
      </c>
      <c r="R135" s="209">
        <f t="shared" ref="R135" si="371">R133/R$1</f>
        <v>13468462.444444444</v>
      </c>
      <c r="S135" s="209" t="e">
        <f t="shared" ref="S135:U135" si="372">S133/S$1</f>
        <v>#REF!</v>
      </c>
      <c r="T135" s="209" t="e">
        <f t="shared" si="372"/>
        <v>#REF!</v>
      </c>
      <c r="U135" s="209" t="e">
        <f t="shared" si="372"/>
        <v>#REF!</v>
      </c>
      <c r="V135" s="208"/>
      <c r="W135" s="209">
        <f t="shared" ref="W135:X135" si="373">W133/W$1</f>
        <v>26328728.440000001</v>
      </c>
      <c r="X135" s="209" t="e">
        <f t="shared" si="373"/>
        <v>#REF!</v>
      </c>
      <c r="Y135" s="208"/>
      <c r="Z135" s="209">
        <f t="shared" ref="Z135:AC135" si="374">Z133/Z$1</f>
        <v>12700606.333333334</v>
      </c>
      <c r="AA135" s="209">
        <f t="shared" si="374"/>
        <v>12827120.796666667</v>
      </c>
      <c r="AB135" s="209">
        <f t="shared" si="374"/>
        <v>13468462.444444444</v>
      </c>
      <c r="AC135" s="209" t="e">
        <f t="shared" si="374"/>
        <v>#REF!</v>
      </c>
      <c r="AD135" s="208"/>
      <c r="AE135" s="209" t="e">
        <f t="shared" ref="AE135" si="375">AE133/AE$1</f>
        <v>#REF!</v>
      </c>
      <c r="AF135" s="208"/>
      <c r="AG135" s="209">
        <f t="shared" ref="AG135" si="376">AG133/AG$1</f>
        <v>12751361.4</v>
      </c>
      <c r="AH135" s="211"/>
    </row>
    <row r="136" spans="2:34">
      <c r="B136" s="229"/>
      <c r="D136" s="231" t="s">
        <v>145</v>
      </c>
      <c r="F136" s="184"/>
      <c r="G136" s="184"/>
      <c r="H136" s="184"/>
      <c r="I136" s="184"/>
      <c r="J136" s="184">
        <f>+'CIFRAS EEFF'!G75</f>
        <v>0</v>
      </c>
      <c r="K136" s="184">
        <f>+'CIFRAS EEFF'!H75</f>
        <v>4880500</v>
      </c>
      <c r="L136" s="184">
        <f>+'CIFRAS EEFF'!I75</f>
        <v>4925231</v>
      </c>
      <c r="M136" s="184">
        <f>+'CIFRAS EEFF'!J75</f>
        <v>4925231</v>
      </c>
      <c r="N136" s="184">
        <f>+'CIFRAS EEFF'!K75</f>
        <v>4925231</v>
      </c>
      <c r="O136" s="184">
        <f>+'CIFRAS EEFF'!L75</f>
        <v>5181731</v>
      </c>
      <c r="P136" s="184">
        <f>+'CIFRAS EEFF'!M75</f>
        <v>5181731</v>
      </c>
      <c r="Q136" s="184">
        <f>+'CIFRAS EEFF'!N75</f>
        <v>5181731</v>
      </c>
      <c r="R136" s="184">
        <f>+'CIFRAS EEFF'!O75</f>
        <v>5181731</v>
      </c>
      <c r="S136" s="184" t="e">
        <f>+'CIFRAS EEFF'!#REF!</f>
        <v>#REF!</v>
      </c>
      <c r="T136" s="184" t="e">
        <f>+'CIFRAS EEFF'!#REF!</f>
        <v>#REF!</v>
      </c>
      <c r="U136" s="184" t="e">
        <f>+'CIFRAS EEFF'!#REF!</f>
        <v>#REF!</v>
      </c>
      <c r="V136" s="184" t="e">
        <f>+'CIFRAS EEFF'!#REF!</f>
        <v>#REF!</v>
      </c>
      <c r="W136" s="184">
        <f>F136</f>
        <v>0</v>
      </c>
      <c r="X136" s="184">
        <f>I136</f>
        <v>0</v>
      </c>
      <c r="Z136" s="184">
        <f>L136</f>
        <v>4925231</v>
      </c>
      <c r="AA136" s="184">
        <f>O136</f>
        <v>5181731</v>
      </c>
      <c r="AB136" s="184">
        <f>R136</f>
        <v>5181731</v>
      </c>
      <c r="AC136" s="184" t="e">
        <f>S136</f>
        <v>#REF!</v>
      </c>
      <c r="AE136" s="184">
        <f>I136</f>
        <v>0</v>
      </c>
      <c r="AG136" s="184">
        <f>N136</f>
        <v>4925231</v>
      </c>
    </row>
    <row r="137" spans="2:34">
      <c r="B137" s="229"/>
      <c r="C137" s="241"/>
      <c r="D137" s="231" t="s">
        <v>146</v>
      </c>
      <c r="F137" s="184"/>
      <c r="G137" s="184"/>
      <c r="H137" s="184"/>
      <c r="I137" s="184"/>
      <c r="J137" s="235">
        <f>+'CIFRAS EEFF'!G79+'CIFRAS EEFF'!G80</f>
        <v>557544</v>
      </c>
      <c r="K137" s="235">
        <f>+'CIFRAS EEFF'!H79+'CIFRAS EEFF'!H80</f>
        <v>1115090</v>
      </c>
      <c r="L137" s="235">
        <f>+'CIFRAS EEFF'!I79+'CIFRAS EEFF'!I80</f>
        <v>1743394</v>
      </c>
      <c r="M137" s="235">
        <f>+'CIFRAS EEFF'!J79+'CIFRAS EEFF'!J80</f>
        <v>1667655</v>
      </c>
      <c r="N137" s="235">
        <f>+'CIFRAS EEFF'!K79+'CIFRAS EEFF'!K80</f>
        <v>2180454.19</v>
      </c>
      <c r="O137" s="235">
        <f>+'CIFRAS EEFF'!L79+'CIFRAS EEFF'!L80</f>
        <v>2693253.38</v>
      </c>
      <c r="P137" s="235">
        <f>+'CIFRAS EEFF'!M79+'CIFRAS EEFF'!M80</f>
        <v>3577272.57</v>
      </c>
      <c r="Q137" s="235">
        <f>+'CIFRAS EEFF'!N79+'CIFRAS EEFF'!N80</f>
        <v>4331930.76</v>
      </c>
      <c r="R137" s="235">
        <f>+'CIFRAS EEFF'!O79+'CIFRAS EEFF'!O80</f>
        <v>5511980</v>
      </c>
      <c r="S137" s="235" t="e">
        <f>+'CIFRAS EEFF'!#REF!+'CIFRAS EEFF'!#REF!</f>
        <v>#REF!</v>
      </c>
      <c r="T137" s="235" t="e">
        <f>+'CIFRAS EEFF'!#REF!+'CIFRAS EEFF'!#REF!</f>
        <v>#REF!</v>
      </c>
      <c r="U137" s="235" t="e">
        <f>+'CIFRAS EEFF'!#REF!+'CIFRAS EEFF'!#REF!</f>
        <v>#REF!</v>
      </c>
      <c r="W137" s="184">
        <f>F137</f>
        <v>0</v>
      </c>
      <c r="X137" s="184">
        <f>I137</f>
        <v>0</v>
      </c>
      <c r="Z137" s="184">
        <f>L137</f>
        <v>1743394</v>
      </c>
      <c r="AA137" s="184">
        <f>O137</f>
        <v>2693253.38</v>
      </c>
      <c r="AB137" s="184">
        <f>R137</f>
        <v>5511980</v>
      </c>
      <c r="AC137" s="184" t="e">
        <f>S137</f>
        <v>#REF!</v>
      </c>
      <c r="AE137" s="184">
        <f>I137</f>
        <v>0</v>
      </c>
      <c r="AG137" s="184">
        <f>N137</f>
        <v>2180454.19</v>
      </c>
    </row>
    <row r="138" spans="2:34">
      <c r="B138" s="229"/>
      <c r="D138" s="226" t="s">
        <v>147</v>
      </c>
      <c r="F138" s="193">
        <f>F133+F136+F137</f>
        <v>26328728.440000001</v>
      </c>
      <c r="G138" s="193">
        <f t="shared" ref="G138:O138" si="377">G133+G136+G137</f>
        <v>52218137.880000003</v>
      </c>
      <c r="H138" s="193">
        <f t="shared" si="377"/>
        <v>78253084.319999993</v>
      </c>
      <c r="I138" s="193" t="e">
        <f t="shared" si="377"/>
        <v>#REF!</v>
      </c>
      <c r="J138" s="193">
        <f>J133+J136+J137</f>
        <v>13627053</v>
      </c>
      <c r="K138" s="193">
        <f>K133+K136+K137</f>
        <v>30088112</v>
      </c>
      <c r="L138" s="193">
        <f>L133+L136+L137</f>
        <v>44770444</v>
      </c>
      <c r="M138" s="193">
        <f t="shared" si="377"/>
        <v>56892518</v>
      </c>
      <c r="N138" s="193">
        <f t="shared" si="377"/>
        <v>70862492.189999998</v>
      </c>
      <c r="O138" s="193">
        <f t="shared" si="377"/>
        <v>84837709.159999996</v>
      </c>
      <c r="P138" s="193">
        <f>P133+P136+P137</f>
        <v>98774094.349999994</v>
      </c>
      <c r="Q138" s="193">
        <f>Q133+Q136+Q137</f>
        <v>114117236.54000001</v>
      </c>
      <c r="R138" s="193">
        <f>R133+R136+R137</f>
        <v>131909873</v>
      </c>
      <c r="S138" s="193" t="e">
        <f>S133+S136+S137</f>
        <v>#REF!</v>
      </c>
      <c r="T138" s="193" t="e">
        <f t="shared" ref="T138:U138" si="378">T133+T136+T137</f>
        <v>#REF!</v>
      </c>
      <c r="U138" s="193" t="e">
        <f t="shared" si="378"/>
        <v>#REF!</v>
      </c>
      <c r="W138" s="193">
        <f t="shared" ref="W138:X138" si="379">W133+W136+W137</f>
        <v>26328728.440000001</v>
      </c>
      <c r="X138" s="193" t="e">
        <f t="shared" si="379"/>
        <v>#REF!</v>
      </c>
      <c r="Z138" s="193">
        <f t="shared" ref="Z138:AC138" si="380">Z133+Z136+Z137</f>
        <v>44770444</v>
      </c>
      <c r="AA138" s="193">
        <f t="shared" si="380"/>
        <v>84837709.159999996</v>
      </c>
      <c r="AB138" s="193">
        <f t="shared" si="380"/>
        <v>131909873</v>
      </c>
      <c r="AC138" s="193" t="e">
        <f t="shared" si="380"/>
        <v>#REF!</v>
      </c>
      <c r="AE138" s="193" t="e">
        <f t="shared" ref="AE138" si="381">AE133+AE136+AE137</f>
        <v>#REF!</v>
      </c>
      <c r="AG138" s="193">
        <f t="shared" ref="AG138" si="382">AG133+AG136+AG137</f>
        <v>70862492.189999998</v>
      </c>
    </row>
    <row r="139" spans="2:34" s="206" customFormat="1" ht="25.5">
      <c r="B139" s="229"/>
      <c r="D139" s="207" t="s">
        <v>148</v>
      </c>
      <c r="E139" s="208"/>
      <c r="F139" s="190">
        <f t="shared" ref="F139:Q139" si="383">F138/F$109</f>
        <v>0.52354096460531396</v>
      </c>
      <c r="G139" s="190">
        <f t="shared" si="383"/>
        <v>0.38052290452145732</v>
      </c>
      <c r="H139" s="190">
        <f t="shared" si="383"/>
        <v>0.4127899723838851</v>
      </c>
      <c r="I139" s="190" t="e">
        <f t="shared" si="383"/>
        <v>#REF!</v>
      </c>
      <c r="J139" s="190">
        <f t="shared" si="383"/>
        <v>0.23953051411541534</v>
      </c>
      <c r="K139" s="190">
        <f t="shared" si="383"/>
        <v>0.40627673731394354</v>
      </c>
      <c r="L139" s="190">
        <f t="shared" si="383"/>
        <v>0.24057820371865979</v>
      </c>
      <c r="M139" s="190">
        <f t="shared" si="383"/>
        <v>0.1935366250144179</v>
      </c>
      <c r="N139" s="190">
        <f t="shared" si="383"/>
        <v>0.19733401995649444</v>
      </c>
      <c r="O139" s="190">
        <f t="shared" si="383"/>
        <v>0.19439440696435722</v>
      </c>
      <c r="P139" s="190">
        <f t="shared" si="383"/>
        <v>0.18916029280324598</v>
      </c>
      <c r="Q139" s="190">
        <f t="shared" si="383"/>
        <v>0.18087347699815734</v>
      </c>
      <c r="R139" s="190">
        <f t="shared" ref="R139" si="384">R138/R$109</f>
        <v>0.1734828247228527</v>
      </c>
      <c r="S139" s="190" t="e">
        <f t="shared" ref="S139:U139" si="385">S138/S$109</f>
        <v>#REF!</v>
      </c>
      <c r="T139" s="190" t="e">
        <f t="shared" si="385"/>
        <v>#REF!</v>
      </c>
      <c r="U139" s="190" t="e">
        <f t="shared" si="385"/>
        <v>#REF!</v>
      </c>
      <c r="V139" s="208"/>
      <c r="W139" s="190">
        <f t="shared" ref="W139:X139" si="386">W138/W$109</f>
        <v>0.52354096460531396</v>
      </c>
      <c r="X139" s="190" t="e">
        <f t="shared" si="386"/>
        <v>#REF!</v>
      </c>
      <c r="Y139" s="208"/>
      <c r="Z139" s="190">
        <f t="shared" ref="Z139:AC139" si="387">Z138/Z$109</f>
        <v>0.24057820371865979</v>
      </c>
      <c r="AA139" s="190">
        <f t="shared" si="387"/>
        <v>0.19439440696435722</v>
      </c>
      <c r="AB139" s="190">
        <f t="shared" si="387"/>
        <v>0.1734828247228527</v>
      </c>
      <c r="AC139" s="190" t="e">
        <f t="shared" si="387"/>
        <v>#REF!</v>
      </c>
      <c r="AD139" s="208"/>
      <c r="AE139" s="190" t="e">
        <f t="shared" ref="AE139" si="388">AE138/AE$109</f>
        <v>#REF!</v>
      </c>
      <c r="AF139" s="208"/>
      <c r="AG139" s="190">
        <f t="shared" ref="AG139" si="389">AG138/AG$109</f>
        <v>0.19733401995649444</v>
      </c>
      <c r="AH139" s="211"/>
    </row>
    <row r="140" spans="2:34">
      <c r="B140" s="229"/>
      <c r="D140" s="226" t="s">
        <v>149</v>
      </c>
      <c r="F140" s="193">
        <f t="shared" ref="F140:P140" si="390">F129+F138</f>
        <v>36003092.439999998</v>
      </c>
      <c r="G140" s="193">
        <f t="shared" si="390"/>
        <v>81150983.900000006</v>
      </c>
      <c r="H140" s="193">
        <f t="shared" si="390"/>
        <v>133198667.38999999</v>
      </c>
      <c r="I140" s="193" t="e">
        <f t="shared" si="390"/>
        <v>#REF!</v>
      </c>
      <c r="J140" s="193">
        <f>J129+J138</f>
        <v>53710674.810000002</v>
      </c>
      <c r="K140" s="193">
        <f t="shared" si="390"/>
        <v>136071027.18000001</v>
      </c>
      <c r="L140" s="193">
        <f t="shared" si="390"/>
        <v>236033610.10000002</v>
      </c>
      <c r="M140" s="193">
        <f t="shared" si="390"/>
        <v>312263998.06</v>
      </c>
      <c r="N140" s="193">
        <f t="shared" si="390"/>
        <v>405665416.30000001</v>
      </c>
      <c r="O140" s="193">
        <f t="shared" si="390"/>
        <v>485865303.81999969</v>
      </c>
      <c r="P140" s="193">
        <f t="shared" si="390"/>
        <v>560094062.03999996</v>
      </c>
      <c r="Q140" s="193">
        <f>Q129+Q138</f>
        <v>455169056.23000002</v>
      </c>
      <c r="R140" s="193">
        <f>R129+R138</f>
        <v>528128157.60000002</v>
      </c>
      <c r="S140" s="193" t="e">
        <f>S129+S138</f>
        <v>#REF!</v>
      </c>
      <c r="T140" s="193" t="e">
        <f t="shared" ref="T140:U140" si="391">T129+T138</f>
        <v>#REF!</v>
      </c>
      <c r="U140" s="193" t="e">
        <f t="shared" si="391"/>
        <v>#REF!</v>
      </c>
      <c r="W140" s="193" t="e">
        <f>W129+W138</f>
        <v>#REF!</v>
      </c>
      <c r="X140" s="193" t="e">
        <f>X129+X138</f>
        <v>#REF!</v>
      </c>
      <c r="Z140" s="193">
        <f>Z129+Z138</f>
        <v>236033610.10000002</v>
      </c>
      <c r="AA140" s="193">
        <f>AA129+AA138</f>
        <v>485865303.81999969</v>
      </c>
      <c r="AB140" s="193">
        <f>AB129+AB138</f>
        <v>729511737.6400001</v>
      </c>
      <c r="AC140" s="193" t="e">
        <f>AC129+AC138</f>
        <v>#REF!</v>
      </c>
      <c r="AE140" s="193" t="e">
        <f>AE129+AE138</f>
        <v>#REF!</v>
      </c>
      <c r="AG140" s="193">
        <f>AG129+AG138</f>
        <v>405665416.30000001</v>
      </c>
    </row>
    <row r="141" spans="2:34" s="242" customFormat="1">
      <c r="B141" s="229"/>
      <c r="D141" s="243" t="s">
        <v>150</v>
      </c>
      <c r="E141" s="244"/>
      <c r="F141" s="245">
        <f t="shared" ref="F141:Q141" si="392">F140/F$92</f>
        <v>0.24683140139164136</v>
      </c>
      <c r="G141" s="245">
        <f t="shared" si="392"/>
        <v>0.21338009328935567</v>
      </c>
      <c r="H141" s="245">
        <f t="shared" si="392"/>
        <v>0.20798351109651855</v>
      </c>
      <c r="I141" s="245" t="e">
        <f t="shared" si="392"/>
        <v>#REF!</v>
      </c>
      <c r="J141" s="245">
        <f t="shared" si="392"/>
        <v>0.41847021917474397</v>
      </c>
      <c r="K141" s="245">
        <f t="shared" si="392"/>
        <v>0.77839925914935293</v>
      </c>
      <c r="L141" s="245">
        <f t="shared" si="392"/>
        <v>0.48213590144064861</v>
      </c>
      <c r="M141" s="245">
        <f t="shared" si="392"/>
        <v>0.4691765001139413</v>
      </c>
      <c r="N141" s="245">
        <f t="shared" si="392"/>
        <v>0.47120271630672567</v>
      </c>
      <c r="O141" s="245">
        <f t="shared" si="392"/>
        <v>0.43555242065104277</v>
      </c>
      <c r="P141" s="245">
        <f t="shared" si="392"/>
        <v>0.40701422545931576</v>
      </c>
      <c r="Q141" s="245">
        <f t="shared" si="392"/>
        <v>0.26124317657402024</v>
      </c>
      <c r="R141" s="245">
        <f t="shared" ref="R141" si="393">R140/R$92</f>
        <v>0.26069981005845033</v>
      </c>
      <c r="S141" s="245" t="e">
        <f t="shared" ref="S141:U141" si="394">S140/S$92</f>
        <v>#REF!</v>
      </c>
      <c r="T141" s="245" t="e">
        <f t="shared" si="394"/>
        <v>#REF!</v>
      </c>
      <c r="U141" s="245" t="e">
        <f t="shared" si="394"/>
        <v>#REF!</v>
      </c>
      <c r="V141" s="244"/>
      <c r="W141" s="245" t="e">
        <f t="shared" ref="W141:X141" si="395">W140/W$92</f>
        <v>#REF!</v>
      </c>
      <c r="X141" s="245" t="e">
        <f t="shared" si="395"/>
        <v>#REF!</v>
      </c>
      <c r="Y141" s="244"/>
      <c r="Z141" s="245">
        <f t="shared" ref="Z141:AC141" si="396">Z140/Z$92</f>
        <v>0.48213590144064861</v>
      </c>
      <c r="AA141" s="245">
        <f t="shared" si="396"/>
        <v>0.43555242065104277</v>
      </c>
      <c r="AB141" s="245">
        <f t="shared" si="396"/>
        <v>0.36010875144854815</v>
      </c>
      <c r="AC141" s="245" t="e">
        <f t="shared" si="396"/>
        <v>#REF!</v>
      </c>
      <c r="AD141" s="244"/>
      <c r="AE141" s="245" t="e">
        <f t="shared" ref="AE141" si="397">AE140/AE$92</f>
        <v>#REF!</v>
      </c>
      <c r="AF141" s="244"/>
      <c r="AG141" s="245">
        <f t="shared" ref="AG141" si="398">AG140/AG$92</f>
        <v>0.47120271630672567</v>
      </c>
      <c r="AH141" s="246"/>
    </row>
    <row r="142" spans="2:34" s="242" customFormat="1">
      <c r="B142" s="229"/>
      <c r="D142" s="243" t="s">
        <v>151</v>
      </c>
      <c r="E142" s="244"/>
      <c r="F142" s="247">
        <f t="shared" ref="F142:Q142" si="399">F140/F$1</f>
        <v>36003092.439999998</v>
      </c>
      <c r="G142" s="247">
        <f t="shared" si="399"/>
        <v>40575491.950000003</v>
      </c>
      <c r="H142" s="247">
        <f t="shared" si="399"/>
        <v>44399555.796666659</v>
      </c>
      <c r="I142" s="247" t="e">
        <f t="shared" si="399"/>
        <v>#REF!</v>
      </c>
      <c r="J142" s="247">
        <f t="shared" si="399"/>
        <v>53710674.810000002</v>
      </c>
      <c r="K142" s="247">
        <f t="shared" si="399"/>
        <v>68035513.590000004</v>
      </c>
      <c r="L142" s="247">
        <f t="shared" si="399"/>
        <v>78677870.033333346</v>
      </c>
      <c r="M142" s="247">
        <f t="shared" si="399"/>
        <v>78065999.515000001</v>
      </c>
      <c r="N142" s="247">
        <f t="shared" si="399"/>
        <v>81133083.260000005</v>
      </c>
      <c r="O142" s="247">
        <f t="shared" si="399"/>
        <v>80977550.636666611</v>
      </c>
      <c r="P142" s="247">
        <f t="shared" si="399"/>
        <v>80013437.434285715</v>
      </c>
      <c r="Q142" s="247">
        <f t="shared" si="399"/>
        <v>56896132.028750002</v>
      </c>
      <c r="R142" s="247">
        <f t="shared" ref="R142" si="400">R140/R$1</f>
        <v>58680906.400000006</v>
      </c>
      <c r="S142" s="247" t="e">
        <f t="shared" ref="S142:U142" si="401">S140/S$1</f>
        <v>#REF!</v>
      </c>
      <c r="T142" s="247" t="e">
        <f t="shared" si="401"/>
        <v>#REF!</v>
      </c>
      <c r="U142" s="247" t="e">
        <f t="shared" si="401"/>
        <v>#REF!</v>
      </c>
      <c r="V142" s="244"/>
      <c r="W142" s="247" t="e">
        <f t="shared" ref="W142:X142" si="402">W140/W$1</f>
        <v>#REF!</v>
      </c>
      <c r="X142" s="247" t="e">
        <f t="shared" si="402"/>
        <v>#REF!</v>
      </c>
      <c r="Y142" s="244"/>
      <c r="Z142" s="247">
        <f t="shared" ref="Z142:AC142" si="403">Z140/Z$1</f>
        <v>78677870.033333346</v>
      </c>
      <c r="AA142" s="247">
        <f t="shared" si="403"/>
        <v>80977550.636666611</v>
      </c>
      <c r="AB142" s="247">
        <f t="shared" si="403"/>
        <v>81056859.737777784</v>
      </c>
      <c r="AC142" s="247" t="e">
        <f t="shared" si="403"/>
        <v>#REF!</v>
      </c>
      <c r="AD142" s="244"/>
      <c r="AE142" s="247" t="e">
        <f>AE140/AE$1</f>
        <v>#REF!</v>
      </c>
      <c r="AF142" s="244"/>
      <c r="AG142" s="247">
        <f>AG140/AG$1</f>
        <v>81133083.260000005</v>
      </c>
      <c r="AH142" s="246"/>
    </row>
    <row r="143" spans="2:34" s="173" customFormat="1">
      <c r="D143" s="203"/>
      <c r="E143" s="170"/>
      <c r="V143" s="170"/>
      <c r="Y143" s="170"/>
      <c r="AD143" s="170"/>
      <c r="AF143" s="170"/>
    </row>
    <row r="144" spans="2:34">
      <c r="B144" s="229"/>
      <c r="D144" s="249" t="s">
        <v>152</v>
      </c>
      <c r="F144" s="250">
        <f t="shared" ref="F144:P144" si="404">F109-F140</f>
        <v>14286627.409999996</v>
      </c>
      <c r="G144" s="250">
        <f t="shared" si="404"/>
        <v>56076334.769999981</v>
      </c>
      <c r="H144" s="250">
        <f t="shared" si="404"/>
        <v>56372517.850000083</v>
      </c>
      <c r="I144" s="250" t="e">
        <f t="shared" si="404"/>
        <v>#REF!</v>
      </c>
      <c r="J144" s="251">
        <f t="shared" si="404"/>
        <v>3180001.7300000042</v>
      </c>
      <c r="K144" s="251">
        <f t="shared" si="404"/>
        <v>-62012856.390000001</v>
      </c>
      <c r="L144" s="251">
        <f t="shared" si="404"/>
        <v>-49938430.620000005</v>
      </c>
      <c r="M144" s="251">
        <f t="shared" si="404"/>
        <v>-18301457.399999976</v>
      </c>
      <c r="N144" s="251">
        <f t="shared" si="404"/>
        <v>-46566198.610000014</v>
      </c>
      <c r="O144" s="251">
        <f t="shared" si="404"/>
        <v>-49444778.739999652</v>
      </c>
      <c r="P144" s="251">
        <f t="shared" si="404"/>
        <v>-37922665.039999962</v>
      </c>
      <c r="Q144" s="251">
        <f>Q109-Q140-Q124</f>
        <v>-5560301.2699999809</v>
      </c>
      <c r="R144" s="251">
        <f>R109-R140-R124</f>
        <v>30850985.359999955</v>
      </c>
      <c r="S144" s="251" t="e">
        <f>S109-S140-S124</f>
        <v>#REF!</v>
      </c>
      <c r="T144" s="251" t="e">
        <f t="shared" ref="T144:U144" si="405">T109-T140-T124</f>
        <v>#REF!</v>
      </c>
      <c r="U144" s="251" t="e">
        <f t="shared" si="405"/>
        <v>#REF!</v>
      </c>
      <c r="W144" s="250" t="e">
        <f>W109-W140</f>
        <v>#REF!</v>
      </c>
      <c r="X144" s="250" t="e">
        <f>X109-X140</f>
        <v>#REF!</v>
      </c>
      <c r="Z144" s="251">
        <f>Z109-Z140</f>
        <v>-49938430.620000005</v>
      </c>
      <c r="AA144" s="251">
        <f>AA109-AA140</f>
        <v>-49444778.739999652</v>
      </c>
      <c r="AB144" s="251">
        <f>AB109-AB140</f>
        <v>30850985.359999895</v>
      </c>
      <c r="AC144" s="251" t="e">
        <f>AC109-AC140</f>
        <v>#REF!</v>
      </c>
      <c r="AE144" s="250" t="e">
        <f>AE109-AE140</f>
        <v>#REF!</v>
      </c>
      <c r="AG144" s="251">
        <f>AG109-AG140</f>
        <v>-46566198.610000014</v>
      </c>
    </row>
    <row r="145" spans="2:34" s="242" customFormat="1">
      <c r="B145" s="229"/>
      <c r="D145" s="243" t="s">
        <v>153</v>
      </c>
      <c r="E145" s="244"/>
      <c r="F145" s="245">
        <f t="shared" ref="F145:Q145" si="406">F144/F$92</f>
        <v>9.7946815836649131E-2</v>
      </c>
      <c r="G145" s="245">
        <f t="shared" si="406"/>
        <v>0.14744828675512503</v>
      </c>
      <c r="H145" s="245">
        <f t="shared" si="406"/>
        <v>8.8023059250774555E-2</v>
      </c>
      <c r="I145" s="245" t="e">
        <f t="shared" si="406"/>
        <v>#REF!</v>
      </c>
      <c r="J145" s="245">
        <f t="shared" si="406"/>
        <v>2.4776006364407223E-2</v>
      </c>
      <c r="K145" s="245">
        <f t="shared" si="406"/>
        <v>-0.35474680005065878</v>
      </c>
      <c r="L145" s="245">
        <f t="shared" si="406"/>
        <v>-0.10200712624487791</v>
      </c>
      <c r="M145" s="245">
        <f t="shared" si="406"/>
        <v>-2.7497930543586086E-2</v>
      </c>
      <c r="N145" s="245">
        <f t="shared" si="406"/>
        <v>-5.4089203544242279E-2</v>
      </c>
      <c r="O145" s="245">
        <f t="shared" si="406"/>
        <v>-4.4324616101298127E-2</v>
      </c>
      <c r="P145" s="245">
        <f t="shared" si="406"/>
        <v>-2.7557985675460236E-2</v>
      </c>
      <c r="Q145" s="245">
        <f t="shared" si="406"/>
        <v>-3.1913214367308615E-3</v>
      </c>
      <c r="R145" s="245">
        <f t="shared" ref="R145" si="407">R144/R$92</f>
        <v>1.5228966506950773E-2</v>
      </c>
      <c r="S145" s="245" t="e">
        <f t="shared" ref="S145:U145" si="408">S144/S$92</f>
        <v>#REF!</v>
      </c>
      <c r="T145" s="245" t="e">
        <f t="shared" si="408"/>
        <v>#REF!</v>
      </c>
      <c r="U145" s="245" t="e">
        <f t="shared" si="408"/>
        <v>#REF!</v>
      </c>
      <c r="V145" s="244"/>
      <c r="W145" s="245" t="e">
        <f t="shared" ref="W145:X145" si="409">W144/W$92</f>
        <v>#REF!</v>
      </c>
      <c r="X145" s="245" t="e">
        <f t="shared" si="409"/>
        <v>#REF!</v>
      </c>
      <c r="Y145" s="244"/>
      <c r="Z145" s="245">
        <f t="shared" ref="Z145:AC145" si="410">Z144/Z$92</f>
        <v>-0.10200712624487791</v>
      </c>
      <c r="AA145" s="245">
        <f t="shared" si="410"/>
        <v>-4.4324616101298127E-2</v>
      </c>
      <c r="AB145" s="245">
        <f t="shared" si="410"/>
        <v>1.5228966506950744E-2</v>
      </c>
      <c r="AC145" s="245" t="e">
        <f t="shared" si="410"/>
        <v>#REF!</v>
      </c>
      <c r="AD145" s="244"/>
      <c r="AE145" s="245" t="e">
        <f t="shared" ref="AE145" si="411">AE144/AE$92</f>
        <v>#REF!</v>
      </c>
      <c r="AF145" s="244"/>
      <c r="AG145" s="245">
        <f t="shared" ref="AG145" si="412">AG144/AG$92</f>
        <v>-5.4089203544242279E-2</v>
      </c>
      <c r="AH145" s="246"/>
    </row>
    <row r="146" spans="2:34" s="206" customFormat="1">
      <c r="B146" s="229"/>
      <c r="D146" s="207" t="s">
        <v>154</v>
      </c>
      <c r="E146" s="208"/>
      <c r="F146" s="209">
        <f t="shared" ref="F146:Q146" si="413">F144/F$1</f>
        <v>14286627.409999996</v>
      </c>
      <c r="G146" s="209">
        <f t="shared" si="413"/>
        <v>28038167.38499999</v>
      </c>
      <c r="H146" s="209">
        <f t="shared" si="413"/>
        <v>18790839.283333361</v>
      </c>
      <c r="I146" s="209" t="e">
        <f t="shared" si="413"/>
        <v>#REF!</v>
      </c>
      <c r="J146" s="209">
        <f t="shared" si="413"/>
        <v>3180001.7300000042</v>
      </c>
      <c r="K146" s="209">
        <f t="shared" si="413"/>
        <v>-31006428.195</v>
      </c>
      <c r="L146" s="209">
        <f t="shared" si="413"/>
        <v>-16646143.540000001</v>
      </c>
      <c r="M146" s="209">
        <f t="shared" si="413"/>
        <v>-4575364.349999994</v>
      </c>
      <c r="N146" s="209">
        <f t="shared" si="413"/>
        <v>-9313239.7220000029</v>
      </c>
      <c r="O146" s="209">
        <f t="shared" si="413"/>
        <v>-8240796.4566666083</v>
      </c>
      <c r="P146" s="209">
        <f t="shared" si="413"/>
        <v>-5417523.5771428514</v>
      </c>
      <c r="Q146" s="209">
        <f t="shared" si="413"/>
        <v>-695037.65874999762</v>
      </c>
      <c r="R146" s="209">
        <f t="shared" ref="R146" si="414">R144/R$1</f>
        <v>3427887.2622222174</v>
      </c>
      <c r="S146" s="209" t="e">
        <f t="shared" ref="S146:U146" si="415">S144/S$1</f>
        <v>#REF!</v>
      </c>
      <c r="T146" s="209" t="e">
        <f t="shared" si="415"/>
        <v>#REF!</v>
      </c>
      <c r="U146" s="209" t="e">
        <f t="shared" si="415"/>
        <v>#REF!</v>
      </c>
      <c r="V146" s="208"/>
      <c r="W146" s="209" t="e">
        <f t="shared" ref="W146:X146" si="416">W144/W$1</f>
        <v>#REF!</v>
      </c>
      <c r="X146" s="209" t="e">
        <f t="shared" si="416"/>
        <v>#REF!</v>
      </c>
      <c r="Y146" s="208"/>
      <c r="Z146" s="209">
        <f t="shared" ref="Z146:AC146" si="417">Z144/Z$1</f>
        <v>-16646143.540000001</v>
      </c>
      <c r="AA146" s="209">
        <f t="shared" si="417"/>
        <v>-8240796.4566666083</v>
      </c>
      <c r="AB146" s="209">
        <f t="shared" si="417"/>
        <v>3427887.2622222104</v>
      </c>
      <c r="AC146" s="209" t="e">
        <f t="shared" si="417"/>
        <v>#REF!</v>
      </c>
      <c r="AD146" s="208"/>
      <c r="AE146" s="209" t="e">
        <f>AE144/AE$1</f>
        <v>#REF!</v>
      </c>
      <c r="AF146" s="208"/>
      <c r="AG146" s="209">
        <f>AG144/AG$1</f>
        <v>-9313239.7220000029</v>
      </c>
      <c r="AH146" s="211"/>
    </row>
    <row r="147" spans="2:34" s="206" customFormat="1">
      <c r="B147" s="229"/>
      <c r="D147" s="207" t="s">
        <v>155</v>
      </c>
      <c r="E147" s="208"/>
      <c r="F147" s="190">
        <f t="shared" ref="F147:U147" si="418">(F$144*12)/F$79</f>
        <v>1.0484474598815865</v>
      </c>
      <c r="G147" s="190">
        <f t="shared" si="418"/>
        <v>2.6424852514862347</v>
      </c>
      <c r="H147" s="190">
        <f t="shared" si="418"/>
        <v>2.6648701833335262</v>
      </c>
      <c r="I147" s="190" t="e">
        <f t="shared" si="418"/>
        <v>#REF!</v>
      </c>
      <c r="J147" s="372">
        <f t="shared" si="418"/>
        <v>7.8030592162758705E-2</v>
      </c>
      <c r="K147" s="372">
        <f t="shared" si="418"/>
        <v>-1.7567065668816033</v>
      </c>
      <c r="L147" s="372">
        <f t="shared" si="418"/>
        <v>-1.3693845632005268</v>
      </c>
      <c r="M147" s="372">
        <f t="shared" si="418"/>
        <v>-0.46720720790249171</v>
      </c>
      <c r="N147" s="372">
        <f t="shared" si="418"/>
        <v>-1.2633760845595183</v>
      </c>
      <c r="O147" s="372">
        <f t="shared" si="418"/>
        <v>-1.3335544693321986</v>
      </c>
      <c r="P147" s="372">
        <f t="shared" si="418"/>
        <v>-0.99676761853032547</v>
      </c>
      <c r="Q147" s="372">
        <f t="shared" si="418"/>
        <v>-0.1362834574774856</v>
      </c>
      <c r="R147" s="372">
        <f t="shared" si="418"/>
        <v>0.70515425385420805</v>
      </c>
      <c r="S147" s="190" t="e">
        <f t="shared" si="418"/>
        <v>#REF!</v>
      </c>
      <c r="T147" s="190" t="e">
        <f t="shared" si="418"/>
        <v>#REF!</v>
      </c>
      <c r="U147" s="190" t="e">
        <f t="shared" si="418"/>
        <v>#REF!</v>
      </c>
      <c r="V147" s="208"/>
      <c r="W147" s="190" t="e">
        <f>(W$144*12)/W$79</f>
        <v>#REF!</v>
      </c>
      <c r="X147" s="190" t="e">
        <f>(X$144*12)/X$79</f>
        <v>#REF!</v>
      </c>
      <c r="Y147" s="208"/>
      <c r="Z147" s="190">
        <f>(Z$144*12)/Z$79</f>
        <v>-1.3693845632005268</v>
      </c>
      <c r="AA147" s="190">
        <f>(AA$144*12)/AA$79</f>
        <v>-1.3335544693321986</v>
      </c>
      <c r="AB147" s="190">
        <f>(AB$144*12)/AB$79</f>
        <v>0.70515425385420671</v>
      </c>
      <c r="AC147" s="190" t="e">
        <f>(AC$144*12)/AC$79</f>
        <v>#REF!</v>
      </c>
      <c r="AD147" s="208"/>
      <c r="AE147" s="190" t="e">
        <f>(AE$144*12)/AE$79</f>
        <v>#REF!</v>
      </c>
      <c r="AF147" s="208"/>
      <c r="AG147" s="190">
        <f>(AG$144*12)/AG$79</f>
        <v>-1.2633760845595183</v>
      </c>
      <c r="AH147" s="211"/>
    </row>
    <row r="148" spans="2:34" s="206" customFormat="1">
      <c r="B148" s="229"/>
      <c r="D148" s="207" t="s">
        <v>156</v>
      </c>
      <c r="E148" s="208"/>
      <c r="F148" s="190">
        <f t="shared" ref="F148:U148" si="419">(F$144*12)/F$83</f>
        <v>0.40391582402046328</v>
      </c>
      <c r="G148" s="190">
        <f t="shared" si="419"/>
        <v>0.98323692819546826</v>
      </c>
      <c r="H148" s="190">
        <f t="shared" si="419"/>
        <v>1.0537809589765492</v>
      </c>
      <c r="I148" s="190" t="e">
        <f t="shared" si="419"/>
        <v>#REF!</v>
      </c>
      <c r="J148" s="190">
        <f t="shared" si="419"/>
        <v>5.2819749376265421E-2</v>
      </c>
      <c r="K148" s="190">
        <f t="shared" si="419"/>
        <v>-1.2705361774622626</v>
      </c>
      <c r="L148" s="190">
        <f t="shared" si="419"/>
        <v>-0.70443118669364035</v>
      </c>
      <c r="M148" s="190">
        <f t="shared" si="419"/>
        <v>-0.26043944399910607</v>
      </c>
      <c r="N148" s="190">
        <f t="shared" si="419"/>
        <v>-0.69414196084508351</v>
      </c>
      <c r="O148" s="190">
        <f t="shared" si="419"/>
        <v>-0.63949800817123992</v>
      </c>
      <c r="P148" s="190">
        <f t="shared" si="419"/>
        <v>-0.54005813787743528</v>
      </c>
      <c r="Q148" s="190">
        <f t="shared" si="419"/>
        <v>-6.3612052267216987E-2</v>
      </c>
      <c r="R148" s="190">
        <f t="shared" si="419"/>
        <v>0.3952631175569335</v>
      </c>
      <c r="S148" s="190" t="e">
        <f t="shared" si="419"/>
        <v>#REF!</v>
      </c>
      <c r="T148" s="190" t="e">
        <f t="shared" si="419"/>
        <v>#REF!</v>
      </c>
      <c r="U148" s="190" t="e">
        <f t="shared" si="419"/>
        <v>#REF!</v>
      </c>
      <c r="V148" s="208"/>
      <c r="W148" s="190" t="e">
        <f>(W$144*12)/W$83</f>
        <v>#REF!</v>
      </c>
      <c r="X148" s="190" t="e">
        <f>(X$144*12)/X$83</f>
        <v>#REF!</v>
      </c>
      <c r="Y148" s="208"/>
      <c r="Z148" s="190">
        <f>(Z$144*12)/Z$83</f>
        <v>-0.70443118669364035</v>
      </c>
      <c r="AA148" s="190">
        <f>(AA$144*12)/AA$83</f>
        <v>-0.63949800817123992</v>
      </c>
      <c r="AB148" s="190">
        <f>(AB$144*12)/AB$83</f>
        <v>0.39526311755693277</v>
      </c>
      <c r="AC148" s="190" t="e">
        <f>(AC$144*12)/AC$83</f>
        <v>#REF!</v>
      </c>
      <c r="AD148" s="208"/>
      <c r="AE148" s="190" t="e">
        <f>(AE$144*12)/AE$83</f>
        <v>#REF!</v>
      </c>
      <c r="AF148" s="208"/>
      <c r="AG148" s="190">
        <f>(AG$144*12)/AG$83</f>
        <v>-0.69414196084508351</v>
      </c>
      <c r="AH148" s="211"/>
    </row>
    <row r="149" spans="2:34" s="173" customFormat="1">
      <c r="D149" s="203"/>
      <c r="E149" s="170"/>
      <c r="V149" s="170"/>
      <c r="Y149" s="170"/>
      <c r="AD149" s="170"/>
      <c r="AF149" s="170"/>
    </row>
    <row r="150" spans="2:34">
      <c r="D150" s="183" t="s">
        <v>328</v>
      </c>
      <c r="F150" s="184">
        <f>'CIFRAS EEFF'!D104</f>
        <v>585601</v>
      </c>
      <c r="G150" s="184">
        <f>'CIFRAS EEFF'!E104</f>
        <v>1423641.76</v>
      </c>
      <c r="H150" s="184">
        <f>'CIFRAS EEFF'!F104</f>
        <v>2525674.4900000002</v>
      </c>
      <c r="I150" s="184" t="e">
        <f>'CIFRAS EEFF'!#REF!</f>
        <v>#REF!</v>
      </c>
      <c r="J150" s="184">
        <f>'CIFRAS EEFF'!G104</f>
        <v>895207</v>
      </c>
      <c r="K150" s="184">
        <f>'CIFRAS EEFF'!H104</f>
        <v>2123282</v>
      </c>
      <c r="L150" s="184">
        <f>'CIFRAS EEFF'!I104</f>
        <v>3828081</v>
      </c>
      <c r="M150" s="184">
        <f>'CIFRAS EEFF'!J104</f>
        <v>4662952</v>
      </c>
      <c r="N150" s="184">
        <f>'CIFRAS EEFF'!K104</f>
        <v>6284473</v>
      </c>
      <c r="O150" s="184">
        <f>'CIFRAS EEFF'!L104</f>
        <v>7558640</v>
      </c>
      <c r="P150" s="184">
        <f>'CIFRAS EEFF'!M104</f>
        <v>9446715</v>
      </c>
      <c r="Q150" s="184">
        <f>'CIFRAS EEFF'!N104</f>
        <v>10533197</v>
      </c>
      <c r="R150" s="184">
        <f>'CIFRAS EEFF'!O104</f>
        <v>13083658</v>
      </c>
      <c r="S150" s="184" t="e">
        <f>'CIFRAS EEFF'!#REF!</f>
        <v>#REF!</v>
      </c>
      <c r="T150" s="184" t="e">
        <f>'CIFRAS EEFF'!#REF!</f>
        <v>#REF!</v>
      </c>
      <c r="U150" s="184" t="e">
        <f>'CIFRAS EEFF'!#REF!</f>
        <v>#REF!</v>
      </c>
      <c r="W150" s="184">
        <f>F150</f>
        <v>585601</v>
      </c>
      <c r="X150" s="184" t="e">
        <f t="shared" ref="X150:X153" si="420">I150</f>
        <v>#REF!</v>
      </c>
      <c r="Z150" s="184">
        <f>L150</f>
        <v>3828081</v>
      </c>
      <c r="AA150" s="184">
        <f>O150</f>
        <v>7558640</v>
      </c>
      <c r="AB150" s="184">
        <f>R150</f>
        <v>13083658</v>
      </c>
      <c r="AC150" s="184" t="e">
        <f>S150</f>
        <v>#REF!</v>
      </c>
      <c r="AE150" s="184" t="e">
        <f>I150</f>
        <v>#REF!</v>
      </c>
      <c r="AG150" s="184">
        <f>N150</f>
        <v>6284473</v>
      </c>
    </row>
    <row r="151" spans="2:34">
      <c r="D151" s="183" t="s">
        <v>158</v>
      </c>
      <c r="F151" s="184">
        <v>0</v>
      </c>
      <c r="G151" s="184">
        <v>0</v>
      </c>
      <c r="H151" s="184">
        <v>0</v>
      </c>
      <c r="I151" s="184">
        <v>0</v>
      </c>
      <c r="J151" s="184">
        <v>0</v>
      </c>
      <c r="K151" s="184">
        <v>0</v>
      </c>
      <c r="L151" s="184">
        <v>0</v>
      </c>
      <c r="M151" s="184">
        <v>0</v>
      </c>
      <c r="N151" s="184">
        <v>0</v>
      </c>
      <c r="O151" s="184">
        <v>0</v>
      </c>
      <c r="P151" s="184">
        <v>0</v>
      </c>
      <c r="Q151" s="184">
        <v>0</v>
      </c>
      <c r="R151" s="184">
        <v>0</v>
      </c>
      <c r="S151" s="184">
        <v>0</v>
      </c>
      <c r="T151" s="184">
        <v>0</v>
      </c>
      <c r="U151" s="184">
        <v>0</v>
      </c>
      <c r="W151" s="184">
        <f t="shared" ref="W151:W153" si="421">F151</f>
        <v>0</v>
      </c>
      <c r="X151" s="184">
        <f t="shared" si="420"/>
        <v>0</v>
      </c>
      <c r="Z151" s="184">
        <f>L151</f>
        <v>0</v>
      </c>
      <c r="AA151" s="184">
        <f>O151</f>
        <v>0</v>
      </c>
      <c r="AB151" s="184">
        <f>R151</f>
        <v>0</v>
      </c>
      <c r="AC151" s="184">
        <f>U151</f>
        <v>0</v>
      </c>
      <c r="AE151" s="184">
        <f>I151</f>
        <v>0</v>
      </c>
      <c r="AG151" s="184">
        <f>N151</f>
        <v>0</v>
      </c>
    </row>
    <row r="152" spans="2:34">
      <c r="D152" s="183" t="s">
        <v>184</v>
      </c>
      <c r="F152" s="184">
        <f>'CIFRAS EEFF'!D102</f>
        <v>0</v>
      </c>
      <c r="G152" s="184">
        <f>'CIFRAS EEFF'!E102</f>
        <v>12</v>
      </c>
      <c r="H152" s="184">
        <f>'CIFRAS EEFF'!F102</f>
        <v>499.16</v>
      </c>
      <c r="I152" s="184" t="e">
        <f>'CIFRAS EEFF'!#REF!</f>
        <v>#REF!</v>
      </c>
      <c r="J152" s="184">
        <f>'CIFRAS EEFF'!G102</f>
        <v>3376158</v>
      </c>
      <c r="K152" s="184">
        <f>'CIFRAS EEFF'!H102</f>
        <v>4365474.0999999996</v>
      </c>
      <c r="L152" s="184">
        <f>'CIFRAS EEFF'!I102</f>
        <v>7989730.0999999996</v>
      </c>
      <c r="M152" s="184">
        <f>'CIFRAS EEFF'!J102</f>
        <v>10345559.1</v>
      </c>
      <c r="N152" s="184">
        <f>'CIFRAS EEFF'!K102</f>
        <v>12469879.9</v>
      </c>
      <c r="O152" s="184">
        <f>'CIFRAS EEFF'!L102</f>
        <v>19249357</v>
      </c>
      <c r="P152" s="184">
        <f>'CIFRAS EEFF'!M102</f>
        <v>21233818.899999999</v>
      </c>
      <c r="Q152" s="184">
        <f>'CIFRAS EEFF'!N102</f>
        <v>23004603</v>
      </c>
      <c r="R152" s="184">
        <f>'CIFRAS EEFF'!O102</f>
        <v>24557678</v>
      </c>
      <c r="S152" s="184" t="e">
        <f>'CIFRAS EEFF'!#REF!</f>
        <v>#REF!</v>
      </c>
      <c r="T152" s="184" t="e">
        <f>'CIFRAS EEFF'!#REF!</f>
        <v>#REF!</v>
      </c>
      <c r="U152" s="184" t="e">
        <f>'CIFRAS EEFF'!#REF!</f>
        <v>#REF!</v>
      </c>
      <c r="W152" s="184">
        <f t="shared" si="421"/>
        <v>0</v>
      </c>
      <c r="X152" s="184" t="e">
        <f t="shared" si="420"/>
        <v>#REF!</v>
      </c>
      <c r="Z152" s="184">
        <f t="shared" ref="Z152:Z153" si="422">L152</f>
        <v>7989730.0999999996</v>
      </c>
      <c r="AA152" s="184">
        <f t="shared" ref="AA152:AA153" si="423">O152</f>
        <v>19249357</v>
      </c>
      <c r="AB152" s="184">
        <f t="shared" ref="AB152:AC153" si="424">R152</f>
        <v>24557678</v>
      </c>
      <c r="AC152" s="184" t="e">
        <f t="shared" si="424"/>
        <v>#REF!</v>
      </c>
      <c r="AE152" s="184" t="e">
        <f t="shared" ref="AE152:AE153" si="425">I152</f>
        <v>#REF!</v>
      </c>
      <c r="AG152" s="184">
        <f t="shared" ref="AG152:AG153" si="426">N152</f>
        <v>12469879.9</v>
      </c>
    </row>
    <row r="153" spans="2:34">
      <c r="D153" s="183" t="s">
        <v>185</v>
      </c>
      <c r="F153" s="184">
        <v>0</v>
      </c>
      <c r="G153" s="184">
        <v>0</v>
      </c>
      <c r="H153" s="184">
        <v>0</v>
      </c>
      <c r="I153" s="184">
        <v>0</v>
      </c>
      <c r="J153" s="184">
        <v>0</v>
      </c>
      <c r="K153" s="184">
        <v>0</v>
      </c>
      <c r="L153" s="184">
        <v>0</v>
      </c>
      <c r="M153" s="184">
        <v>0</v>
      </c>
      <c r="N153" s="184">
        <v>0</v>
      </c>
      <c r="O153" s="184">
        <v>0</v>
      </c>
      <c r="P153" s="184">
        <v>0</v>
      </c>
      <c r="Q153" s="184">
        <v>0</v>
      </c>
      <c r="R153" s="184">
        <v>0</v>
      </c>
      <c r="S153" s="184">
        <v>0</v>
      </c>
      <c r="T153" s="184">
        <v>0</v>
      </c>
      <c r="U153" s="184">
        <v>0</v>
      </c>
      <c r="W153" s="184">
        <f t="shared" si="421"/>
        <v>0</v>
      </c>
      <c r="X153" s="184">
        <f t="shared" si="420"/>
        <v>0</v>
      </c>
      <c r="Z153" s="184">
        <f t="shared" si="422"/>
        <v>0</v>
      </c>
      <c r="AA153" s="184">
        <f t="shared" si="423"/>
        <v>0</v>
      </c>
      <c r="AB153" s="184">
        <f t="shared" si="424"/>
        <v>0</v>
      </c>
      <c r="AC153" s="184">
        <f t="shared" ref="AC153" si="427">U153</f>
        <v>0</v>
      </c>
      <c r="AE153" s="184">
        <f t="shared" si="425"/>
        <v>0</v>
      </c>
      <c r="AG153" s="184">
        <f t="shared" si="426"/>
        <v>0</v>
      </c>
    </row>
    <row r="154" spans="2:34">
      <c r="D154" s="198" t="s">
        <v>159</v>
      </c>
      <c r="F154" s="193">
        <f>-F150+F151+F152-F153</f>
        <v>-585601</v>
      </c>
      <c r="G154" s="193">
        <f t="shared" ref="G154:P154" si="428">-G150+G151+G152-G153</f>
        <v>-1423629.76</v>
      </c>
      <c r="H154" s="193">
        <f t="shared" si="428"/>
        <v>-2525175.33</v>
      </c>
      <c r="I154" s="193" t="e">
        <f t="shared" si="428"/>
        <v>#REF!</v>
      </c>
      <c r="J154" s="193">
        <f t="shared" si="428"/>
        <v>2480951</v>
      </c>
      <c r="K154" s="193">
        <f t="shared" si="428"/>
        <v>2242192.0999999996</v>
      </c>
      <c r="L154" s="193">
        <f t="shared" si="428"/>
        <v>4161649.0999999996</v>
      </c>
      <c r="M154" s="193">
        <f t="shared" si="428"/>
        <v>5682607.0999999996</v>
      </c>
      <c r="N154" s="193">
        <f t="shared" si="428"/>
        <v>6185406.9000000004</v>
      </c>
      <c r="O154" s="193">
        <f>-O150+O151+O152-O153</f>
        <v>11690717</v>
      </c>
      <c r="P154" s="193">
        <f t="shared" si="428"/>
        <v>11787103.899999999</v>
      </c>
      <c r="Q154" s="193">
        <f>-Q150+Q151+Q152-Q153</f>
        <v>12471406</v>
      </c>
      <c r="R154" s="193">
        <f>-R150+R151+R152-R153</f>
        <v>11474020</v>
      </c>
      <c r="S154" s="193" t="e">
        <f t="shared" ref="S154:T154" si="429">-S150+S151+S152-S153</f>
        <v>#REF!</v>
      </c>
      <c r="T154" s="193" t="e">
        <f t="shared" si="429"/>
        <v>#REF!</v>
      </c>
      <c r="U154" s="193" t="e">
        <f>-U150+U151+U152-U153</f>
        <v>#REF!</v>
      </c>
      <c r="W154" s="193">
        <f t="shared" ref="W154" si="430">-W150+W151+W152-W153</f>
        <v>-585601</v>
      </c>
      <c r="X154" s="193" t="e">
        <f t="shared" ref="X154" si="431">-X150+X151+X152-X153</f>
        <v>#REF!</v>
      </c>
      <c r="Z154" s="193">
        <f t="shared" ref="Z154" si="432">-Z150+Z151+Z152-Z153</f>
        <v>4161649.0999999996</v>
      </c>
      <c r="AA154" s="193">
        <f t="shared" ref="AA154" si="433">-AA150+AA151+AA152-AA153</f>
        <v>11690717</v>
      </c>
      <c r="AB154" s="193">
        <f t="shared" ref="AB154" si="434">-AB150+AB151+AB152-AB153</f>
        <v>11474020</v>
      </c>
      <c r="AC154" s="193" t="e">
        <f t="shared" ref="AC154" si="435">-AC150+AC151+AC152-AC153</f>
        <v>#REF!</v>
      </c>
      <c r="AE154" s="193" t="e">
        <f t="shared" ref="AE154" si="436">-AE150+AE151+AE152-AE153</f>
        <v>#REF!</v>
      </c>
      <c r="AG154" s="193">
        <f t="shared" ref="AG154" si="437">-AG150+AG151+AG152-AG153</f>
        <v>6185406.9000000004</v>
      </c>
    </row>
    <row r="155" spans="2:34" s="173" customFormat="1">
      <c r="D155" s="203"/>
      <c r="E155" s="170"/>
      <c r="V155" s="170"/>
      <c r="Y155" s="170"/>
      <c r="AD155" s="170"/>
      <c r="AF155" s="170"/>
    </row>
    <row r="156" spans="2:34" ht="25.5">
      <c r="D156" s="226" t="s">
        <v>160</v>
      </c>
      <c r="F156" s="193">
        <f t="shared" ref="F156:Q156" si="438">F144+F154</f>
        <v>13701026.409999996</v>
      </c>
      <c r="G156" s="193">
        <f t="shared" si="438"/>
        <v>54652705.009999983</v>
      </c>
      <c r="H156" s="193">
        <f t="shared" si="438"/>
        <v>53847342.520000085</v>
      </c>
      <c r="I156" s="193" t="e">
        <f t="shared" si="438"/>
        <v>#REF!</v>
      </c>
      <c r="J156" s="193">
        <f t="shared" si="438"/>
        <v>5660952.7300000042</v>
      </c>
      <c r="K156" s="193">
        <f t="shared" si="438"/>
        <v>-59770664.289999999</v>
      </c>
      <c r="L156" s="193">
        <f t="shared" si="438"/>
        <v>-45776781.520000003</v>
      </c>
      <c r="M156" s="193">
        <f t="shared" si="438"/>
        <v>-12618850.299999977</v>
      </c>
      <c r="N156" s="193">
        <f t="shared" si="438"/>
        <v>-40380791.710000016</v>
      </c>
      <c r="O156" s="193">
        <f>O144+O154</f>
        <v>-37754061.739999652</v>
      </c>
      <c r="P156" s="193">
        <f t="shared" si="438"/>
        <v>-26135561.139999963</v>
      </c>
      <c r="Q156" s="193">
        <f t="shared" si="438"/>
        <v>6911104.7300000191</v>
      </c>
      <c r="R156" s="193">
        <f t="shared" ref="R156" si="439">R144+R154</f>
        <v>42325005.359999955</v>
      </c>
      <c r="S156" s="193" t="e">
        <f>S144+S154</f>
        <v>#REF!</v>
      </c>
      <c r="T156" s="193" t="e">
        <f t="shared" ref="T156:U156" si="440">T144+T154</f>
        <v>#REF!</v>
      </c>
      <c r="U156" s="193" t="e">
        <f t="shared" si="440"/>
        <v>#REF!</v>
      </c>
      <c r="W156" s="193" t="e">
        <f>W144+W154</f>
        <v>#REF!</v>
      </c>
      <c r="X156" s="193" t="e">
        <f>X144+X154</f>
        <v>#REF!</v>
      </c>
      <c r="Z156" s="193">
        <f>Z144+Z154</f>
        <v>-45776781.520000003</v>
      </c>
      <c r="AA156" s="193">
        <f>AA144+AA154</f>
        <v>-37754061.739999652</v>
      </c>
      <c r="AB156" s="193">
        <f>AB144+AB154</f>
        <v>42325005.359999895</v>
      </c>
      <c r="AC156" s="193" t="e">
        <f>AC144+AC154</f>
        <v>#REF!</v>
      </c>
      <c r="AE156" s="193" t="e">
        <f>AE144+AE154</f>
        <v>#REF!</v>
      </c>
      <c r="AG156" s="193">
        <f>AG144+AG154</f>
        <v>-40380791.710000016</v>
      </c>
    </row>
    <row r="157" spans="2:34" s="173" customFormat="1">
      <c r="D157" s="203"/>
      <c r="E157" s="170"/>
      <c r="V157" s="170"/>
      <c r="Y157" s="170"/>
      <c r="AD157" s="170"/>
      <c r="AF157" s="170"/>
    </row>
    <row r="158" spans="2:34">
      <c r="D158" s="231" t="s">
        <v>186</v>
      </c>
      <c r="F158" s="184">
        <f>'CIFRAS EEFF'!D110</f>
        <v>0</v>
      </c>
      <c r="G158" s="184">
        <f>'CIFRAS EEFF'!E110</f>
        <v>0</v>
      </c>
      <c r="H158" s="184">
        <f>'CIFRAS EEFF'!F110</f>
        <v>0</v>
      </c>
      <c r="I158" s="184" t="e">
        <f>'CIFRAS EEFF'!#REF!</f>
        <v>#REF!</v>
      </c>
      <c r="J158" s="184">
        <f>'CIFRAS EEFF'!G110</f>
        <v>0</v>
      </c>
      <c r="K158" s="184">
        <f>'CIFRAS EEFF'!H110</f>
        <v>0</v>
      </c>
      <c r="L158" s="184">
        <f>'CIFRAS EEFF'!I110</f>
        <v>0</v>
      </c>
      <c r="M158" s="184">
        <f>'CIFRAS EEFF'!J110</f>
        <v>695000</v>
      </c>
      <c r="N158" s="184">
        <f>'CIFRAS EEFF'!K110</f>
        <v>695000</v>
      </c>
      <c r="O158" s="184">
        <f>'CIFRAS EEFF'!L110</f>
        <v>695000</v>
      </c>
      <c r="P158" s="184">
        <f>'CIFRAS EEFF'!M110</f>
        <v>695000</v>
      </c>
      <c r="Q158" s="184">
        <f>'CIFRAS EEFF'!N110</f>
        <v>695000</v>
      </c>
      <c r="R158" s="184">
        <f>'CIFRAS EEFF'!O110</f>
        <v>695000</v>
      </c>
      <c r="S158" s="184" t="e">
        <f>'CIFRAS EEFF'!#REF!</f>
        <v>#REF!</v>
      </c>
      <c r="T158" s="184" t="e">
        <f>'CIFRAS EEFF'!#REF!</f>
        <v>#REF!</v>
      </c>
      <c r="U158" s="184" t="e">
        <f>'CIFRAS EEFF'!#REF!</f>
        <v>#REF!</v>
      </c>
      <c r="W158" s="184">
        <f>F158</f>
        <v>0</v>
      </c>
      <c r="X158" s="184" t="e">
        <f>I158</f>
        <v>#REF!</v>
      </c>
      <c r="Z158" s="184">
        <f>L158</f>
        <v>0</v>
      </c>
      <c r="AA158" s="184">
        <f>O158</f>
        <v>695000</v>
      </c>
      <c r="AB158" s="184">
        <f>R158</f>
        <v>695000</v>
      </c>
      <c r="AC158" s="184" t="e">
        <f>S158</f>
        <v>#REF!</v>
      </c>
      <c r="AE158" s="184" t="e">
        <f>I158</f>
        <v>#REF!</v>
      </c>
      <c r="AG158" s="184">
        <f>N158</f>
        <v>695000</v>
      </c>
    </row>
    <row r="159" spans="2:34">
      <c r="D159" s="226" t="s">
        <v>161</v>
      </c>
      <c r="F159" s="193">
        <f t="shared" ref="F159:Q159" si="441">SUM(F158:F158)</f>
        <v>0</v>
      </c>
      <c r="G159" s="193">
        <f t="shared" si="441"/>
        <v>0</v>
      </c>
      <c r="H159" s="193">
        <f t="shared" si="441"/>
        <v>0</v>
      </c>
      <c r="I159" s="193" t="e">
        <f t="shared" si="441"/>
        <v>#REF!</v>
      </c>
      <c r="J159" s="193">
        <f t="shared" si="441"/>
        <v>0</v>
      </c>
      <c r="K159" s="193">
        <f t="shared" si="441"/>
        <v>0</v>
      </c>
      <c r="L159" s="193">
        <f t="shared" si="441"/>
        <v>0</v>
      </c>
      <c r="M159" s="193">
        <f t="shared" si="441"/>
        <v>695000</v>
      </c>
      <c r="N159" s="193">
        <f t="shared" si="441"/>
        <v>695000</v>
      </c>
      <c r="O159" s="193">
        <f t="shared" si="441"/>
        <v>695000</v>
      </c>
      <c r="P159" s="193">
        <f t="shared" si="441"/>
        <v>695000</v>
      </c>
      <c r="Q159" s="193">
        <f t="shared" si="441"/>
        <v>695000</v>
      </c>
      <c r="R159" s="193">
        <f t="shared" ref="R159" si="442">SUM(R158:R158)</f>
        <v>695000</v>
      </c>
      <c r="S159" s="193" t="e">
        <f t="shared" ref="S159:U159" si="443">SUM(S158:S158)</f>
        <v>#REF!</v>
      </c>
      <c r="T159" s="193" t="e">
        <f t="shared" si="443"/>
        <v>#REF!</v>
      </c>
      <c r="U159" s="193" t="e">
        <f t="shared" si="443"/>
        <v>#REF!</v>
      </c>
      <c r="W159" s="193">
        <f>SUM(W158:W158)</f>
        <v>0</v>
      </c>
      <c r="X159" s="193" t="e">
        <f>SUM(X158:X158)</f>
        <v>#REF!</v>
      </c>
      <c r="Z159" s="193">
        <f t="shared" ref="Z159:AC159" si="444">SUM(Z158:Z158)</f>
        <v>0</v>
      </c>
      <c r="AA159" s="193">
        <f t="shared" si="444"/>
        <v>695000</v>
      </c>
      <c r="AB159" s="193">
        <f t="shared" si="444"/>
        <v>695000</v>
      </c>
      <c r="AC159" s="193" t="e">
        <f t="shared" si="444"/>
        <v>#REF!</v>
      </c>
      <c r="AE159" s="193" t="e">
        <f>SUM(AE158:AE158)</f>
        <v>#REF!</v>
      </c>
      <c r="AG159" s="193">
        <f>SUM(AG158:AG158)</f>
        <v>695000</v>
      </c>
    </row>
    <row r="160" spans="2:34" s="173" customFormat="1">
      <c r="D160" s="203"/>
      <c r="E160" s="170"/>
      <c r="V160" s="170"/>
      <c r="Y160" s="170"/>
      <c r="AD160" s="170"/>
      <c r="AF160" s="170"/>
    </row>
    <row r="161" spans="4:41">
      <c r="D161" s="226" t="s">
        <v>187</v>
      </c>
      <c r="F161" s="193">
        <f>F156-F159</f>
        <v>13701026.409999996</v>
      </c>
      <c r="G161" s="193">
        <f t="shared" ref="G161:M161" si="445">G156-G159</f>
        <v>54652705.009999983</v>
      </c>
      <c r="H161" s="193">
        <f t="shared" si="445"/>
        <v>53847342.520000085</v>
      </c>
      <c r="I161" s="193" t="e">
        <f t="shared" si="445"/>
        <v>#REF!</v>
      </c>
      <c r="J161" s="193">
        <f t="shared" si="445"/>
        <v>5660952.7300000042</v>
      </c>
      <c r="K161" s="193">
        <f t="shared" si="445"/>
        <v>-59770664.289999999</v>
      </c>
      <c r="L161" s="193">
        <f t="shared" si="445"/>
        <v>-45776781.520000003</v>
      </c>
      <c r="M161" s="193">
        <f t="shared" si="445"/>
        <v>-13313850.299999977</v>
      </c>
      <c r="N161" s="193">
        <f t="shared" ref="N161:S161" si="446">N156-N159</f>
        <v>-41075791.710000016</v>
      </c>
      <c r="O161" s="193">
        <f t="shared" si="446"/>
        <v>-38449061.739999652</v>
      </c>
      <c r="P161" s="193">
        <f t="shared" si="446"/>
        <v>-26830561.139999963</v>
      </c>
      <c r="Q161" s="193">
        <f t="shared" si="446"/>
        <v>6216104.7300000191</v>
      </c>
      <c r="R161" s="193">
        <f t="shared" ref="R161" si="447">R156-R159</f>
        <v>41630005.359999955</v>
      </c>
      <c r="S161" s="193" t="e">
        <f t="shared" si="446"/>
        <v>#REF!</v>
      </c>
      <c r="T161" s="193" t="e">
        <f t="shared" ref="T161:U161" si="448">T156-T159</f>
        <v>#REF!</v>
      </c>
      <c r="U161" s="193" t="e">
        <f t="shared" si="448"/>
        <v>#REF!</v>
      </c>
      <c r="W161" s="193" t="e">
        <f t="shared" ref="W161:X161" si="449">W156-W159</f>
        <v>#REF!</v>
      </c>
      <c r="X161" s="193" t="e">
        <f t="shared" si="449"/>
        <v>#REF!</v>
      </c>
      <c r="Z161" s="193">
        <f t="shared" ref="Z161:AC161" si="450">Z156-Z159</f>
        <v>-45776781.520000003</v>
      </c>
      <c r="AA161" s="193">
        <f t="shared" si="450"/>
        <v>-38449061.739999652</v>
      </c>
      <c r="AB161" s="193">
        <f t="shared" si="450"/>
        <v>41630005.359999895</v>
      </c>
      <c r="AC161" s="193" t="e">
        <f t="shared" si="450"/>
        <v>#REF!</v>
      </c>
      <c r="AE161" s="193" t="e">
        <f t="shared" ref="AE161" si="451">AE156-AE159</f>
        <v>#REF!</v>
      </c>
      <c r="AG161" s="193">
        <f t="shared" ref="AG161" si="452">AG156-AG159</f>
        <v>-41075791.710000016</v>
      </c>
    </row>
    <row r="162" spans="4:41" s="242" customFormat="1">
      <c r="D162" s="243" t="s">
        <v>162</v>
      </c>
      <c r="E162" s="244"/>
      <c r="F162" s="245">
        <f t="shared" ref="F162:Q162" si="453">F161/F$92</f>
        <v>9.3932029725505115E-2</v>
      </c>
      <c r="G162" s="245">
        <f t="shared" si="453"/>
        <v>0.14370496490738704</v>
      </c>
      <c r="H162" s="245">
        <f t="shared" si="453"/>
        <v>8.4080115664635205E-2</v>
      </c>
      <c r="I162" s="245" t="e">
        <f t="shared" si="453"/>
        <v>#REF!</v>
      </c>
      <c r="J162" s="245">
        <f t="shared" si="453"/>
        <v>4.4105573762404322E-2</v>
      </c>
      <c r="K162" s="245">
        <f t="shared" si="453"/>
        <v>-0.34192025860622804</v>
      </c>
      <c r="L162" s="245">
        <f t="shared" si="453"/>
        <v>-9.3506301131632039E-2</v>
      </c>
      <c r="M162" s="245">
        <f t="shared" si="453"/>
        <v>-2.0004053383043834E-2</v>
      </c>
      <c r="N162" s="245">
        <f t="shared" si="453"/>
        <v>-4.7711793637069011E-2</v>
      </c>
      <c r="O162" s="245">
        <f t="shared" si="453"/>
        <v>-3.4467540244080504E-2</v>
      </c>
      <c r="P162" s="245">
        <f t="shared" si="453"/>
        <v>-1.9497475158477939E-2</v>
      </c>
      <c r="Q162" s="245">
        <f t="shared" si="453"/>
        <v>3.5677182430464299E-3</v>
      </c>
      <c r="R162" s="245">
        <f t="shared" ref="R162" si="454">R161/R$92</f>
        <v>2.0549812264136429E-2</v>
      </c>
      <c r="S162" s="245" t="e">
        <f t="shared" ref="S162:U162" si="455">S161/S$92</f>
        <v>#REF!</v>
      </c>
      <c r="T162" s="245" t="e">
        <f t="shared" si="455"/>
        <v>#REF!</v>
      </c>
      <c r="U162" s="245" t="e">
        <f t="shared" si="455"/>
        <v>#REF!</v>
      </c>
      <c r="V162" s="244"/>
      <c r="W162" s="245">
        <f>F162</f>
        <v>9.3932029725505115E-2</v>
      </c>
      <c r="X162" s="245" t="e">
        <f>I162</f>
        <v>#REF!</v>
      </c>
      <c r="Y162" s="244"/>
      <c r="Z162" s="245">
        <f>L162</f>
        <v>-9.3506301131632039E-2</v>
      </c>
      <c r="AA162" s="245">
        <f>O162</f>
        <v>-3.4467540244080504E-2</v>
      </c>
      <c r="AB162" s="245">
        <f t="shared" ref="AB162:AC164" si="456">R162</f>
        <v>2.0549812264136429E-2</v>
      </c>
      <c r="AC162" s="245" t="e">
        <f t="shared" si="456"/>
        <v>#REF!</v>
      </c>
      <c r="AD162" s="244"/>
      <c r="AE162" s="245" t="e">
        <f t="shared" ref="AE162" si="457">AE161/AE$92</f>
        <v>#REF!</v>
      </c>
      <c r="AF162" s="244"/>
      <c r="AG162" s="245">
        <f t="shared" ref="AG162" si="458">AG161/AG$92</f>
        <v>-4.7711793637069011E-2</v>
      </c>
      <c r="AH162" s="246"/>
    </row>
    <row r="163" spans="4:41" s="206" customFormat="1">
      <c r="D163" s="207" t="s">
        <v>163</v>
      </c>
      <c r="E163" s="208"/>
      <c r="F163" s="209">
        <f t="shared" ref="F163:Q163" si="459">F161/F$1</f>
        <v>13701026.409999996</v>
      </c>
      <c r="G163" s="209">
        <f t="shared" si="459"/>
        <v>27326352.504999992</v>
      </c>
      <c r="H163" s="209">
        <f t="shared" si="459"/>
        <v>17949114.173333362</v>
      </c>
      <c r="I163" s="209" t="e">
        <f t="shared" si="459"/>
        <v>#REF!</v>
      </c>
      <c r="J163" s="209">
        <f t="shared" si="459"/>
        <v>5660952.7300000042</v>
      </c>
      <c r="K163" s="209">
        <f t="shared" si="459"/>
        <v>-29885332.145</v>
      </c>
      <c r="L163" s="209">
        <f t="shared" si="459"/>
        <v>-15258927.173333334</v>
      </c>
      <c r="M163" s="209">
        <f t="shared" si="459"/>
        <v>-3328462.5749999941</v>
      </c>
      <c r="N163" s="209">
        <f t="shared" si="459"/>
        <v>-8215158.342000003</v>
      </c>
      <c r="O163" s="209">
        <f t="shared" si="459"/>
        <v>-6408176.9566666083</v>
      </c>
      <c r="P163" s="209">
        <f t="shared" si="459"/>
        <v>-3832937.3057142803</v>
      </c>
      <c r="Q163" s="209">
        <f t="shared" si="459"/>
        <v>777013.09125000238</v>
      </c>
      <c r="R163" s="209">
        <f t="shared" ref="R163" si="460">R161/R$1</f>
        <v>4625556.1511111064</v>
      </c>
      <c r="S163" s="209" t="e">
        <f t="shared" ref="S163:U163" si="461">S161/S$1</f>
        <v>#REF!</v>
      </c>
      <c r="T163" s="209" t="e">
        <f t="shared" si="461"/>
        <v>#REF!</v>
      </c>
      <c r="U163" s="209" t="e">
        <f t="shared" si="461"/>
        <v>#REF!</v>
      </c>
      <c r="V163" s="208"/>
      <c r="W163" s="209">
        <f>F163</f>
        <v>13701026.409999996</v>
      </c>
      <c r="X163" s="209" t="e">
        <f>I163</f>
        <v>#REF!</v>
      </c>
      <c r="Y163" s="208"/>
      <c r="Z163" s="209">
        <f>L163</f>
        <v>-15258927.173333334</v>
      </c>
      <c r="AA163" s="209">
        <f>O163</f>
        <v>-6408176.9566666083</v>
      </c>
      <c r="AB163" s="209">
        <f t="shared" si="456"/>
        <v>4625556.1511111064</v>
      </c>
      <c r="AC163" s="209" t="e">
        <f t="shared" si="456"/>
        <v>#REF!</v>
      </c>
      <c r="AD163" s="208"/>
      <c r="AE163" s="209" t="e">
        <f>AE161/AE$1</f>
        <v>#REF!</v>
      </c>
      <c r="AF163" s="208"/>
      <c r="AG163" s="209">
        <f>AG161/AG$1</f>
        <v>-8215158.342000003</v>
      </c>
      <c r="AH163" s="211"/>
    </row>
    <row r="164" spans="4:41" s="206" customFormat="1">
      <c r="D164" s="207" t="s">
        <v>164</v>
      </c>
      <c r="E164" s="208"/>
      <c r="F164" s="190">
        <f t="shared" ref="F164:Q164" si="462">F161/F47</f>
        <v>-8.7612489510070919</v>
      </c>
      <c r="G164" s="190">
        <f t="shared" si="462"/>
        <v>0.50631548027653905</v>
      </c>
      <c r="H164" s="190">
        <f t="shared" si="462"/>
        <v>0.57549991920458843</v>
      </c>
      <c r="I164" s="190" t="e">
        <f t="shared" si="462"/>
        <v>#REF!</v>
      </c>
      <c r="J164" s="190">
        <f t="shared" si="462"/>
        <v>1.125206768873171E-2</v>
      </c>
      <c r="K164" s="190">
        <f t="shared" si="462"/>
        <v>-0.1468760311936016</v>
      </c>
      <c r="L164" s="190">
        <f t="shared" si="462"/>
        <v>-8.3054139970498181E-2</v>
      </c>
      <c r="M164" s="190">
        <f t="shared" si="462"/>
        <v>-2.582485539889727E-2</v>
      </c>
      <c r="N164" s="190">
        <f t="shared" si="462"/>
        <v>-9.207935181037398E-2</v>
      </c>
      <c r="O164" s="190">
        <f t="shared" si="462"/>
        <v>-9.2732494886938535E-2</v>
      </c>
      <c r="P164" s="190">
        <f t="shared" si="462"/>
        <v>-5.3981751243519588E-2</v>
      </c>
      <c r="Q164" s="190">
        <f t="shared" si="462"/>
        <v>1.2452319208132978E-2</v>
      </c>
      <c r="R164" s="190">
        <f t="shared" ref="R164" si="463">R161/R47</f>
        <v>7.9985612044704085E-2</v>
      </c>
      <c r="S164" s="190" t="e">
        <f t="shared" ref="S164:U164" si="464">S161/S47</f>
        <v>#REF!</v>
      </c>
      <c r="T164" s="190" t="e">
        <f t="shared" si="464"/>
        <v>#REF!</v>
      </c>
      <c r="U164" s="190" t="e">
        <f t="shared" si="464"/>
        <v>#REF!</v>
      </c>
      <c r="V164" s="208"/>
      <c r="W164" s="190">
        <f>F164</f>
        <v>-8.7612489510070919</v>
      </c>
      <c r="X164" s="190" t="e">
        <f>I164</f>
        <v>#REF!</v>
      </c>
      <c r="Y164" s="208"/>
      <c r="Z164" s="190">
        <f>L164</f>
        <v>-8.3054139970498181E-2</v>
      </c>
      <c r="AA164" s="190">
        <f>O164</f>
        <v>-9.2732494886938535E-2</v>
      </c>
      <c r="AB164" s="190">
        <f t="shared" si="456"/>
        <v>7.9985612044704085E-2</v>
      </c>
      <c r="AC164" s="190" t="e">
        <f t="shared" si="456"/>
        <v>#REF!</v>
      </c>
      <c r="AD164" s="208"/>
      <c r="AE164" s="190" t="e">
        <f>AE161/AE47</f>
        <v>#REF!</v>
      </c>
      <c r="AF164" s="208"/>
      <c r="AG164" s="190">
        <f>AG161/AG47</f>
        <v>-9.5713331362695192E-2</v>
      </c>
      <c r="AH164" s="211"/>
    </row>
    <row r="165" spans="4:41" s="206" customFormat="1">
      <c r="D165" s="207" t="s">
        <v>165</v>
      </c>
      <c r="E165" s="252"/>
      <c r="F165" s="190">
        <f t="shared" ref="F165:Q165" si="465">F161/F79</f>
        <v>8.3789347928260927E-2</v>
      </c>
      <c r="G165" s="190">
        <f t="shared" si="465"/>
        <v>0.21461662858776159</v>
      </c>
      <c r="H165" s="190">
        <f t="shared" si="465"/>
        <v>0.21212490146812379</v>
      </c>
      <c r="I165" s="190" t="e">
        <f t="shared" si="465"/>
        <v>#REF!</v>
      </c>
      <c r="J165" s="190">
        <f t="shared" si="465"/>
        <v>1.1575661777163175E-2</v>
      </c>
      <c r="K165" s="190">
        <f t="shared" si="465"/>
        <v>-0.14109912655957288</v>
      </c>
      <c r="L165" s="190">
        <f t="shared" si="465"/>
        <v>-0.10460550653445683</v>
      </c>
      <c r="M165" s="190">
        <f t="shared" si="465"/>
        <v>-2.8323458478115286E-2</v>
      </c>
      <c r="N165" s="190">
        <f t="shared" si="465"/>
        <v>-9.2868100413679947E-2</v>
      </c>
      <c r="O165" s="190">
        <f t="shared" si="465"/>
        <v>-8.6416131678643079E-2</v>
      </c>
      <c r="P165" s="190">
        <f t="shared" si="465"/>
        <v>-5.8768361223077881E-2</v>
      </c>
      <c r="Q165" s="190">
        <f t="shared" si="465"/>
        <v>1.2696438009232751E-2</v>
      </c>
      <c r="R165" s="190">
        <f t="shared" ref="R165" si="466">R161/R79</f>
        <v>7.9293997217666973E-2</v>
      </c>
      <c r="S165" s="190" t="e">
        <f t="shared" ref="S165:U165" si="467">S161/S79</f>
        <v>#REF!</v>
      </c>
      <c r="T165" s="190" t="e">
        <f t="shared" si="467"/>
        <v>#REF!</v>
      </c>
      <c r="U165" s="190" t="e">
        <f t="shared" si="467"/>
        <v>#REF!</v>
      </c>
      <c r="V165" s="252"/>
      <c r="W165" s="190" t="e">
        <f>W161/W79</f>
        <v>#REF!</v>
      </c>
      <c r="X165" s="190" t="e">
        <f>X161/X79</f>
        <v>#REF!</v>
      </c>
      <c r="Y165" s="252"/>
      <c r="Z165" s="190">
        <f>Z161/Z79</f>
        <v>-0.10460550653445683</v>
      </c>
      <c r="AA165" s="190">
        <f>AA161/AA79</f>
        <v>-8.6416131678643079E-2</v>
      </c>
      <c r="AB165" s="190">
        <f>AB161/AB79</f>
        <v>7.9293997217666862E-2</v>
      </c>
      <c r="AC165" s="190" t="e">
        <f>AC161/AC79</f>
        <v>#REF!</v>
      </c>
      <c r="AD165" s="252"/>
      <c r="AE165" s="190" t="e">
        <f>AE161/AE79</f>
        <v>#REF!</v>
      </c>
      <c r="AF165" s="252" t="e">
        <f>AF161/(AF79-#REF!)</f>
        <v>#REF!</v>
      </c>
      <c r="AG165" s="190">
        <f>AG161/AG79</f>
        <v>-9.2868100413679947E-2</v>
      </c>
      <c r="AH165" s="211"/>
    </row>
    <row r="166" spans="4:41" s="173" customFormat="1">
      <c r="D166" s="203"/>
      <c r="E166" s="170"/>
      <c r="V166" s="170"/>
      <c r="Y166" s="170"/>
      <c r="AD166" s="170"/>
      <c r="AF166" s="170"/>
    </row>
    <row r="167" spans="4:41" s="256" customFormat="1">
      <c r="D167" s="231" t="s">
        <v>176</v>
      </c>
      <c r="E167" s="168"/>
      <c r="F167" s="253"/>
      <c r="G167" s="253"/>
      <c r="H167" s="253"/>
      <c r="I167" s="253"/>
      <c r="J167" s="342">
        <v>7</v>
      </c>
      <c r="K167" s="342">
        <v>8</v>
      </c>
      <c r="L167" s="342">
        <v>8</v>
      </c>
      <c r="M167" s="342">
        <v>8</v>
      </c>
      <c r="N167" s="342">
        <v>9</v>
      </c>
      <c r="O167" s="342">
        <v>9</v>
      </c>
      <c r="P167" s="342">
        <v>8</v>
      </c>
      <c r="Q167" s="342">
        <v>9</v>
      </c>
      <c r="R167" s="342">
        <v>9</v>
      </c>
      <c r="S167" s="342">
        <v>8</v>
      </c>
      <c r="T167" s="342">
        <v>8</v>
      </c>
      <c r="U167" s="342">
        <v>8</v>
      </c>
      <c r="V167" s="168"/>
      <c r="W167" s="253">
        <f>F167</f>
        <v>0</v>
      </c>
      <c r="X167" s="253">
        <f>I167</f>
        <v>0</v>
      </c>
      <c r="Y167" s="168"/>
      <c r="Z167" s="253">
        <f>L167</f>
        <v>8</v>
      </c>
      <c r="AA167" s="253">
        <f>O167</f>
        <v>9</v>
      </c>
      <c r="AB167" s="253">
        <f>R167</f>
        <v>9</v>
      </c>
      <c r="AC167" s="253">
        <f>U167</f>
        <v>8</v>
      </c>
      <c r="AD167" s="168"/>
      <c r="AE167" s="253">
        <f>I167</f>
        <v>0</v>
      </c>
      <c r="AF167" s="168"/>
      <c r="AG167" s="253">
        <f>N167</f>
        <v>9</v>
      </c>
      <c r="AH167" s="254"/>
      <c r="AI167" s="255"/>
      <c r="AJ167" s="255"/>
      <c r="AK167" s="255"/>
      <c r="AL167" s="255"/>
      <c r="AM167" s="255"/>
      <c r="AN167" s="255"/>
      <c r="AO167" s="255"/>
    </row>
    <row r="168" spans="4:41" s="259" customFormat="1">
      <c r="D168" s="226" t="s">
        <v>166</v>
      </c>
      <c r="E168" s="257"/>
      <c r="F168" s="258">
        <f t="shared" ref="F168:Q168" si="468">F167</f>
        <v>0</v>
      </c>
      <c r="G168" s="258">
        <f t="shared" si="468"/>
        <v>0</v>
      </c>
      <c r="H168" s="258">
        <f t="shared" si="468"/>
        <v>0</v>
      </c>
      <c r="I168" s="258">
        <f t="shared" si="468"/>
        <v>0</v>
      </c>
      <c r="J168" s="258">
        <f t="shared" si="468"/>
        <v>7</v>
      </c>
      <c r="K168" s="258">
        <f t="shared" si="468"/>
        <v>8</v>
      </c>
      <c r="L168" s="258">
        <f t="shared" si="468"/>
        <v>8</v>
      </c>
      <c r="M168" s="258">
        <f t="shared" si="468"/>
        <v>8</v>
      </c>
      <c r="N168" s="258">
        <f t="shared" si="468"/>
        <v>9</v>
      </c>
      <c r="O168" s="258">
        <f t="shared" si="468"/>
        <v>9</v>
      </c>
      <c r="P168" s="258">
        <f t="shared" si="468"/>
        <v>8</v>
      </c>
      <c r="Q168" s="258">
        <f t="shared" si="468"/>
        <v>9</v>
      </c>
      <c r="R168" s="258">
        <f t="shared" ref="R168" si="469">R167</f>
        <v>9</v>
      </c>
      <c r="S168" s="258">
        <f t="shared" ref="S168:U168" si="470">S167</f>
        <v>8</v>
      </c>
      <c r="T168" s="258">
        <f t="shared" si="470"/>
        <v>8</v>
      </c>
      <c r="U168" s="258">
        <f t="shared" si="470"/>
        <v>8</v>
      </c>
      <c r="V168" s="257"/>
      <c r="W168" s="258">
        <f>SUM(W167:W167)</f>
        <v>0</v>
      </c>
      <c r="X168" s="258">
        <f>SUM(X167:X167)</f>
        <v>0</v>
      </c>
      <c r="Y168" s="257"/>
      <c r="Z168" s="258">
        <f>SUM(Z167:Z167)</f>
        <v>8</v>
      </c>
      <c r="AA168" s="258">
        <f>SUM(AA167:AA167)</f>
        <v>9</v>
      </c>
      <c r="AB168" s="258">
        <f>SUM(AB167:AB167)</f>
        <v>9</v>
      </c>
      <c r="AC168" s="258">
        <f>SUM(AC167:AC167)</f>
        <v>8</v>
      </c>
      <c r="AD168" s="257"/>
      <c r="AE168" s="258">
        <f>SUM(AE167:AE167)</f>
        <v>0</v>
      </c>
      <c r="AF168" s="257"/>
      <c r="AG168" s="258">
        <f>SUM(AG167:AG167)</f>
        <v>9</v>
      </c>
      <c r="AH168" s="254"/>
      <c r="AI168" s="255"/>
      <c r="AJ168" s="255"/>
      <c r="AK168" s="255"/>
      <c r="AL168" s="255"/>
      <c r="AM168" s="255"/>
      <c r="AN168" s="255"/>
      <c r="AO168" s="255"/>
    </row>
    <row r="169" spans="4:41" s="173" customFormat="1">
      <c r="D169" s="203"/>
      <c r="E169" s="170"/>
      <c r="V169" s="170"/>
      <c r="Y169" s="170"/>
      <c r="AD169" s="170"/>
      <c r="AF169" s="170"/>
    </row>
    <row r="170" spans="4:41" s="242" customFormat="1">
      <c r="D170" s="385" t="s">
        <v>167</v>
      </c>
      <c r="E170" s="244"/>
      <c r="F170" s="247">
        <f t="shared" ref="F170:Q170" si="471">F144+F137</f>
        <v>14286627.409999996</v>
      </c>
      <c r="G170" s="247">
        <f t="shared" si="471"/>
        <v>56076334.769999981</v>
      </c>
      <c r="H170" s="247">
        <f t="shared" si="471"/>
        <v>56372517.850000083</v>
      </c>
      <c r="I170" s="247" t="e">
        <f t="shared" si="471"/>
        <v>#REF!</v>
      </c>
      <c r="J170" s="247">
        <f>J144+J137</f>
        <v>3737545.7300000042</v>
      </c>
      <c r="K170" s="247">
        <f t="shared" si="471"/>
        <v>-60897766.390000001</v>
      </c>
      <c r="L170" s="247">
        <f t="shared" si="471"/>
        <v>-48195036.620000005</v>
      </c>
      <c r="M170" s="247">
        <f t="shared" si="471"/>
        <v>-16633802.399999976</v>
      </c>
      <c r="N170" s="247">
        <f t="shared" si="471"/>
        <v>-44385744.420000017</v>
      </c>
      <c r="O170" s="247">
        <f t="shared" si="471"/>
        <v>-46751525.359999649</v>
      </c>
      <c r="P170" s="247">
        <f>P144+P137</f>
        <v>-34345392.469999962</v>
      </c>
      <c r="Q170" s="247">
        <f t="shared" si="471"/>
        <v>-1228370.5099999812</v>
      </c>
      <c r="R170" s="247">
        <f t="shared" ref="R170" si="472">R144+R137</f>
        <v>36362965.359999955</v>
      </c>
      <c r="S170" s="247" t="e">
        <f t="shared" ref="S170:U170" si="473">S144+S137</f>
        <v>#REF!</v>
      </c>
      <c r="T170" s="247" t="e">
        <f t="shared" si="473"/>
        <v>#REF!</v>
      </c>
      <c r="U170" s="247" t="e">
        <f t="shared" si="473"/>
        <v>#REF!</v>
      </c>
      <c r="V170" s="244"/>
      <c r="W170" s="247" t="e">
        <f>(W144+W137)</f>
        <v>#REF!</v>
      </c>
      <c r="X170" s="247" t="e">
        <f>(X144+X137)</f>
        <v>#REF!</v>
      </c>
      <c r="Y170" s="244"/>
      <c r="Z170" s="247">
        <f>(Z144+Z137)</f>
        <v>-48195036.620000005</v>
      </c>
      <c r="AA170" s="247">
        <f>(AA144+AA137)</f>
        <v>-46751525.359999649</v>
      </c>
      <c r="AB170" s="247">
        <f>(AB144+AB137)</f>
        <v>36362965.359999895</v>
      </c>
      <c r="AC170" s="247" t="e">
        <f>(AC144+AC137)</f>
        <v>#REF!</v>
      </c>
      <c r="AD170" s="244"/>
      <c r="AE170" s="247" t="e">
        <f>AE144+AE137</f>
        <v>#REF!</v>
      </c>
      <c r="AF170" s="244"/>
      <c r="AG170" s="247">
        <f>AG144+AG137</f>
        <v>-44385744.420000017</v>
      </c>
      <c r="AH170" s="246"/>
    </row>
    <row r="171" spans="4:41" s="242" customFormat="1">
      <c r="D171" s="385"/>
      <c r="E171" s="244"/>
      <c r="F171" s="245">
        <f t="shared" ref="F171:Q171" si="474">F170/F$92</f>
        <v>9.7946815836649131E-2</v>
      </c>
      <c r="G171" s="245">
        <f t="shared" si="474"/>
        <v>0.14744828675512503</v>
      </c>
      <c r="H171" s="245">
        <f t="shared" si="474"/>
        <v>8.8023059250774555E-2</v>
      </c>
      <c r="I171" s="245" t="e">
        <f t="shared" si="474"/>
        <v>#REF!</v>
      </c>
      <c r="J171" s="245">
        <f t="shared" si="474"/>
        <v>2.9119939124606392E-2</v>
      </c>
      <c r="K171" s="245">
        <f t="shared" si="474"/>
        <v>-0.34836788715587591</v>
      </c>
      <c r="L171" s="245">
        <f t="shared" si="474"/>
        <v>-9.8445968842760037E-2</v>
      </c>
      <c r="M171" s="245">
        <f t="shared" si="474"/>
        <v>-2.4992279744395409E-2</v>
      </c>
      <c r="N171" s="245">
        <f t="shared" si="474"/>
        <v>-5.1556485950316144E-2</v>
      </c>
      <c r="O171" s="245">
        <f t="shared" si="474"/>
        <v>-4.1910257595220914E-2</v>
      </c>
      <c r="P171" s="245">
        <f t="shared" si="474"/>
        <v>-2.4958420846952156E-2</v>
      </c>
      <c r="Q171" s="245">
        <f t="shared" si="474"/>
        <v>-7.0502027686190005E-4</v>
      </c>
      <c r="R171" s="245">
        <f t="shared" ref="R171" si="475">R170/R$92</f>
        <v>1.7949844230221737E-2</v>
      </c>
      <c r="S171" s="245" t="e">
        <f t="shared" ref="S171:U171" si="476">S170/S$92</f>
        <v>#REF!</v>
      </c>
      <c r="T171" s="245" t="e">
        <f t="shared" si="476"/>
        <v>#REF!</v>
      </c>
      <c r="U171" s="245" t="e">
        <f t="shared" si="476"/>
        <v>#REF!</v>
      </c>
      <c r="V171" s="244"/>
      <c r="W171" s="245">
        <f>F171</f>
        <v>9.7946815836649131E-2</v>
      </c>
      <c r="X171" s="245" t="e">
        <f>I171</f>
        <v>#REF!</v>
      </c>
      <c r="Y171" s="244"/>
      <c r="Z171" s="245">
        <f>L171</f>
        <v>-9.8445968842760037E-2</v>
      </c>
      <c r="AA171" s="245">
        <f>O171</f>
        <v>-4.1910257595220914E-2</v>
      </c>
      <c r="AB171" s="245">
        <f>R171</f>
        <v>1.7949844230221737E-2</v>
      </c>
      <c r="AC171" s="245" t="e">
        <f>U171</f>
        <v>#REF!</v>
      </c>
      <c r="AD171" s="244"/>
      <c r="AE171" s="245" t="e">
        <f t="shared" ref="AE171" si="477">AE170/AE$92</f>
        <v>#REF!</v>
      </c>
      <c r="AF171" s="244"/>
      <c r="AG171" s="245">
        <f t="shared" ref="AG171" si="478">AG170/AG$92</f>
        <v>-5.1556485950316144E-2</v>
      </c>
      <c r="AH171" s="246"/>
    </row>
    <row r="172" spans="4:41" s="242" customFormat="1">
      <c r="D172" s="385" t="s">
        <v>168</v>
      </c>
      <c r="E172" s="244"/>
      <c r="F172" s="247">
        <f t="shared" ref="F172:Q172" si="479">(F170/F$1)*12</f>
        <v>171439528.91999996</v>
      </c>
      <c r="G172" s="247">
        <f t="shared" si="479"/>
        <v>336458008.61999989</v>
      </c>
      <c r="H172" s="247">
        <f t="shared" si="479"/>
        <v>225490071.40000033</v>
      </c>
      <c r="I172" s="247" t="e">
        <f t="shared" si="479"/>
        <v>#REF!</v>
      </c>
      <c r="J172" s="247">
        <f t="shared" si="479"/>
        <v>44850548.76000005</v>
      </c>
      <c r="K172" s="247">
        <f t="shared" si="479"/>
        <v>-365386598.34000003</v>
      </c>
      <c r="L172" s="247">
        <f t="shared" si="479"/>
        <v>-192780146.48000002</v>
      </c>
      <c r="M172" s="247">
        <f t="shared" si="479"/>
        <v>-49901407.199999928</v>
      </c>
      <c r="N172" s="247">
        <f t="shared" si="479"/>
        <v>-106525786.60800004</v>
      </c>
      <c r="O172" s="247">
        <f t="shared" si="479"/>
        <v>-93503050.719999298</v>
      </c>
      <c r="P172" s="247">
        <f t="shared" si="479"/>
        <v>-58877815.662857085</v>
      </c>
      <c r="Q172" s="247">
        <f t="shared" si="479"/>
        <v>-1842555.7649999717</v>
      </c>
      <c r="R172" s="247">
        <f t="shared" ref="R172" si="480">(R170/R$1)*12</f>
        <v>48483953.813333273</v>
      </c>
      <c r="S172" s="247" t="e">
        <f t="shared" ref="S172:U172" si="481">(S170/S$1)*12</f>
        <v>#REF!</v>
      </c>
      <c r="T172" s="247" t="e">
        <f t="shared" si="481"/>
        <v>#REF!</v>
      </c>
      <c r="U172" s="247" t="e">
        <f t="shared" si="481"/>
        <v>#REF!</v>
      </c>
      <c r="V172" s="244"/>
      <c r="W172" s="247" t="e">
        <f>W170*4/3</f>
        <v>#REF!</v>
      </c>
      <c r="X172" s="247" t="e">
        <f>X170</f>
        <v>#REF!</v>
      </c>
      <c r="Y172" s="244"/>
      <c r="Z172" s="247">
        <f>Z170*4</f>
        <v>-192780146.48000002</v>
      </c>
      <c r="AA172" s="247">
        <f>AA170*2</f>
        <v>-93503050.719999298</v>
      </c>
      <c r="AB172" s="247">
        <f>AB170*4/3</f>
        <v>48483953.813333191</v>
      </c>
      <c r="AC172" s="247" t="e">
        <f>AC170</f>
        <v>#REF!</v>
      </c>
      <c r="AD172" s="244"/>
      <c r="AE172" s="247" t="e">
        <f t="shared" ref="AE172" si="482">(AE170/AE$1)*12</f>
        <v>#REF!</v>
      </c>
      <c r="AF172" s="244"/>
      <c r="AG172" s="247">
        <f t="shared" ref="AG172" si="483">(AG170/AG$1)*12</f>
        <v>-106525786.60800004</v>
      </c>
      <c r="AH172" s="246"/>
    </row>
    <row r="173" spans="4:41" s="242" customFormat="1">
      <c r="D173" s="385"/>
      <c r="E173" s="244">
        <v>6</v>
      </c>
      <c r="F173" s="245">
        <f t="shared" ref="F173:I173" si="484">F172/(F$92*12)</f>
        <v>9.7946815836649131E-2</v>
      </c>
      <c r="G173" s="245">
        <f t="shared" si="484"/>
        <v>7.3724143377562515E-2</v>
      </c>
      <c r="H173" s="245">
        <f t="shared" si="484"/>
        <v>2.9341019750258185E-2</v>
      </c>
      <c r="I173" s="245" t="e">
        <f t="shared" si="484"/>
        <v>#REF!</v>
      </c>
      <c r="J173" s="245">
        <f>J172/(J$92*12)</f>
        <v>2.9119939124606392E-2</v>
      </c>
      <c r="K173" s="245">
        <f t="shared" ref="K173:Q173" si="485">K172/(K$92*12)</f>
        <v>-0.17418394357793798</v>
      </c>
      <c r="L173" s="245">
        <f t="shared" si="485"/>
        <v>-3.2815322947586677E-2</v>
      </c>
      <c r="M173" s="245">
        <f t="shared" si="485"/>
        <v>-6.2480699360988523E-3</v>
      </c>
      <c r="N173" s="245">
        <f t="shared" si="485"/>
        <v>-1.031129719006323E-2</v>
      </c>
      <c r="O173" s="245">
        <f t="shared" si="485"/>
        <v>-6.9850429325368189E-3</v>
      </c>
      <c r="P173" s="245">
        <f t="shared" si="485"/>
        <v>-3.5654886924217375E-3</v>
      </c>
      <c r="Q173" s="245">
        <f t="shared" si="485"/>
        <v>-8.8127534607737506E-5</v>
      </c>
      <c r="R173" s="245">
        <f t="shared" ref="R173" si="486">R172/(R$92*12)</f>
        <v>1.9944271366913041E-3</v>
      </c>
      <c r="S173" s="245" t="e">
        <f t="shared" ref="S173:U173" si="487">S172/(S$92*12)</f>
        <v>#REF!</v>
      </c>
      <c r="T173" s="245" t="e">
        <f t="shared" si="487"/>
        <v>#REF!</v>
      </c>
      <c r="U173" s="245" t="e">
        <f t="shared" si="487"/>
        <v>#REF!</v>
      </c>
      <c r="V173" s="244"/>
      <c r="W173" s="245">
        <f>F173</f>
        <v>9.7946815836649131E-2</v>
      </c>
      <c r="X173" s="245" t="e">
        <f>I173</f>
        <v>#REF!</v>
      </c>
      <c r="Y173" s="244"/>
      <c r="Z173" s="245">
        <f>L173</f>
        <v>-3.2815322947586677E-2</v>
      </c>
      <c r="AA173" s="245">
        <f>O173</f>
        <v>-6.9850429325368189E-3</v>
      </c>
      <c r="AB173" s="245">
        <f>R173</f>
        <v>1.9944271366913041E-3</v>
      </c>
      <c r="AC173" s="245" t="e">
        <f>S173</f>
        <v>#REF!</v>
      </c>
      <c r="AD173" s="244"/>
      <c r="AE173" s="245" t="e">
        <f t="shared" ref="AE173" si="488">AE172/(AE$92*12)</f>
        <v>#REF!</v>
      </c>
      <c r="AF173" s="244"/>
      <c r="AG173" s="245">
        <f t="shared" ref="AG173" si="489">AG172/(AG$92*12)</f>
        <v>-1.031129719006323E-2</v>
      </c>
      <c r="AH173" s="246"/>
    </row>
    <row r="174" spans="4:41" s="242" customFormat="1">
      <c r="D174" s="243" t="s">
        <v>169</v>
      </c>
      <c r="E174" s="244"/>
      <c r="F174" s="247">
        <f>$E173*F172</f>
        <v>1028637173.5199997</v>
      </c>
      <c r="G174" s="247">
        <f t="shared" ref="G174:Q174" si="490">$E173*G172</f>
        <v>2018748051.7199993</v>
      </c>
      <c r="H174" s="247">
        <f t="shared" si="490"/>
        <v>1352940428.400002</v>
      </c>
      <c r="I174" s="247" t="e">
        <f t="shared" si="490"/>
        <v>#REF!</v>
      </c>
      <c r="J174" s="247">
        <f t="shared" si="490"/>
        <v>269103292.5600003</v>
      </c>
      <c r="K174" s="247">
        <f t="shared" si="490"/>
        <v>-2192319590.04</v>
      </c>
      <c r="L174" s="247">
        <f t="shared" si="490"/>
        <v>-1156680878.8800001</v>
      </c>
      <c r="M174" s="247">
        <f t="shared" si="490"/>
        <v>-299408443.19999957</v>
      </c>
      <c r="N174" s="247">
        <f t="shared" si="490"/>
        <v>-639154719.64800024</v>
      </c>
      <c r="O174" s="247">
        <f t="shared" si="490"/>
        <v>-561018304.31999576</v>
      </c>
      <c r="P174" s="247">
        <f>$E173*P172</f>
        <v>-353266893.97714251</v>
      </c>
      <c r="Q174" s="247">
        <f t="shared" si="490"/>
        <v>-11055334.58999983</v>
      </c>
      <c r="R174" s="247">
        <f t="shared" ref="R174" si="491">$E173*R172</f>
        <v>290903722.87999964</v>
      </c>
      <c r="S174" s="247" t="e">
        <f t="shared" ref="S174:U174" si="492">$E173*S172</f>
        <v>#REF!</v>
      </c>
      <c r="T174" s="247" t="e">
        <f t="shared" si="492"/>
        <v>#REF!</v>
      </c>
      <c r="U174" s="247" t="e">
        <f t="shared" si="492"/>
        <v>#REF!</v>
      </c>
      <c r="V174" s="244"/>
      <c r="W174" s="247" t="e">
        <f>$E173*W172</f>
        <v>#REF!</v>
      </c>
      <c r="X174" s="247" t="e">
        <f>$E173*X172</f>
        <v>#REF!</v>
      </c>
      <c r="Y174" s="244"/>
      <c r="Z174" s="247">
        <f>$E173*Z172</f>
        <v>-1156680878.8800001</v>
      </c>
      <c r="AA174" s="247">
        <f>$E173*AA172</f>
        <v>-561018304.31999576</v>
      </c>
      <c r="AB174" s="247">
        <f>$E173*AB172</f>
        <v>290903722.87999916</v>
      </c>
      <c r="AC174" s="247" t="e">
        <f>$E173*AC172</f>
        <v>#REF!</v>
      </c>
      <c r="AD174" s="244"/>
      <c r="AE174" s="247" t="e">
        <f t="shared" ref="AE174" si="493">$E173*AE172</f>
        <v>#REF!</v>
      </c>
      <c r="AF174" s="244"/>
      <c r="AG174" s="247">
        <f t="shared" ref="AG174" si="494">$E173*AG172</f>
        <v>-639154719.64800024</v>
      </c>
      <c r="AH174" s="246"/>
    </row>
    <row r="175" spans="4:41" s="242" customFormat="1">
      <c r="D175" s="243" t="s">
        <v>170</v>
      </c>
      <c r="E175" s="244"/>
      <c r="F175" s="245">
        <f>F172/F$79</f>
        <v>1.0484474598815865</v>
      </c>
      <c r="G175" s="245">
        <f t="shared" ref="G175:Q175" si="495">G172/G$79</f>
        <v>1.3212426257431173</v>
      </c>
      <c r="H175" s="245">
        <f t="shared" si="495"/>
        <v>0.88829006111117537</v>
      </c>
      <c r="I175" s="245" t="e">
        <f t="shared" si="495"/>
        <v>#REF!</v>
      </c>
      <c r="J175" s="245">
        <f t="shared" si="495"/>
        <v>9.1711555939087558E-2</v>
      </c>
      <c r="K175" s="245">
        <f t="shared" si="495"/>
        <v>-0.86255909139984377</v>
      </c>
      <c r="L175" s="245">
        <f t="shared" si="495"/>
        <v>-0.44052605278762691</v>
      </c>
      <c r="M175" s="245">
        <f t="shared" si="495"/>
        <v>-0.10615865455755678</v>
      </c>
      <c r="N175" s="245">
        <f t="shared" si="495"/>
        <v>-0.24084374361430871</v>
      </c>
      <c r="O175" s="245">
        <f t="shared" si="495"/>
        <v>-0.2101526429439049</v>
      </c>
      <c r="P175" s="245">
        <f t="shared" si="495"/>
        <v>-0.12896311489147566</v>
      </c>
      <c r="Q175" s="245">
        <f t="shared" si="495"/>
        <v>-3.7634332214471068E-3</v>
      </c>
      <c r="R175" s="245">
        <f t="shared" ref="R175" si="496">R172/R$79</f>
        <v>9.234893115026846E-2</v>
      </c>
      <c r="S175" s="245" t="e">
        <f t="shared" ref="S175:U175" si="497">S172/S$79</f>
        <v>#REF!</v>
      </c>
      <c r="T175" s="245" t="e">
        <f t="shared" si="497"/>
        <v>#REF!</v>
      </c>
      <c r="U175" s="245" t="e">
        <f t="shared" si="497"/>
        <v>#REF!</v>
      </c>
      <c r="V175" s="244"/>
      <c r="W175" s="245">
        <f>F175</f>
        <v>1.0484474598815865</v>
      </c>
      <c r="X175" s="245" t="e">
        <f>I175</f>
        <v>#REF!</v>
      </c>
      <c r="Y175" s="244"/>
      <c r="Z175" s="245">
        <f>L175</f>
        <v>-0.44052605278762691</v>
      </c>
      <c r="AA175" s="245">
        <f>O175</f>
        <v>-0.2101526429439049</v>
      </c>
      <c r="AB175" s="245">
        <f>R175</f>
        <v>9.234893115026846E-2</v>
      </c>
      <c r="AC175" s="245" t="e">
        <f>S175</f>
        <v>#REF!</v>
      </c>
      <c r="AD175" s="244"/>
      <c r="AE175" s="245" t="e">
        <f t="shared" ref="AE175" si="498">AE172/AE$79</f>
        <v>#REF!</v>
      </c>
      <c r="AF175" s="244"/>
      <c r="AG175" s="245">
        <f t="shared" ref="AG175" si="499">AG172/AG$79</f>
        <v>-0.24084374361430871</v>
      </c>
      <c r="AH175" s="246"/>
    </row>
    <row r="176" spans="4:41" s="173" customFormat="1">
      <c r="D176" s="203"/>
      <c r="E176" s="170"/>
      <c r="V176" s="170"/>
      <c r="Y176" s="170"/>
      <c r="AD176" s="170"/>
      <c r="AF176" s="170"/>
    </row>
    <row r="177" spans="4:34">
      <c r="D177" s="174" t="s">
        <v>180</v>
      </c>
      <c r="F177" s="383" t="str">
        <f>F5</f>
        <v>B A L A N C E   G E N E R A L   A Ñ O   2 0 1 3</v>
      </c>
      <c r="G177" s="383"/>
      <c r="H177" s="383"/>
      <c r="I177" s="383"/>
      <c r="J177" s="384" t="str">
        <f>J5</f>
        <v>B A L A N C E   G E N E R A L   A Ñ O   2 0 1 5</v>
      </c>
      <c r="K177" s="384"/>
      <c r="L177" s="384"/>
      <c r="M177" s="384"/>
      <c r="N177" s="384"/>
      <c r="O177" s="384"/>
      <c r="P177" s="384" t="str">
        <f>J177</f>
        <v>B A L A N C E   G E N E R A L   A Ñ O   2 0 1 5</v>
      </c>
      <c r="Q177" s="384"/>
      <c r="R177" s="384"/>
      <c r="S177" s="384"/>
      <c r="T177" s="384"/>
      <c r="U177" s="384"/>
      <c r="W177" s="383" t="str">
        <f>W5</f>
        <v>INFORMACIÓN 2013 CIF ACUM</v>
      </c>
      <c r="X177" s="383"/>
      <c r="Z177" s="384" t="str">
        <f>Z$5</f>
        <v>INFORMACION 2014 CIFRAS ACUMULADAS</v>
      </c>
      <c r="AA177" s="384"/>
      <c r="AB177" s="384"/>
      <c r="AC177" s="384"/>
      <c r="AE177" s="175" t="str">
        <f t="shared" ref="AE177:AG177" si="500">AE$5</f>
        <v>2 0 1 3</v>
      </c>
      <c r="AG177" s="176" t="str">
        <f t="shared" si="500"/>
        <v>2 0 1 4</v>
      </c>
    </row>
    <row r="178" spans="4:34">
      <c r="D178" s="174" t="s">
        <v>51</v>
      </c>
      <c r="F178" s="177">
        <f t="shared" ref="F178:U178" si="501">F$6</f>
        <v>41518</v>
      </c>
      <c r="G178" s="177">
        <f t="shared" si="501"/>
        <v>41548</v>
      </c>
      <c r="H178" s="177">
        <f t="shared" si="501"/>
        <v>41579</v>
      </c>
      <c r="I178" s="177">
        <f t="shared" si="501"/>
        <v>41609</v>
      </c>
      <c r="J178" s="178">
        <f>J$6</f>
        <v>42005</v>
      </c>
      <c r="K178" s="178">
        <f t="shared" si="501"/>
        <v>42036</v>
      </c>
      <c r="L178" s="178">
        <f t="shared" si="501"/>
        <v>42064</v>
      </c>
      <c r="M178" s="178">
        <f t="shared" si="501"/>
        <v>42095</v>
      </c>
      <c r="N178" s="178">
        <f t="shared" si="501"/>
        <v>42125</v>
      </c>
      <c r="O178" s="178">
        <f t="shared" si="501"/>
        <v>42156</v>
      </c>
      <c r="P178" s="178">
        <f t="shared" si="501"/>
        <v>42186</v>
      </c>
      <c r="Q178" s="178">
        <f t="shared" si="501"/>
        <v>42217</v>
      </c>
      <c r="R178" s="178">
        <f t="shared" si="501"/>
        <v>42248</v>
      </c>
      <c r="S178" s="178">
        <f t="shared" si="501"/>
        <v>42278</v>
      </c>
      <c r="T178" s="178">
        <f t="shared" si="501"/>
        <v>42309</v>
      </c>
      <c r="U178" s="178">
        <f t="shared" si="501"/>
        <v>42339</v>
      </c>
      <c r="W178" s="177">
        <f>W$6</f>
        <v>41547</v>
      </c>
      <c r="X178" s="177">
        <f>X$6</f>
        <v>41639</v>
      </c>
      <c r="Z178" s="178">
        <f>Z$6</f>
        <v>41729</v>
      </c>
      <c r="AA178" s="178">
        <f>AA$6</f>
        <v>41820</v>
      </c>
      <c r="AB178" s="178">
        <f>AB$6</f>
        <v>41912</v>
      </c>
      <c r="AC178" s="178">
        <f>AC$6</f>
        <v>42004</v>
      </c>
      <c r="AE178" s="177">
        <f t="shared" ref="AE178:AG178" si="502">AE$6</f>
        <v>41639</v>
      </c>
      <c r="AG178" s="178">
        <f t="shared" si="502"/>
        <v>41639</v>
      </c>
    </row>
    <row r="179" spans="4:34" s="166" customFormat="1">
      <c r="D179" s="261" t="s">
        <v>171</v>
      </c>
      <c r="E179" s="168"/>
      <c r="F179" s="205"/>
      <c r="G179" s="205"/>
      <c r="H179" s="205"/>
      <c r="I179" s="262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168"/>
      <c r="W179" s="205"/>
      <c r="X179" s="205"/>
      <c r="Y179" s="168"/>
      <c r="Z179" s="205"/>
      <c r="AA179" s="205"/>
      <c r="AB179" s="205"/>
      <c r="AC179" s="205"/>
      <c r="AD179" s="168"/>
      <c r="AE179" s="205"/>
      <c r="AF179" s="168"/>
      <c r="AG179" s="205"/>
    </row>
    <row r="180" spans="4:34">
      <c r="D180" s="263" t="str">
        <f>D19</f>
        <v>SUB TOTAL ACTIVO CORRIENTE</v>
      </c>
      <c r="F180" s="184">
        <f t="shared" ref="F180:Q180" si="503">F19</f>
        <v>169848485.46000001</v>
      </c>
      <c r="G180" s="184">
        <f t="shared" si="503"/>
        <v>336812146.38</v>
      </c>
      <c r="H180" s="184">
        <f t="shared" si="503"/>
        <v>353047113.01999998</v>
      </c>
      <c r="I180" s="184" t="e">
        <f t="shared" si="503"/>
        <v>#REF!</v>
      </c>
      <c r="J180" s="184">
        <f t="shared" si="503"/>
        <v>588208071.52999997</v>
      </c>
      <c r="K180" s="184">
        <f t="shared" si="503"/>
        <v>452337005.63</v>
      </c>
      <c r="L180" s="184">
        <f t="shared" si="503"/>
        <v>694978255.63000011</v>
      </c>
      <c r="M180" s="184">
        <f t="shared" si="503"/>
        <v>688413598.26999998</v>
      </c>
      <c r="N180" s="184">
        <f t="shared" si="503"/>
        <v>637886515.25999999</v>
      </c>
      <c r="O180" s="184">
        <f t="shared" si="503"/>
        <v>742266845.87</v>
      </c>
      <c r="P180" s="184">
        <f t="shared" si="503"/>
        <v>673260764.20000005</v>
      </c>
      <c r="Q180" s="184">
        <f t="shared" si="503"/>
        <v>886158683.7299999</v>
      </c>
      <c r="R180" s="184">
        <f t="shared" ref="R180" si="504">R19</f>
        <v>778947040</v>
      </c>
      <c r="S180" s="184" t="e">
        <f t="shared" ref="S180:U180" si="505">S19</f>
        <v>#REF!</v>
      </c>
      <c r="T180" s="184" t="e">
        <f t="shared" si="505"/>
        <v>#REF!</v>
      </c>
      <c r="U180" s="184" t="e">
        <f t="shared" si="505"/>
        <v>#REF!</v>
      </c>
      <c r="W180" s="184">
        <f>W19</f>
        <v>169848485.46000001</v>
      </c>
      <c r="X180" s="184" t="e">
        <f>X19</f>
        <v>#REF!</v>
      </c>
      <c r="Z180" s="184">
        <f>Z19</f>
        <v>675627783.01000011</v>
      </c>
      <c r="AA180" s="184">
        <f>AA19</f>
        <v>723452251</v>
      </c>
      <c r="AB180" s="184">
        <f>AB19</f>
        <v>758877136</v>
      </c>
      <c r="AC180" s="184" t="e">
        <f>AC19</f>
        <v>#REF!</v>
      </c>
      <c r="AE180" s="184" t="e">
        <f>AE19</f>
        <v>#REF!</v>
      </c>
      <c r="AG180" s="184">
        <f>AG19</f>
        <v>620949622.54999995</v>
      </c>
    </row>
    <row r="181" spans="4:34" s="267" customFormat="1">
      <c r="D181" s="264" t="str">
        <f>D24</f>
        <v>TOTAL ACTIVO CORRIENTE</v>
      </c>
      <c r="E181" s="265"/>
      <c r="F181" s="193">
        <f t="shared" ref="F181:Q181" si="506">F24</f>
        <v>257444579.60000002</v>
      </c>
      <c r="G181" s="193">
        <f t="shared" si="506"/>
        <v>517696690.19</v>
      </c>
      <c r="H181" s="193">
        <f t="shared" si="506"/>
        <v>478436013.75999999</v>
      </c>
      <c r="I181" s="193" t="e">
        <f t="shared" si="506"/>
        <v>#REF!</v>
      </c>
      <c r="J181" s="193">
        <f t="shared" si="506"/>
        <v>693991986.94999993</v>
      </c>
      <c r="K181" s="193">
        <f t="shared" si="506"/>
        <v>557085468.92999995</v>
      </c>
      <c r="L181" s="193">
        <f t="shared" si="506"/>
        <v>821406334.88000011</v>
      </c>
      <c r="M181" s="193">
        <f t="shared" si="506"/>
        <v>813460299.61000001</v>
      </c>
      <c r="N181" s="193">
        <f t="shared" si="506"/>
        <v>760938875.39999998</v>
      </c>
      <c r="O181" s="193">
        <f t="shared" si="506"/>
        <v>868632992.74000001</v>
      </c>
      <c r="P181" s="193">
        <f t="shared" si="506"/>
        <v>784334835.20000005</v>
      </c>
      <c r="Q181" s="193">
        <f t="shared" si="506"/>
        <v>991066920.00999987</v>
      </c>
      <c r="R181" s="193">
        <f t="shared" ref="R181" si="507">R24</f>
        <v>879628819</v>
      </c>
      <c r="S181" s="193" t="e">
        <f t="shared" ref="S181:U181" si="508">S24</f>
        <v>#REF!</v>
      </c>
      <c r="T181" s="193" t="e">
        <f t="shared" si="508"/>
        <v>#REF!</v>
      </c>
      <c r="U181" s="193" t="e">
        <f t="shared" si="508"/>
        <v>#REF!</v>
      </c>
      <c r="V181" s="265"/>
      <c r="W181" s="193">
        <f>W24</f>
        <v>257444579.60000002</v>
      </c>
      <c r="X181" s="193" t="e">
        <f>X24</f>
        <v>#REF!</v>
      </c>
      <c r="Y181" s="265"/>
      <c r="Z181" s="193">
        <f>Z24</f>
        <v>802055862.26000011</v>
      </c>
      <c r="AA181" s="193">
        <f>AA24</f>
        <v>849818397.87</v>
      </c>
      <c r="AB181" s="193">
        <f>AB24</f>
        <v>859558915</v>
      </c>
      <c r="AC181" s="193" t="e">
        <f t="shared" ref="AC181:AD181" si="509">AC24</f>
        <v>#REF!</v>
      </c>
      <c r="AD181" s="193">
        <f t="shared" si="509"/>
        <v>0</v>
      </c>
      <c r="AE181" s="193" t="e">
        <f>AE24</f>
        <v>#REF!</v>
      </c>
      <c r="AF181" s="265"/>
      <c r="AG181" s="193">
        <f>AG24</f>
        <v>744001982.68999994</v>
      </c>
      <c r="AH181" s="266"/>
    </row>
    <row r="182" spans="4:34">
      <c r="D182" s="263" t="str">
        <f>D34</f>
        <v>SUB TOTAL ACTIVOS FIJOS</v>
      </c>
      <c r="F182" s="184">
        <f t="shared" ref="F182:Q182" si="510">F34</f>
        <v>10598400.560000001</v>
      </c>
      <c r="G182" s="184">
        <f t="shared" si="510"/>
        <v>14455175.119999999</v>
      </c>
      <c r="H182" s="184">
        <f t="shared" si="510"/>
        <v>14170749.68</v>
      </c>
      <c r="I182" s="184" t="e">
        <f t="shared" si="510"/>
        <v>#REF!</v>
      </c>
      <c r="J182" s="184">
        <f t="shared" si="510"/>
        <v>52366461.619999997</v>
      </c>
      <c r="K182" s="184">
        <f t="shared" si="510"/>
        <v>53074061.619999997</v>
      </c>
      <c r="L182" s="184">
        <f t="shared" si="510"/>
        <v>54382736.620000005</v>
      </c>
      <c r="M182" s="184">
        <f t="shared" si="510"/>
        <v>54808224.240000002</v>
      </c>
      <c r="N182" s="184">
        <f t="shared" si="510"/>
        <v>69543923.239999995</v>
      </c>
      <c r="O182" s="184">
        <f t="shared" si="510"/>
        <v>85109714.239999995</v>
      </c>
      <c r="P182" s="184">
        <f t="shared" si="510"/>
        <v>84924034.239999995</v>
      </c>
      <c r="Q182" s="184">
        <f t="shared" si="510"/>
        <v>85170434.239999995</v>
      </c>
      <c r="R182" s="184">
        <f t="shared" ref="R182" si="511">R34</f>
        <v>85114755</v>
      </c>
      <c r="S182" s="184" t="e">
        <f t="shared" ref="S182:U182" si="512">S34</f>
        <v>#REF!</v>
      </c>
      <c r="T182" s="184" t="e">
        <f t="shared" si="512"/>
        <v>#REF!</v>
      </c>
      <c r="U182" s="184" t="e">
        <f t="shared" si="512"/>
        <v>#REF!</v>
      </c>
      <c r="W182" s="184">
        <f>W34</f>
        <v>10598400.560000001</v>
      </c>
      <c r="X182" s="184" t="e">
        <f>X34</f>
        <v>#REF!</v>
      </c>
      <c r="Z182" s="184">
        <f>Z34</f>
        <v>54382736.620000005</v>
      </c>
      <c r="AA182" s="184">
        <f>AA34</f>
        <v>85109714.239999995</v>
      </c>
      <c r="AB182" s="184">
        <f>AB34</f>
        <v>85114755</v>
      </c>
      <c r="AC182" s="184" t="e">
        <f>AC34</f>
        <v>#REF!</v>
      </c>
      <c r="AE182" s="184" t="e">
        <f>AE34</f>
        <v>#REF!</v>
      </c>
      <c r="AG182" s="184">
        <f>AG34</f>
        <v>69543923.239999995</v>
      </c>
    </row>
    <row r="183" spans="4:34" s="267" customFormat="1">
      <c r="D183" s="268" t="str">
        <f>D36</f>
        <v>TOTAL ACTIVOS FIJOS</v>
      </c>
      <c r="E183" s="265"/>
      <c r="F183" s="193">
        <f t="shared" ref="F183:Q183" si="513">F36</f>
        <v>10598400.560000001</v>
      </c>
      <c r="G183" s="193">
        <f t="shared" si="513"/>
        <v>14455175.119999999</v>
      </c>
      <c r="H183" s="193">
        <f t="shared" si="513"/>
        <v>14170749.68</v>
      </c>
      <c r="I183" s="193" t="e">
        <f t="shared" si="513"/>
        <v>#REF!</v>
      </c>
      <c r="J183" s="193">
        <f t="shared" si="513"/>
        <v>28465450.099999998</v>
      </c>
      <c r="K183" s="193">
        <f t="shared" si="513"/>
        <v>28615504.099999998</v>
      </c>
      <c r="L183" s="193">
        <f t="shared" si="513"/>
        <v>29295875.100000005</v>
      </c>
      <c r="M183" s="193">
        <f t="shared" si="513"/>
        <v>29797101.720000003</v>
      </c>
      <c r="N183" s="193">
        <f t="shared" si="513"/>
        <v>44075681.529999994</v>
      </c>
      <c r="O183" s="193">
        <f t="shared" si="513"/>
        <v>59184353.339999996</v>
      </c>
      <c r="P183" s="193">
        <f t="shared" si="513"/>
        <v>58300334.239999995</v>
      </c>
      <c r="Q183" s="193">
        <f t="shared" si="513"/>
        <v>57847756.239999995</v>
      </c>
      <c r="R183" s="193">
        <f t="shared" ref="R183" si="514">R36</f>
        <v>56992405</v>
      </c>
      <c r="S183" s="193" t="e">
        <f t="shared" ref="S183:U183" si="515">S36</f>
        <v>#REF!</v>
      </c>
      <c r="T183" s="193" t="e">
        <f t="shared" si="515"/>
        <v>#REF!</v>
      </c>
      <c r="U183" s="193" t="e">
        <f t="shared" si="515"/>
        <v>#REF!</v>
      </c>
      <c r="V183" s="265"/>
      <c r="W183" s="193">
        <f>W36</f>
        <v>10598400.560000001</v>
      </c>
      <c r="X183" s="193" t="e">
        <f>X36</f>
        <v>#REF!</v>
      </c>
      <c r="Y183" s="265"/>
      <c r="Z183" s="193">
        <f>Z36</f>
        <v>29295875.100000005</v>
      </c>
      <c r="AA183" s="193">
        <f>AA36</f>
        <v>59184353.339999996</v>
      </c>
      <c r="AB183" s="193">
        <f>AB36</f>
        <v>56992405</v>
      </c>
      <c r="AC183" s="193" t="e">
        <f>AC36</f>
        <v>#REF!</v>
      </c>
      <c r="AD183" s="265"/>
      <c r="AE183" s="193" t="e">
        <f>AE36</f>
        <v>#REF!</v>
      </c>
      <c r="AF183" s="265"/>
      <c r="AG183" s="193">
        <f>AG36</f>
        <v>44075681.529999994</v>
      </c>
      <c r="AH183" s="266"/>
    </row>
    <row r="184" spans="4:34" s="267" customFormat="1">
      <c r="D184" s="264" t="str">
        <f>D43</f>
        <v>TOTAL ACTIVO DIFERIDO</v>
      </c>
      <c r="E184" s="265"/>
      <c r="F184" s="193" t="e">
        <f t="shared" ref="F184:Q184" si="516">F43</f>
        <v>#REF!</v>
      </c>
      <c r="G184" s="193" t="e">
        <f t="shared" si="516"/>
        <v>#REF!</v>
      </c>
      <c r="H184" s="193" t="e">
        <f t="shared" si="516"/>
        <v>#REF!</v>
      </c>
      <c r="I184" s="193" t="e">
        <f t="shared" si="516"/>
        <v>#REF!</v>
      </c>
      <c r="J184" s="193">
        <f t="shared" si="516"/>
        <v>0</v>
      </c>
      <c r="K184" s="193">
        <f t="shared" si="516"/>
        <v>0</v>
      </c>
      <c r="L184" s="193">
        <f t="shared" si="516"/>
        <v>0</v>
      </c>
      <c r="M184" s="193">
        <f t="shared" si="516"/>
        <v>0</v>
      </c>
      <c r="N184" s="193">
        <f t="shared" si="516"/>
        <v>0</v>
      </c>
      <c r="O184" s="193">
        <f t="shared" si="516"/>
        <v>0</v>
      </c>
      <c r="P184" s="193">
        <f t="shared" si="516"/>
        <v>0</v>
      </c>
      <c r="Q184" s="193">
        <f t="shared" si="516"/>
        <v>0</v>
      </c>
      <c r="R184" s="193">
        <f t="shared" ref="R184" si="517">R43</f>
        <v>0</v>
      </c>
      <c r="S184" s="193" t="e">
        <f t="shared" ref="S184:U184" si="518">S43</f>
        <v>#REF!</v>
      </c>
      <c r="T184" s="193" t="e">
        <f t="shared" si="518"/>
        <v>#REF!</v>
      </c>
      <c r="U184" s="193" t="e">
        <f t="shared" si="518"/>
        <v>#REF!</v>
      </c>
      <c r="V184" s="265"/>
      <c r="W184" s="193" t="e">
        <f>W43</f>
        <v>#REF!</v>
      </c>
      <c r="X184" s="193" t="e">
        <f>X43</f>
        <v>#REF!</v>
      </c>
      <c r="Y184" s="265"/>
      <c r="Z184" s="193" t="e">
        <f>Z43</f>
        <v>#REF!</v>
      </c>
      <c r="AA184" s="193" t="e">
        <f>AA43</f>
        <v>#REF!</v>
      </c>
      <c r="AB184" s="193" t="e">
        <f>AB43</f>
        <v>#REF!</v>
      </c>
      <c r="AC184" s="193" t="e">
        <f>AC43</f>
        <v>#REF!</v>
      </c>
      <c r="AD184" s="265"/>
      <c r="AE184" s="193" t="e">
        <f>AE43</f>
        <v>#REF!</v>
      </c>
      <c r="AF184" s="265"/>
      <c r="AG184" s="193" t="e">
        <f>AG43</f>
        <v>#REF!</v>
      </c>
      <c r="AH184" s="266"/>
    </row>
    <row r="185" spans="4:34" s="267" customFormat="1">
      <c r="D185" s="264" t="str">
        <f>D46</f>
        <v>T O T A L   A C T I V O</v>
      </c>
      <c r="E185" s="265"/>
      <c r="F185" s="193" t="e">
        <f t="shared" ref="F185:Q185" si="519">F46</f>
        <v>#REF!</v>
      </c>
      <c r="G185" s="193" t="e">
        <f t="shared" si="519"/>
        <v>#REF!</v>
      </c>
      <c r="H185" s="193" t="e">
        <f t="shared" si="519"/>
        <v>#REF!</v>
      </c>
      <c r="I185" s="193" t="e">
        <f t="shared" si="519"/>
        <v>#REF!</v>
      </c>
      <c r="J185" s="193">
        <f>J46</f>
        <v>722457437.04999995</v>
      </c>
      <c r="K185" s="193">
        <f t="shared" si="519"/>
        <v>585700973.02999997</v>
      </c>
      <c r="L185" s="193">
        <f t="shared" si="519"/>
        <v>850702209.98000014</v>
      </c>
      <c r="M185" s="193">
        <f t="shared" si="519"/>
        <v>843257401.33000004</v>
      </c>
      <c r="N185" s="193">
        <f t="shared" si="519"/>
        <v>805014556.92999995</v>
      </c>
      <c r="O185" s="193">
        <f t="shared" si="519"/>
        <v>927817346.08000004</v>
      </c>
      <c r="P185" s="193">
        <f t="shared" si="519"/>
        <v>842635169.44000006</v>
      </c>
      <c r="Q185" s="193">
        <f t="shared" si="519"/>
        <v>1048914676.2499999</v>
      </c>
      <c r="R185" s="193">
        <f t="shared" ref="R185" si="520">R46</f>
        <v>936621224</v>
      </c>
      <c r="S185" s="193" t="e">
        <f t="shared" ref="S185:U185" si="521">S46</f>
        <v>#REF!</v>
      </c>
      <c r="T185" s="193" t="e">
        <f t="shared" si="521"/>
        <v>#REF!</v>
      </c>
      <c r="U185" s="193" t="e">
        <f t="shared" si="521"/>
        <v>#REF!</v>
      </c>
      <c r="V185" s="265"/>
      <c r="W185" s="193" t="e">
        <f>W46</f>
        <v>#REF!</v>
      </c>
      <c r="X185" s="193" t="e">
        <f>X46</f>
        <v>#REF!</v>
      </c>
      <c r="Y185" s="265"/>
      <c r="Z185" s="193" t="e">
        <f>Z46</f>
        <v>#REF!</v>
      </c>
      <c r="AA185" s="193" t="e">
        <f>AA46</f>
        <v>#REF!</v>
      </c>
      <c r="AB185" s="193" t="e">
        <f>AB46</f>
        <v>#REF!</v>
      </c>
      <c r="AC185" s="193" t="e">
        <f>AC46</f>
        <v>#REF!</v>
      </c>
      <c r="AD185" s="265"/>
      <c r="AE185" s="193" t="e">
        <f>AE46</f>
        <v>#REF!</v>
      </c>
      <c r="AF185" s="265"/>
      <c r="AG185" s="193" t="e">
        <f>AG46</f>
        <v>#REF!</v>
      </c>
      <c r="AH185" s="266"/>
    </row>
    <row r="186" spans="4:34" s="173" customFormat="1">
      <c r="D186" s="203"/>
      <c r="E186" s="170"/>
      <c r="V186" s="170"/>
      <c r="Y186" s="170"/>
      <c r="AD186" s="170"/>
      <c r="AF186" s="170"/>
    </row>
    <row r="187" spans="4:34" s="173" customFormat="1">
      <c r="D187" s="261" t="s">
        <v>172</v>
      </c>
      <c r="E187" s="170"/>
      <c r="V187" s="170"/>
      <c r="Y187" s="170"/>
      <c r="AD187" s="170"/>
      <c r="AF187" s="170"/>
    </row>
    <row r="188" spans="4:34">
      <c r="D188" s="263" t="str">
        <f>D62</f>
        <v>PASIVO CORRIENTE</v>
      </c>
      <c r="F188" s="184">
        <f t="shared" ref="F188:Q188" si="522">F62</f>
        <v>259008400.75</v>
      </c>
      <c r="G188" s="184">
        <f t="shared" si="522"/>
        <v>409754691.30000001</v>
      </c>
      <c r="H188" s="184">
        <f t="shared" si="522"/>
        <v>384869810.31999999</v>
      </c>
      <c r="I188" s="184" t="e">
        <f t="shared" si="522"/>
        <v>#REF!</v>
      </c>
      <c r="J188" s="184">
        <f t="shared" si="522"/>
        <v>190888656.38</v>
      </c>
      <c r="K188" s="184">
        <f t="shared" si="522"/>
        <v>150139122.38</v>
      </c>
      <c r="L188" s="184">
        <f t="shared" si="522"/>
        <v>270238367.38</v>
      </c>
      <c r="M188" s="184">
        <f t="shared" si="522"/>
        <v>297916259.01999998</v>
      </c>
      <c r="N188" s="184">
        <f t="shared" si="522"/>
        <v>314847641.01999998</v>
      </c>
      <c r="O188" s="184">
        <f t="shared" si="522"/>
        <v>454009599</v>
      </c>
      <c r="P188" s="184">
        <f t="shared" si="522"/>
        <v>287304625.50999999</v>
      </c>
      <c r="Q188" s="184">
        <f t="shared" si="522"/>
        <v>491874390</v>
      </c>
      <c r="R188" s="184">
        <f t="shared" ref="R188" si="523">R62</f>
        <v>359160146</v>
      </c>
      <c r="S188" s="184" t="e">
        <f t="shared" ref="S188:U188" si="524">S62</f>
        <v>#REF!</v>
      </c>
      <c r="T188" s="184" t="e">
        <f t="shared" si="524"/>
        <v>#REF!</v>
      </c>
      <c r="U188" s="184" t="e">
        <f t="shared" si="524"/>
        <v>#REF!</v>
      </c>
      <c r="W188" s="184">
        <f>W62</f>
        <v>259008400.75</v>
      </c>
      <c r="X188" s="184" t="e">
        <f>X62</f>
        <v>#REF!</v>
      </c>
      <c r="Z188" s="184">
        <f>Z62</f>
        <v>270238367.38</v>
      </c>
      <c r="AA188" s="184">
        <f>AA62</f>
        <v>454009599</v>
      </c>
      <c r="AB188" s="184">
        <f>AB62</f>
        <v>359160146</v>
      </c>
      <c r="AC188" s="184" t="e">
        <f>AC62</f>
        <v>#REF!</v>
      </c>
      <c r="AE188" s="184" t="e">
        <f>AE62</f>
        <v>#REF!</v>
      </c>
      <c r="AG188" s="184">
        <f>AG62</f>
        <v>314847641.01999998</v>
      </c>
    </row>
    <row r="189" spans="4:34">
      <c r="D189" s="263" t="str">
        <f>D65</f>
        <v>PASIVO A LARGO PLAZO</v>
      </c>
      <c r="F189" s="184">
        <f t="shared" ref="F189:Q189" si="525">F65</f>
        <v>1917784</v>
      </c>
      <c r="G189" s="184">
        <f t="shared" si="525"/>
        <v>19981074</v>
      </c>
      <c r="H189" s="184">
        <f t="shared" si="525"/>
        <v>3228603</v>
      </c>
      <c r="I189" s="184" t="e">
        <f t="shared" si="525"/>
        <v>#REF!</v>
      </c>
      <c r="J189" s="184">
        <f t="shared" si="525"/>
        <v>42529550</v>
      </c>
      <c r="K189" s="184">
        <f t="shared" si="525"/>
        <v>11954238</v>
      </c>
      <c r="L189" s="184">
        <f t="shared" si="525"/>
        <v>142850345.80000001</v>
      </c>
      <c r="M189" s="184">
        <f t="shared" si="525"/>
        <v>75276714.799999997</v>
      </c>
      <c r="N189" s="184">
        <f t="shared" si="525"/>
        <v>47864430</v>
      </c>
      <c r="O189" s="184">
        <f t="shared" si="525"/>
        <v>28878531</v>
      </c>
      <c r="P189" s="184">
        <f t="shared" si="525"/>
        <v>98782827</v>
      </c>
      <c r="Q189" s="184">
        <f t="shared" si="525"/>
        <v>67445904</v>
      </c>
      <c r="R189" s="184">
        <f t="shared" ref="R189" si="526">R65</f>
        <v>52452793</v>
      </c>
      <c r="S189" s="184" t="e">
        <f t="shared" ref="S189:U189" si="527">S65</f>
        <v>#REF!</v>
      </c>
      <c r="T189" s="184" t="e">
        <f t="shared" si="527"/>
        <v>#REF!</v>
      </c>
      <c r="U189" s="184" t="e">
        <f t="shared" si="527"/>
        <v>#REF!</v>
      </c>
      <c r="W189" s="184">
        <f>W65</f>
        <v>1917784</v>
      </c>
      <c r="X189" s="184" t="e">
        <f>X65</f>
        <v>#REF!</v>
      </c>
      <c r="Z189" s="184">
        <f t="shared" ref="Z189:AC190" si="528">Z65</f>
        <v>142850345.80000001</v>
      </c>
      <c r="AA189" s="184">
        <f t="shared" si="528"/>
        <v>28878531</v>
      </c>
      <c r="AB189" s="184">
        <f t="shared" si="528"/>
        <v>52452793</v>
      </c>
      <c r="AC189" s="184" t="e">
        <f t="shared" si="528"/>
        <v>#REF!</v>
      </c>
      <c r="AE189" s="184" t="e">
        <f>AE65</f>
        <v>#REF!</v>
      </c>
      <c r="AG189" s="184">
        <f>AG65</f>
        <v>47864430</v>
      </c>
    </row>
    <row r="190" spans="4:34" s="267" customFormat="1">
      <c r="D190" s="264" t="str">
        <f>D66</f>
        <v>T O T A L   P A S I V O</v>
      </c>
      <c r="E190" s="265"/>
      <c r="F190" s="193">
        <f t="shared" ref="F190:Q190" si="529">F66</f>
        <v>260926184.75</v>
      </c>
      <c r="G190" s="193">
        <f t="shared" si="529"/>
        <v>429735765.30000001</v>
      </c>
      <c r="H190" s="193">
        <f t="shared" si="529"/>
        <v>388098413.31999999</v>
      </c>
      <c r="I190" s="193" t="e">
        <f t="shared" si="529"/>
        <v>#REF!</v>
      </c>
      <c r="J190" s="193">
        <f t="shared" si="529"/>
        <v>233418206.38</v>
      </c>
      <c r="K190" s="193">
        <f t="shared" si="529"/>
        <v>162093360.38</v>
      </c>
      <c r="L190" s="193">
        <f t="shared" si="529"/>
        <v>413088713.18000001</v>
      </c>
      <c r="M190" s="193">
        <f t="shared" si="529"/>
        <v>373192973.81999999</v>
      </c>
      <c r="N190" s="193">
        <f t="shared" si="529"/>
        <v>362712071.01999998</v>
      </c>
      <c r="O190" s="193">
        <f t="shared" si="529"/>
        <v>482888130</v>
      </c>
      <c r="P190" s="193">
        <f t="shared" si="529"/>
        <v>386087452.50999999</v>
      </c>
      <c r="Q190" s="193">
        <f t="shared" si="529"/>
        <v>559320294</v>
      </c>
      <c r="R190" s="193">
        <f t="shared" ref="R190" si="530">R66</f>
        <v>411612939</v>
      </c>
      <c r="S190" s="193" t="e">
        <f t="shared" ref="S190:U190" si="531">S66</f>
        <v>#REF!</v>
      </c>
      <c r="T190" s="193" t="e">
        <f t="shared" si="531"/>
        <v>#REF!</v>
      </c>
      <c r="U190" s="193" t="e">
        <f t="shared" si="531"/>
        <v>#REF!</v>
      </c>
      <c r="V190" s="265"/>
      <c r="W190" s="193">
        <f>W66</f>
        <v>260926184.75</v>
      </c>
      <c r="X190" s="193" t="e">
        <f>X66</f>
        <v>#REF!</v>
      </c>
      <c r="Y190" s="265"/>
      <c r="Z190" s="193">
        <f t="shared" si="528"/>
        <v>413088713.18000001</v>
      </c>
      <c r="AA190" s="193">
        <f t="shared" si="528"/>
        <v>482888130</v>
      </c>
      <c r="AB190" s="193">
        <f t="shared" si="528"/>
        <v>411612939</v>
      </c>
      <c r="AC190" s="193" t="e">
        <f t="shared" si="528"/>
        <v>#REF!</v>
      </c>
      <c r="AD190" s="265"/>
      <c r="AE190" s="193" t="e">
        <f>AE66</f>
        <v>#REF!</v>
      </c>
      <c r="AF190" s="265"/>
      <c r="AG190" s="193">
        <f>AG66</f>
        <v>362712071.01999998</v>
      </c>
      <c r="AH190" s="266"/>
    </row>
    <row r="191" spans="4:34" s="173" customFormat="1">
      <c r="D191" s="203"/>
      <c r="E191" s="170"/>
      <c r="V191" s="170"/>
      <c r="Y191" s="170"/>
      <c r="AD191" s="170"/>
      <c r="AF191" s="170"/>
    </row>
    <row r="192" spans="4:34" s="173" customFormat="1">
      <c r="D192" s="261" t="s">
        <v>173</v>
      </c>
      <c r="E192" s="170"/>
      <c r="V192" s="170"/>
      <c r="Y192" s="170"/>
      <c r="AD192" s="170"/>
      <c r="AF192" s="170"/>
    </row>
    <row r="193" spans="4:34" s="267" customFormat="1">
      <c r="D193" s="264" t="str">
        <f>D79</f>
        <v>TOTAL  CAPITAL  CONTABLE</v>
      </c>
      <c r="E193" s="265"/>
      <c r="F193" s="193">
        <f t="shared" ref="F193:Q193" si="532">F79</f>
        <v>163517520.41</v>
      </c>
      <c r="G193" s="193">
        <f t="shared" si="532"/>
        <v>254652705.00999999</v>
      </c>
      <c r="H193" s="193">
        <f t="shared" si="532"/>
        <v>253847342.52000007</v>
      </c>
      <c r="I193" s="193" t="e">
        <f t="shared" si="532"/>
        <v>#REF!</v>
      </c>
      <c r="J193" s="193">
        <f t="shared" si="532"/>
        <v>489039230.67000002</v>
      </c>
      <c r="K193" s="193">
        <f t="shared" si="532"/>
        <v>423607613.64999998</v>
      </c>
      <c r="L193" s="193">
        <f t="shared" si="532"/>
        <v>437613497</v>
      </c>
      <c r="M193" s="193">
        <f t="shared" si="532"/>
        <v>470064427.70000005</v>
      </c>
      <c r="N193" s="193">
        <f t="shared" si="532"/>
        <v>442302486.28999996</v>
      </c>
      <c r="O193" s="193">
        <f t="shared" si="532"/>
        <v>444929216.26000035</v>
      </c>
      <c r="P193" s="193">
        <f t="shared" si="532"/>
        <v>456547716.86000001</v>
      </c>
      <c r="Q193" s="193">
        <f t="shared" si="532"/>
        <v>489594382.73000002</v>
      </c>
      <c r="R193" s="193">
        <f t="shared" ref="R193" si="533">R79</f>
        <v>525008283.36000001</v>
      </c>
      <c r="S193" s="193" t="e">
        <f t="shared" ref="S193:U193" si="534">S79</f>
        <v>#REF!</v>
      </c>
      <c r="T193" s="193" t="e">
        <f t="shared" si="534"/>
        <v>#REF!</v>
      </c>
      <c r="U193" s="193" t="e">
        <f t="shared" si="534"/>
        <v>#REF!</v>
      </c>
      <c r="V193" s="265"/>
      <c r="W193" s="193">
        <f>W79</f>
        <v>163517520.41</v>
      </c>
      <c r="X193" s="193" t="e">
        <f>X79</f>
        <v>#REF!</v>
      </c>
      <c r="Y193" s="265"/>
      <c r="Z193" s="193">
        <f>Z79</f>
        <v>437613497</v>
      </c>
      <c r="AA193" s="193">
        <f>AA79</f>
        <v>444929216.26000035</v>
      </c>
      <c r="AB193" s="193">
        <f>AB79</f>
        <v>525008283.36000001</v>
      </c>
      <c r="AC193" s="193" t="e">
        <f>AC79</f>
        <v>#REF!</v>
      </c>
      <c r="AD193" s="265"/>
      <c r="AE193" s="193" t="e">
        <f>AE79</f>
        <v>#REF!</v>
      </c>
      <c r="AF193" s="265"/>
      <c r="AG193" s="193">
        <f>AG79</f>
        <v>442302486.28999996</v>
      </c>
      <c r="AH193" s="266"/>
    </row>
    <row r="194" spans="4:34" s="173" customFormat="1">
      <c r="D194" s="203"/>
      <c r="E194" s="170"/>
      <c r="V194" s="170"/>
      <c r="Y194" s="170"/>
      <c r="AD194" s="170"/>
      <c r="AF194" s="170"/>
    </row>
    <row r="195" spans="4:34" s="195" customFormat="1">
      <c r="D195" s="198" t="s">
        <v>107</v>
      </c>
      <c r="E195" s="192"/>
      <c r="F195" s="193">
        <f t="shared" ref="F195:Q195" si="535">F190+F193</f>
        <v>424443705.15999997</v>
      </c>
      <c r="G195" s="193">
        <f t="shared" si="535"/>
        <v>684388470.30999994</v>
      </c>
      <c r="H195" s="193">
        <f t="shared" si="535"/>
        <v>641945755.84000003</v>
      </c>
      <c r="I195" s="193" t="e">
        <f t="shared" si="535"/>
        <v>#REF!</v>
      </c>
      <c r="J195" s="193">
        <f>J190+J193</f>
        <v>722457437.04999995</v>
      </c>
      <c r="K195" s="193">
        <f t="shared" si="535"/>
        <v>585700974.02999997</v>
      </c>
      <c r="L195" s="193">
        <f t="shared" si="535"/>
        <v>850702210.18000007</v>
      </c>
      <c r="M195" s="193">
        <f t="shared" si="535"/>
        <v>843257401.51999998</v>
      </c>
      <c r="N195" s="193">
        <f t="shared" si="535"/>
        <v>805014557.30999994</v>
      </c>
      <c r="O195" s="193">
        <f t="shared" si="535"/>
        <v>927817346.26000035</v>
      </c>
      <c r="P195" s="193">
        <f t="shared" si="535"/>
        <v>842635169.37</v>
      </c>
      <c r="Q195" s="193">
        <f t="shared" si="535"/>
        <v>1048914676.73</v>
      </c>
      <c r="R195" s="193">
        <f t="shared" ref="R195" si="536">R190+R193</f>
        <v>936621222.36000001</v>
      </c>
      <c r="S195" s="193" t="e">
        <f t="shared" ref="S195:U195" si="537">S190+S193</f>
        <v>#REF!</v>
      </c>
      <c r="T195" s="193" t="e">
        <f t="shared" si="537"/>
        <v>#REF!</v>
      </c>
      <c r="U195" s="193" t="e">
        <f t="shared" si="537"/>
        <v>#REF!</v>
      </c>
      <c r="V195" s="192"/>
      <c r="W195" s="193">
        <f>W190+W193</f>
        <v>424443705.15999997</v>
      </c>
      <c r="X195" s="193" t="e">
        <f>X190+X193</f>
        <v>#REF!</v>
      </c>
      <c r="Y195" s="192"/>
      <c r="Z195" s="193">
        <f>Z190+Z193</f>
        <v>850702210.18000007</v>
      </c>
      <c r="AA195" s="193">
        <f>AA190+AA193</f>
        <v>927817346.26000035</v>
      </c>
      <c r="AB195" s="193">
        <f>AB190+AB193</f>
        <v>936621222.36000001</v>
      </c>
      <c r="AC195" s="193" t="e">
        <f>AC190+AC193</f>
        <v>#REF!</v>
      </c>
      <c r="AD195" s="192"/>
      <c r="AE195" s="193" t="e">
        <f t="shared" ref="AE195:AG195" si="538">AE190+AE193</f>
        <v>#REF!</v>
      </c>
      <c r="AF195" s="192"/>
      <c r="AG195" s="193">
        <f t="shared" si="538"/>
        <v>805014557.30999994</v>
      </c>
      <c r="AH195" s="194"/>
    </row>
    <row r="196" spans="4:34" s="173" customFormat="1">
      <c r="D196" s="203"/>
      <c r="E196" s="170"/>
      <c r="Q196" s="215"/>
      <c r="V196" s="170"/>
      <c r="Y196" s="170"/>
      <c r="AD196" s="170"/>
      <c r="AF196" s="170"/>
    </row>
    <row r="197" spans="4:34">
      <c r="D197" s="174" t="s">
        <v>180</v>
      </c>
      <c r="F197" s="383" t="str">
        <f>F86</f>
        <v>ESTADO  DE  RESULTADOS  ACUMULADOS  AÑO  2 0 1 3</v>
      </c>
      <c r="G197" s="383"/>
      <c r="H197" s="383"/>
      <c r="I197" s="383"/>
      <c r="J197" s="384" t="str">
        <f>J86</f>
        <v>ESTADO  DE  RESULTADOS  ACUMULADOS  AÑO  2 0 1 4</v>
      </c>
      <c r="K197" s="384"/>
      <c r="L197" s="384"/>
      <c r="M197" s="384"/>
      <c r="N197" s="384"/>
      <c r="O197" s="384"/>
      <c r="P197" s="384" t="str">
        <f>J197</f>
        <v>ESTADO  DE  RESULTADOS  ACUMULADOS  AÑO  2 0 1 4</v>
      </c>
      <c r="Q197" s="384"/>
      <c r="R197" s="384"/>
      <c r="S197" s="384"/>
      <c r="T197" s="384"/>
      <c r="U197" s="384"/>
      <c r="W197" s="383" t="str">
        <f>W177</f>
        <v>INFORMACIÓN 2013 CIF ACUM</v>
      </c>
      <c r="X197" s="383"/>
      <c r="Z197" s="384" t="str">
        <f>Z$5</f>
        <v>INFORMACION 2014 CIFRAS ACUMULADAS</v>
      </c>
      <c r="AA197" s="384"/>
      <c r="AB197" s="384"/>
      <c r="AC197" s="384"/>
      <c r="AE197" s="175" t="str">
        <f>AE177</f>
        <v>2 0 1 3</v>
      </c>
      <c r="AG197" s="176" t="str">
        <f>AG177</f>
        <v>2 0 1 4</v>
      </c>
    </row>
    <row r="198" spans="4:34">
      <c r="D198" s="174" t="s">
        <v>174</v>
      </c>
      <c r="F198" s="177">
        <f t="shared" ref="F198:U198" si="539">F$6</f>
        <v>41518</v>
      </c>
      <c r="G198" s="177">
        <f t="shared" si="539"/>
        <v>41548</v>
      </c>
      <c r="H198" s="177">
        <f t="shared" si="539"/>
        <v>41579</v>
      </c>
      <c r="I198" s="177">
        <f t="shared" si="539"/>
        <v>41609</v>
      </c>
      <c r="J198" s="178">
        <f t="shared" si="539"/>
        <v>42005</v>
      </c>
      <c r="K198" s="178">
        <f t="shared" si="539"/>
        <v>42036</v>
      </c>
      <c r="L198" s="178">
        <f t="shared" si="539"/>
        <v>42064</v>
      </c>
      <c r="M198" s="178">
        <f t="shared" si="539"/>
        <v>42095</v>
      </c>
      <c r="N198" s="178">
        <f t="shared" si="539"/>
        <v>42125</v>
      </c>
      <c r="O198" s="178">
        <f t="shared" si="539"/>
        <v>42156</v>
      </c>
      <c r="P198" s="178">
        <f t="shared" si="539"/>
        <v>42186</v>
      </c>
      <c r="Q198" s="178">
        <f t="shared" si="539"/>
        <v>42217</v>
      </c>
      <c r="R198" s="178">
        <f t="shared" si="539"/>
        <v>42248</v>
      </c>
      <c r="S198" s="178">
        <f t="shared" si="539"/>
        <v>42278</v>
      </c>
      <c r="T198" s="178">
        <f t="shared" si="539"/>
        <v>42309</v>
      </c>
      <c r="U198" s="178">
        <f t="shared" si="539"/>
        <v>42339</v>
      </c>
      <c r="W198" s="177">
        <f>W178</f>
        <v>41547</v>
      </c>
      <c r="X198" s="177">
        <f>X178</f>
        <v>41639</v>
      </c>
      <c r="Z198" s="178">
        <f>Z$6</f>
        <v>41729</v>
      </c>
      <c r="AA198" s="178">
        <f>AA$6</f>
        <v>41820</v>
      </c>
      <c r="AB198" s="178">
        <f>AB$6</f>
        <v>41912</v>
      </c>
      <c r="AC198" s="178">
        <f>AC$6</f>
        <v>42004</v>
      </c>
      <c r="AE198" s="177">
        <f>AE178</f>
        <v>41639</v>
      </c>
      <c r="AG198" s="178">
        <f>AG178</f>
        <v>41639</v>
      </c>
    </row>
    <row r="199" spans="4:34" s="173" customFormat="1">
      <c r="D199" s="203"/>
      <c r="E199" s="170"/>
      <c r="V199" s="170"/>
      <c r="Y199" s="170"/>
      <c r="AD199" s="170"/>
      <c r="AF199" s="170"/>
    </row>
    <row r="200" spans="4:34" s="267" customFormat="1">
      <c r="D200" s="264" t="str">
        <f>D92</f>
        <v>V E N T A S   N E T A S</v>
      </c>
      <c r="E200" s="265"/>
      <c r="F200" s="193">
        <f t="shared" ref="F200:Q200" si="540">F92</f>
        <v>145861070.5</v>
      </c>
      <c r="G200" s="193">
        <f t="shared" si="540"/>
        <v>380311877.5</v>
      </c>
      <c r="H200" s="193">
        <f t="shared" si="540"/>
        <v>640428977.70000005</v>
      </c>
      <c r="I200" s="193" t="e">
        <f t="shared" si="540"/>
        <v>#REF!</v>
      </c>
      <c r="J200" s="193">
        <f t="shared" si="540"/>
        <v>128350053</v>
      </c>
      <c r="K200" s="193">
        <f t="shared" si="540"/>
        <v>174808783</v>
      </c>
      <c r="L200" s="193">
        <f t="shared" si="540"/>
        <v>489558254</v>
      </c>
      <c r="M200" s="193">
        <f t="shared" si="540"/>
        <v>665557627</v>
      </c>
      <c r="N200" s="193">
        <f t="shared" si="540"/>
        <v>860914851</v>
      </c>
      <c r="O200" s="193">
        <f t="shared" si="540"/>
        <v>1115515104</v>
      </c>
      <c r="P200" s="193">
        <f t="shared" si="540"/>
        <v>1376104389</v>
      </c>
      <c r="Q200" s="193">
        <f t="shared" si="540"/>
        <v>1742319406</v>
      </c>
      <c r="R200" s="193">
        <f t="shared" ref="R200" si="541">R92</f>
        <v>2025809522</v>
      </c>
      <c r="S200" s="193" t="e">
        <f t="shared" ref="S200:U200" si="542">S92</f>
        <v>#REF!</v>
      </c>
      <c r="T200" s="193" t="e">
        <f t="shared" si="542"/>
        <v>#REF!</v>
      </c>
      <c r="U200" s="193" t="e">
        <f t="shared" si="542"/>
        <v>#REF!</v>
      </c>
      <c r="V200" s="265"/>
      <c r="W200" s="193">
        <f>W92</f>
        <v>145861070.5</v>
      </c>
      <c r="X200" s="193" t="e">
        <f>X92</f>
        <v>#REF!</v>
      </c>
      <c r="Y200" s="265"/>
      <c r="Z200" s="193">
        <f>Z92</f>
        <v>489558254</v>
      </c>
      <c r="AA200" s="193">
        <f>AA92</f>
        <v>1115515104</v>
      </c>
      <c r="AB200" s="193">
        <f>AB92</f>
        <v>2025809522</v>
      </c>
      <c r="AC200" s="193" t="e">
        <f>AC92</f>
        <v>#REF!</v>
      </c>
      <c r="AD200" s="265"/>
      <c r="AE200" s="193" t="e">
        <f>AE92</f>
        <v>#REF!</v>
      </c>
      <c r="AF200" s="265"/>
      <c r="AG200" s="193">
        <f>AG92</f>
        <v>860914851</v>
      </c>
      <c r="AH200" s="266"/>
    </row>
    <row r="201" spans="4:34" s="173" customFormat="1">
      <c r="D201" s="203"/>
      <c r="E201" s="170"/>
      <c r="V201" s="170"/>
      <c r="Y201" s="170"/>
      <c r="AD201" s="170"/>
      <c r="AF201" s="170"/>
    </row>
    <row r="202" spans="4:34">
      <c r="D202" s="263" t="str">
        <f>D104</f>
        <v>COSTO PRODUCTO VENDIDO</v>
      </c>
      <c r="F202" s="184">
        <f t="shared" ref="F202:Q202" si="543">F104</f>
        <v>95571350.650000006</v>
      </c>
      <c r="G202" s="184">
        <f t="shared" si="543"/>
        <v>243084558.83000001</v>
      </c>
      <c r="H202" s="184">
        <f t="shared" si="543"/>
        <v>450857792.45999998</v>
      </c>
      <c r="I202" s="184" t="e">
        <f t="shared" si="543"/>
        <v>#REF!</v>
      </c>
      <c r="J202" s="184">
        <f t="shared" si="543"/>
        <v>71459376.459999993</v>
      </c>
      <c r="K202" s="184">
        <f t="shared" si="543"/>
        <v>100750612.20999999</v>
      </c>
      <c r="L202" s="184">
        <f t="shared" si="543"/>
        <v>303463074.51999998</v>
      </c>
      <c r="M202" s="184">
        <f t="shared" si="543"/>
        <v>371595086.33999997</v>
      </c>
      <c r="N202" s="184">
        <f t="shared" si="543"/>
        <v>501815633.31</v>
      </c>
      <c r="O202" s="184">
        <f t="shared" si="543"/>
        <v>679094578.91999996</v>
      </c>
      <c r="P202" s="184">
        <f t="shared" si="543"/>
        <v>853932992</v>
      </c>
      <c r="Q202" s="184">
        <f t="shared" si="543"/>
        <v>1111396407.04</v>
      </c>
      <c r="R202" s="184">
        <f t="shared" ref="R202" si="544">R104</f>
        <v>1265446799</v>
      </c>
      <c r="S202" s="184" t="e">
        <f t="shared" ref="S202:U202" si="545">S104</f>
        <v>#REF!</v>
      </c>
      <c r="T202" s="184" t="e">
        <f t="shared" si="545"/>
        <v>#REF!</v>
      </c>
      <c r="U202" s="184" t="e">
        <f t="shared" si="545"/>
        <v>#REF!</v>
      </c>
      <c r="W202" s="184">
        <f>W104</f>
        <v>95571350.650000006</v>
      </c>
      <c r="X202" s="184" t="e">
        <f>X104</f>
        <v>#REF!</v>
      </c>
      <c r="Z202" s="184">
        <f>Z104</f>
        <v>303463074.51999998</v>
      </c>
      <c r="AA202" s="184">
        <f>AA104</f>
        <v>679094578.91999996</v>
      </c>
      <c r="AB202" s="184">
        <f>AB104</f>
        <v>1265446799</v>
      </c>
      <c r="AC202" s="184" t="e">
        <f>AC104</f>
        <v>#REF!</v>
      </c>
      <c r="AE202" s="184" t="e">
        <f>AE104</f>
        <v>#REF!</v>
      </c>
      <c r="AG202" s="184">
        <f>AG104</f>
        <v>501815633.31</v>
      </c>
    </row>
    <row r="203" spans="4:34" s="267" customFormat="1">
      <c r="D203" s="264" t="str">
        <f>D109</f>
        <v>CONTRIBUCION BRUTA ACUMULADO</v>
      </c>
      <c r="E203" s="265"/>
      <c r="F203" s="193">
        <f t="shared" ref="F203:Q203" si="546">F109</f>
        <v>50289719.849999994</v>
      </c>
      <c r="G203" s="193">
        <f t="shared" si="546"/>
        <v>137227318.66999999</v>
      </c>
      <c r="H203" s="193">
        <f t="shared" si="546"/>
        <v>189571185.24000007</v>
      </c>
      <c r="I203" s="193" t="e">
        <f t="shared" si="546"/>
        <v>#REF!</v>
      </c>
      <c r="J203" s="193">
        <f t="shared" si="546"/>
        <v>56890676.540000007</v>
      </c>
      <c r="K203" s="193">
        <f t="shared" si="546"/>
        <v>74058170.790000007</v>
      </c>
      <c r="L203" s="193">
        <f t="shared" si="546"/>
        <v>186095179.48000002</v>
      </c>
      <c r="M203" s="193">
        <f t="shared" si="546"/>
        <v>293962540.66000003</v>
      </c>
      <c r="N203" s="193">
        <f t="shared" si="546"/>
        <v>359099217.69</v>
      </c>
      <c r="O203" s="193">
        <f t="shared" si="546"/>
        <v>436420525.08000004</v>
      </c>
      <c r="P203" s="193">
        <f t="shared" si="546"/>
        <v>522171397</v>
      </c>
      <c r="Q203" s="193">
        <f t="shared" si="546"/>
        <v>630922998.96000004</v>
      </c>
      <c r="R203" s="193">
        <f t="shared" ref="R203" si="547">R109</f>
        <v>760362723</v>
      </c>
      <c r="S203" s="193" t="e">
        <f t="shared" ref="S203:U203" si="548">S109</f>
        <v>#REF!</v>
      </c>
      <c r="T203" s="193" t="e">
        <f t="shared" si="548"/>
        <v>#REF!</v>
      </c>
      <c r="U203" s="193" t="e">
        <f t="shared" si="548"/>
        <v>#REF!</v>
      </c>
      <c r="V203" s="265"/>
      <c r="W203" s="193">
        <f>W109</f>
        <v>50289719.849999994</v>
      </c>
      <c r="X203" s="193" t="e">
        <f>X109</f>
        <v>#REF!</v>
      </c>
      <c r="Y203" s="265"/>
      <c r="Z203" s="193">
        <f>Z109</f>
        <v>186095179.48000002</v>
      </c>
      <c r="AA203" s="193">
        <f>AA109</f>
        <v>436420525.08000004</v>
      </c>
      <c r="AB203" s="193">
        <f>AB109</f>
        <v>760362723</v>
      </c>
      <c r="AC203" s="193" t="e">
        <f>AC109</f>
        <v>#REF!</v>
      </c>
      <c r="AD203" s="265"/>
      <c r="AE203" s="193" t="e">
        <f>AE109</f>
        <v>#REF!</v>
      </c>
      <c r="AF203" s="265"/>
      <c r="AG203" s="193">
        <f>AG109</f>
        <v>359099217.69</v>
      </c>
      <c r="AH203" s="266"/>
    </row>
    <row r="204" spans="4:34" s="173" customFormat="1">
      <c r="D204" s="203"/>
      <c r="E204" s="170"/>
      <c r="V204" s="170"/>
      <c r="Y204" s="170"/>
      <c r="AD204" s="170"/>
      <c r="AF204" s="170"/>
    </row>
    <row r="205" spans="4:34">
      <c r="D205" s="263" t="str">
        <f>D117</f>
        <v>GASTO TOTAL VENTAS</v>
      </c>
      <c r="F205" s="184">
        <f>F117</f>
        <v>9674364</v>
      </c>
      <c r="G205" s="184">
        <f t="shared" ref="G205:Q205" si="549">G117</f>
        <v>28932846.02</v>
      </c>
      <c r="H205" s="184">
        <f t="shared" si="549"/>
        <v>54945583.07</v>
      </c>
      <c r="I205" s="184" t="e">
        <f t="shared" si="549"/>
        <v>#REF!</v>
      </c>
      <c r="J205" s="184">
        <f t="shared" si="549"/>
        <v>22755639</v>
      </c>
      <c r="K205" s="184">
        <f t="shared" si="549"/>
        <v>67367523</v>
      </c>
      <c r="L205" s="184">
        <f t="shared" si="549"/>
        <v>123986292.64</v>
      </c>
      <c r="M205" s="184">
        <f t="shared" si="549"/>
        <v>158638293.63999999</v>
      </c>
      <c r="N205" s="184">
        <f t="shared" si="549"/>
        <v>204647758.20987111</v>
      </c>
      <c r="O205" s="184">
        <f t="shared" si="549"/>
        <v>251805999.31715301</v>
      </c>
      <c r="P205" s="184">
        <f t="shared" si="549"/>
        <v>298160053.69</v>
      </c>
      <c r="Q205" s="184">
        <f t="shared" si="549"/>
        <v>341051819.69</v>
      </c>
      <c r="R205" s="184">
        <f t="shared" ref="R205" si="550">R117</f>
        <v>396218284.60000002</v>
      </c>
      <c r="S205" s="184" t="e">
        <f t="shared" ref="S205:U205" si="551">S117</f>
        <v>#REF!</v>
      </c>
      <c r="T205" s="184" t="e">
        <f t="shared" si="551"/>
        <v>#REF!</v>
      </c>
      <c r="U205" s="184" t="e">
        <f t="shared" si="551"/>
        <v>#REF!</v>
      </c>
      <c r="W205" s="184">
        <f t="shared" ref="W205:X205" si="552">W117</f>
        <v>9674364</v>
      </c>
      <c r="X205" s="184" t="e">
        <f t="shared" si="552"/>
        <v>#REF!</v>
      </c>
      <c r="Z205" s="184">
        <f t="shared" ref="Z205:AB205" si="553">Z117</f>
        <v>123986292.64</v>
      </c>
      <c r="AA205" s="184">
        <f t="shared" si="553"/>
        <v>251805999.31715301</v>
      </c>
      <c r="AB205" s="184">
        <f t="shared" si="553"/>
        <v>396218284.60000002</v>
      </c>
      <c r="AC205" s="184" t="e">
        <f t="shared" ref="AC205" si="554">AC117</f>
        <v>#REF!</v>
      </c>
      <c r="AE205" s="184" t="e">
        <f t="shared" ref="AE205" si="555">AE117</f>
        <v>#REF!</v>
      </c>
      <c r="AG205" s="184">
        <f t="shared" ref="AG205" si="556">AG117</f>
        <v>204647758.20987111</v>
      </c>
    </row>
    <row r="206" spans="4:34">
      <c r="D206" s="263" t="str">
        <f>D124</f>
        <v>GASTO TOTAL MERCADOTECNIA</v>
      </c>
      <c r="F206" s="184">
        <f t="shared" ref="F206:Q206" si="557">F124</f>
        <v>0</v>
      </c>
      <c r="G206" s="184">
        <f t="shared" si="557"/>
        <v>0</v>
      </c>
      <c r="H206" s="184">
        <f t="shared" si="557"/>
        <v>0</v>
      </c>
      <c r="I206" s="184">
        <f t="shared" si="557"/>
        <v>0</v>
      </c>
      <c r="J206" s="184">
        <f t="shared" si="557"/>
        <v>17327982.810000002</v>
      </c>
      <c r="K206" s="184">
        <f t="shared" si="557"/>
        <v>38615392.18</v>
      </c>
      <c r="L206" s="184">
        <f t="shared" si="557"/>
        <v>67276873.460000008</v>
      </c>
      <c r="M206" s="184">
        <f t="shared" si="557"/>
        <v>96733186.420000002</v>
      </c>
      <c r="N206" s="184">
        <f t="shared" si="557"/>
        <v>130155165.9001289</v>
      </c>
      <c r="O206" s="184">
        <f t="shared" si="557"/>
        <v>149221595.34284669</v>
      </c>
      <c r="P206" s="184">
        <f t="shared" si="557"/>
        <v>163159914</v>
      </c>
      <c r="Q206" s="184">
        <f t="shared" si="557"/>
        <v>181314244</v>
      </c>
      <c r="R206" s="184">
        <f t="shared" ref="R206" si="558">R124</f>
        <v>201383580.04000002</v>
      </c>
      <c r="S206" s="184" t="e">
        <f t="shared" ref="S206:U206" si="559">S124</f>
        <v>#REF!</v>
      </c>
      <c r="T206" s="184" t="e">
        <f t="shared" si="559"/>
        <v>#REF!</v>
      </c>
      <c r="U206" s="184" t="e">
        <f t="shared" si="559"/>
        <v>#REF!</v>
      </c>
      <c r="W206" s="184" t="e">
        <f>W124</f>
        <v>#REF!</v>
      </c>
      <c r="X206" s="184" t="e">
        <f>X124</f>
        <v>#REF!</v>
      </c>
      <c r="Z206" s="184">
        <f>Z124</f>
        <v>67276873.460000008</v>
      </c>
      <c r="AA206" s="184">
        <f>AA124</f>
        <v>149221595.34284669</v>
      </c>
      <c r="AB206" s="184">
        <f>AB124</f>
        <v>201383580.04000002</v>
      </c>
      <c r="AC206" s="184" t="e">
        <f>AC124</f>
        <v>#REF!</v>
      </c>
      <c r="AE206" s="184">
        <f>AE124</f>
        <v>0</v>
      </c>
      <c r="AG206" s="184">
        <f>AG124</f>
        <v>130155165.9001289</v>
      </c>
    </row>
    <row r="207" spans="4:34">
      <c r="D207" s="263" t="str">
        <f>D138</f>
        <v>GASTO INTEGRAL ADMINISTRACION</v>
      </c>
      <c r="F207" s="184">
        <f t="shared" ref="F207:Q207" si="560">F138</f>
        <v>26328728.440000001</v>
      </c>
      <c r="G207" s="184">
        <f t="shared" si="560"/>
        <v>52218137.880000003</v>
      </c>
      <c r="H207" s="184">
        <f t="shared" si="560"/>
        <v>78253084.319999993</v>
      </c>
      <c r="I207" s="184" t="e">
        <f t="shared" si="560"/>
        <v>#REF!</v>
      </c>
      <c r="J207" s="184">
        <f t="shared" si="560"/>
        <v>13627053</v>
      </c>
      <c r="K207" s="184">
        <f t="shared" si="560"/>
        <v>30088112</v>
      </c>
      <c r="L207" s="184">
        <f>L138</f>
        <v>44770444</v>
      </c>
      <c r="M207" s="184">
        <f t="shared" si="560"/>
        <v>56892518</v>
      </c>
      <c r="N207" s="184">
        <f t="shared" si="560"/>
        <v>70862492.189999998</v>
      </c>
      <c r="O207" s="184">
        <f t="shared" si="560"/>
        <v>84837709.159999996</v>
      </c>
      <c r="P207" s="184">
        <f t="shared" si="560"/>
        <v>98774094.349999994</v>
      </c>
      <c r="Q207" s="184">
        <f t="shared" si="560"/>
        <v>114117236.54000001</v>
      </c>
      <c r="R207" s="184">
        <f t="shared" ref="R207" si="561">R138</f>
        <v>131909873</v>
      </c>
      <c r="S207" s="184" t="e">
        <f t="shared" ref="S207:U207" si="562">S138</f>
        <v>#REF!</v>
      </c>
      <c r="T207" s="184" t="e">
        <f t="shared" si="562"/>
        <v>#REF!</v>
      </c>
      <c r="U207" s="184" t="e">
        <f t="shared" si="562"/>
        <v>#REF!</v>
      </c>
      <c r="W207" s="184">
        <f>W138</f>
        <v>26328728.440000001</v>
      </c>
      <c r="X207" s="184" t="e">
        <f>X138</f>
        <v>#REF!</v>
      </c>
      <c r="Z207" s="184">
        <f>Z138</f>
        <v>44770444</v>
      </c>
      <c r="AA207" s="184">
        <f>AA138</f>
        <v>84837709.159999996</v>
      </c>
      <c r="AB207" s="184">
        <f>AB138</f>
        <v>131909873</v>
      </c>
      <c r="AC207" s="184" t="e">
        <f>AC138</f>
        <v>#REF!</v>
      </c>
      <c r="AE207" s="184" t="e">
        <f>AE138</f>
        <v>#REF!</v>
      </c>
      <c r="AG207" s="184">
        <f>AG138</f>
        <v>70862492.189999998</v>
      </c>
    </row>
    <row r="208" spans="4:34" s="267" customFormat="1">
      <c r="D208" s="268" t="s">
        <v>149</v>
      </c>
      <c r="E208" s="265"/>
      <c r="F208" s="193">
        <f>SUM(F205:F207)</f>
        <v>36003092.439999998</v>
      </c>
      <c r="G208" s="193">
        <f t="shared" ref="G208:Q208" si="563">SUM(G205:G207)</f>
        <v>81150983.900000006</v>
      </c>
      <c r="H208" s="193">
        <f t="shared" si="563"/>
        <v>133198667.38999999</v>
      </c>
      <c r="I208" s="193" t="e">
        <f t="shared" si="563"/>
        <v>#REF!</v>
      </c>
      <c r="J208" s="193">
        <f t="shared" si="563"/>
        <v>53710674.810000002</v>
      </c>
      <c r="K208" s="193">
        <f t="shared" si="563"/>
        <v>136071027.18000001</v>
      </c>
      <c r="L208" s="193">
        <f>SUM(L205:L207)</f>
        <v>236033610.10000002</v>
      </c>
      <c r="M208" s="193">
        <f t="shared" si="563"/>
        <v>312263998.06</v>
      </c>
      <c r="N208" s="193">
        <f t="shared" si="563"/>
        <v>405665416.30000001</v>
      </c>
      <c r="O208" s="193">
        <f t="shared" si="563"/>
        <v>485865303.81999969</v>
      </c>
      <c r="P208" s="193">
        <f t="shared" si="563"/>
        <v>560094062.03999996</v>
      </c>
      <c r="Q208" s="193">
        <f t="shared" si="563"/>
        <v>636483300.23000002</v>
      </c>
      <c r="R208" s="193">
        <f t="shared" ref="R208" si="564">SUM(R205:R207)</f>
        <v>729511737.6400001</v>
      </c>
      <c r="S208" s="193" t="e">
        <f t="shared" ref="S208:U208" si="565">SUM(S205:S207)</f>
        <v>#REF!</v>
      </c>
      <c r="T208" s="193" t="e">
        <f t="shared" si="565"/>
        <v>#REF!</v>
      </c>
      <c r="U208" s="193" t="e">
        <f t="shared" si="565"/>
        <v>#REF!</v>
      </c>
      <c r="V208" s="265"/>
      <c r="W208" s="193" t="e">
        <f t="shared" ref="W208" si="566">SUM(W205:W207)</f>
        <v>#REF!</v>
      </c>
      <c r="X208" s="193" t="e">
        <f t="shared" ref="X208" si="567">SUM(X205:X207)</f>
        <v>#REF!</v>
      </c>
      <c r="Y208" s="265"/>
      <c r="Z208" s="193">
        <f t="shared" ref="Z208" si="568">SUM(Z205:Z207)</f>
        <v>236033610.10000002</v>
      </c>
      <c r="AA208" s="193">
        <f t="shared" ref="AA208" si="569">SUM(AA205:AA207)</f>
        <v>485865303.81999969</v>
      </c>
      <c r="AB208" s="193">
        <f t="shared" ref="AB208" si="570">SUM(AB205:AB207)</f>
        <v>729511737.6400001</v>
      </c>
      <c r="AC208" s="193" t="e">
        <f t="shared" ref="AC208" si="571">SUM(AC205:AC207)</f>
        <v>#REF!</v>
      </c>
      <c r="AD208" s="265"/>
      <c r="AE208" s="193" t="e">
        <f t="shared" ref="AE208" si="572">SUM(AE205:AE207)</f>
        <v>#REF!</v>
      </c>
      <c r="AF208" s="265"/>
      <c r="AG208" s="193">
        <f t="shared" ref="AG208" si="573">SUM(AG205:AG207)</f>
        <v>405665416.30000001</v>
      </c>
      <c r="AH208" s="266"/>
    </row>
    <row r="209" spans="1:34" s="267" customFormat="1">
      <c r="D209" s="264" t="str">
        <f>D144</f>
        <v>UTILIDAD (PERDIDA) OPERACION</v>
      </c>
      <c r="E209" s="265"/>
      <c r="F209" s="193">
        <f t="shared" ref="F209:Q209" si="574">F203-F208</f>
        <v>14286627.409999996</v>
      </c>
      <c r="G209" s="193">
        <f t="shared" si="574"/>
        <v>56076334.769999981</v>
      </c>
      <c r="H209" s="193">
        <f t="shared" si="574"/>
        <v>56372517.850000083</v>
      </c>
      <c r="I209" s="193" t="e">
        <f t="shared" si="574"/>
        <v>#REF!</v>
      </c>
      <c r="J209" s="193">
        <f t="shared" si="574"/>
        <v>3180001.7300000042</v>
      </c>
      <c r="K209" s="193">
        <f t="shared" si="574"/>
        <v>-62012856.390000001</v>
      </c>
      <c r="L209" s="193">
        <f t="shared" si="574"/>
        <v>-49938430.620000005</v>
      </c>
      <c r="M209" s="193">
        <f t="shared" si="574"/>
        <v>-18301457.399999976</v>
      </c>
      <c r="N209" s="193">
        <f t="shared" si="574"/>
        <v>-46566198.610000014</v>
      </c>
      <c r="O209" s="193">
        <f t="shared" si="574"/>
        <v>-49444778.739999652</v>
      </c>
      <c r="P209" s="193">
        <f t="shared" si="574"/>
        <v>-37922665.039999962</v>
      </c>
      <c r="Q209" s="193">
        <f t="shared" si="574"/>
        <v>-5560301.2699999809</v>
      </c>
      <c r="R209" s="193">
        <f t="shared" ref="R209" si="575">R203-R208</f>
        <v>30850985.359999895</v>
      </c>
      <c r="S209" s="193" t="e">
        <f t="shared" ref="S209:U209" si="576">S203-S208</f>
        <v>#REF!</v>
      </c>
      <c r="T209" s="193" t="e">
        <f t="shared" si="576"/>
        <v>#REF!</v>
      </c>
      <c r="U209" s="193" t="e">
        <f t="shared" si="576"/>
        <v>#REF!</v>
      </c>
      <c r="V209" s="265"/>
      <c r="W209" s="193" t="e">
        <f>W203-W208</f>
        <v>#REF!</v>
      </c>
      <c r="X209" s="193" t="e">
        <f>X203-X208</f>
        <v>#REF!</v>
      </c>
      <c r="Y209" s="265"/>
      <c r="Z209" s="193">
        <f>Z203-Z208</f>
        <v>-49938430.620000005</v>
      </c>
      <c r="AA209" s="193">
        <f>AA203-AA208</f>
        <v>-49444778.739999652</v>
      </c>
      <c r="AB209" s="193">
        <f>AB203-AB208</f>
        <v>30850985.359999895</v>
      </c>
      <c r="AC209" s="193" t="e">
        <f>AC203-AC208</f>
        <v>#REF!</v>
      </c>
      <c r="AD209" s="265"/>
      <c r="AE209" s="193" t="e">
        <f>AE203-AE208</f>
        <v>#REF!</v>
      </c>
      <c r="AF209" s="265"/>
      <c r="AG209" s="193">
        <f>AG203-AG208</f>
        <v>-46566198.610000014</v>
      </c>
      <c r="AH209" s="266"/>
    </row>
    <row r="210" spans="1:34" s="173" customFormat="1">
      <c r="D210" s="203"/>
      <c r="E210" s="170"/>
      <c r="J210" s="343">
        <f>+J144-J209</f>
        <v>0</v>
      </c>
      <c r="K210" s="343">
        <f t="shared" ref="K210:Q210" si="577">+K144-K209</f>
        <v>0</v>
      </c>
      <c r="L210" s="343">
        <f t="shared" si="577"/>
        <v>0</v>
      </c>
      <c r="M210" s="343">
        <f t="shared" si="577"/>
        <v>0</v>
      </c>
      <c r="N210" s="343">
        <f t="shared" si="577"/>
        <v>0</v>
      </c>
      <c r="O210" s="343">
        <f t="shared" si="577"/>
        <v>0</v>
      </c>
      <c r="P210" s="343">
        <f t="shared" si="577"/>
        <v>0</v>
      </c>
      <c r="Q210" s="343">
        <f t="shared" si="577"/>
        <v>0</v>
      </c>
      <c r="R210" s="343">
        <f t="shared" ref="R210" si="578">+R144-R209</f>
        <v>5.9604644775390625E-8</v>
      </c>
      <c r="S210" s="343" t="e">
        <f t="shared" ref="S210:U210" si="579">+S144-S209</f>
        <v>#REF!</v>
      </c>
      <c r="T210" s="343" t="e">
        <f t="shared" si="579"/>
        <v>#REF!</v>
      </c>
      <c r="U210" s="343" t="e">
        <f t="shared" si="579"/>
        <v>#REF!</v>
      </c>
      <c r="V210" s="170"/>
      <c r="Y210" s="170"/>
      <c r="AD210" s="170"/>
      <c r="AF210" s="170"/>
    </row>
    <row r="211" spans="1:34">
      <c r="A211" s="386"/>
      <c r="B211" s="386"/>
      <c r="C211" s="387"/>
      <c r="D211" s="263" t="str">
        <f>D154</f>
        <v>OTROS PRODUCTOS</v>
      </c>
      <c r="F211" s="184">
        <f t="shared" ref="F211:Q211" si="580">F154</f>
        <v>-585601</v>
      </c>
      <c r="G211" s="184">
        <f t="shared" si="580"/>
        <v>-1423629.76</v>
      </c>
      <c r="H211" s="184">
        <f t="shared" si="580"/>
        <v>-2525175.33</v>
      </c>
      <c r="I211" s="184" t="e">
        <f t="shared" si="580"/>
        <v>#REF!</v>
      </c>
      <c r="J211" s="184">
        <f t="shared" si="580"/>
        <v>2480951</v>
      </c>
      <c r="K211" s="184">
        <f t="shared" si="580"/>
        <v>2242192.0999999996</v>
      </c>
      <c r="L211" s="184">
        <f t="shared" si="580"/>
        <v>4161649.0999999996</v>
      </c>
      <c r="M211" s="184">
        <f t="shared" si="580"/>
        <v>5682607.0999999996</v>
      </c>
      <c r="N211" s="184">
        <f t="shared" si="580"/>
        <v>6185406.9000000004</v>
      </c>
      <c r="O211" s="184">
        <f t="shared" si="580"/>
        <v>11690717</v>
      </c>
      <c r="P211" s="184">
        <f t="shared" si="580"/>
        <v>11787103.899999999</v>
      </c>
      <c r="Q211" s="184">
        <f t="shared" si="580"/>
        <v>12471406</v>
      </c>
      <c r="R211" s="184">
        <f t="shared" ref="R211" si="581">R154</f>
        <v>11474020</v>
      </c>
      <c r="S211" s="184" t="e">
        <f>S154</f>
        <v>#REF!</v>
      </c>
      <c r="T211" s="184" t="e">
        <f t="shared" ref="T211" si="582">T154</f>
        <v>#REF!</v>
      </c>
      <c r="U211" s="184" t="e">
        <f>U154</f>
        <v>#REF!</v>
      </c>
      <c r="W211" s="184">
        <f>W154</f>
        <v>-585601</v>
      </c>
      <c r="X211" s="184" t="e">
        <f>X154</f>
        <v>#REF!</v>
      </c>
      <c r="Z211" s="184">
        <f>Z154</f>
        <v>4161649.0999999996</v>
      </c>
      <c r="AA211" s="184">
        <f>AA154</f>
        <v>11690717</v>
      </c>
      <c r="AB211" s="184">
        <f>AB154</f>
        <v>11474020</v>
      </c>
      <c r="AC211" s="184" t="e">
        <f>AC154</f>
        <v>#REF!</v>
      </c>
      <c r="AE211" s="184" t="e">
        <f>AE154</f>
        <v>#REF!</v>
      </c>
      <c r="AG211" s="184">
        <f>AG154</f>
        <v>6185406.9000000004</v>
      </c>
    </row>
    <row r="212" spans="1:34" s="267" customFormat="1">
      <c r="D212" s="264" t="str">
        <f>D156</f>
        <v>UTILIDAD (PERDIDA) ANTES DE PROVIS.</v>
      </c>
      <c r="E212" s="265"/>
      <c r="F212" s="193">
        <f t="shared" ref="F212:Q212" si="583">F209+F211</f>
        <v>13701026.409999996</v>
      </c>
      <c r="G212" s="193">
        <f t="shared" si="583"/>
        <v>54652705.009999983</v>
      </c>
      <c r="H212" s="193">
        <f t="shared" si="583"/>
        <v>53847342.520000085</v>
      </c>
      <c r="I212" s="193" t="e">
        <f t="shared" si="583"/>
        <v>#REF!</v>
      </c>
      <c r="J212" s="193">
        <f t="shared" si="583"/>
        <v>5660952.7300000042</v>
      </c>
      <c r="K212" s="193">
        <f t="shared" si="583"/>
        <v>-59770664.289999999</v>
      </c>
      <c r="L212" s="193">
        <f t="shared" si="583"/>
        <v>-45776781.520000003</v>
      </c>
      <c r="M212" s="193">
        <f t="shared" si="583"/>
        <v>-12618850.299999977</v>
      </c>
      <c r="N212" s="193">
        <f t="shared" si="583"/>
        <v>-40380791.710000016</v>
      </c>
      <c r="O212" s="193">
        <f>O209+O211</f>
        <v>-37754061.739999652</v>
      </c>
      <c r="P212" s="193">
        <f t="shared" si="583"/>
        <v>-26135561.139999963</v>
      </c>
      <c r="Q212" s="193">
        <f t="shared" si="583"/>
        <v>6911104.7300000191</v>
      </c>
      <c r="R212" s="193">
        <f t="shared" ref="R212" si="584">R209+R211</f>
        <v>42325005.359999895</v>
      </c>
      <c r="S212" s="193" t="e">
        <f>S209+S211</f>
        <v>#REF!</v>
      </c>
      <c r="T212" s="193" t="e">
        <f t="shared" ref="T212:U212" si="585">T209+T211</f>
        <v>#REF!</v>
      </c>
      <c r="U212" s="193" t="e">
        <f t="shared" si="585"/>
        <v>#REF!</v>
      </c>
      <c r="V212" s="265"/>
      <c r="W212" s="193" t="e">
        <f>W209+W211</f>
        <v>#REF!</v>
      </c>
      <c r="X212" s="193" t="e">
        <f>X209+X211</f>
        <v>#REF!</v>
      </c>
      <c r="Y212" s="265"/>
      <c r="Z212" s="193">
        <f>Z209+Z211</f>
        <v>-45776781.520000003</v>
      </c>
      <c r="AA212" s="193">
        <f>AA209+AA211</f>
        <v>-37754061.739999652</v>
      </c>
      <c r="AB212" s="193">
        <f>AB209+AB211</f>
        <v>42325005.359999895</v>
      </c>
      <c r="AC212" s="193" t="e">
        <f>AC209+AC211</f>
        <v>#REF!</v>
      </c>
      <c r="AD212" s="265"/>
      <c r="AE212" s="193" t="e">
        <f t="shared" ref="AE212" si="586">AE209+AE211</f>
        <v>#REF!</v>
      </c>
      <c r="AF212" s="265"/>
      <c r="AG212" s="193">
        <f t="shared" ref="AG212" si="587">AG209+AG211</f>
        <v>-40380791.710000016</v>
      </c>
      <c r="AH212" s="266"/>
    </row>
    <row r="213" spans="1:34" s="173" customFormat="1">
      <c r="D213" s="203"/>
      <c r="E213" s="170"/>
      <c r="Q213" s="343"/>
      <c r="R213" s="343"/>
      <c r="S213" s="343" t="e">
        <f t="shared" ref="S213:U213" si="588">+S147-S212</f>
        <v>#REF!</v>
      </c>
      <c r="T213" s="343" t="e">
        <f t="shared" si="588"/>
        <v>#REF!</v>
      </c>
      <c r="U213" s="343" t="e">
        <f t="shared" si="588"/>
        <v>#REF!</v>
      </c>
      <c r="V213" s="170"/>
      <c r="Y213" s="170"/>
      <c r="AD213" s="170"/>
      <c r="AF213" s="170"/>
    </row>
    <row r="214" spans="1:34">
      <c r="A214" s="386"/>
      <c r="B214" s="386"/>
      <c r="C214" s="387"/>
      <c r="D214" s="263" t="str">
        <f>D159</f>
        <v>TOTAL DE PROVISIONES</v>
      </c>
      <c r="F214" s="184">
        <f t="shared" ref="F214:Q214" si="589">F159</f>
        <v>0</v>
      </c>
      <c r="G214" s="184">
        <f t="shared" si="589"/>
        <v>0</v>
      </c>
      <c r="H214" s="184">
        <f t="shared" si="589"/>
        <v>0</v>
      </c>
      <c r="I214" s="184" t="e">
        <f t="shared" si="589"/>
        <v>#REF!</v>
      </c>
      <c r="J214" s="184">
        <f t="shared" si="589"/>
        <v>0</v>
      </c>
      <c r="K214" s="184">
        <f t="shared" si="589"/>
        <v>0</v>
      </c>
      <c r="L214" s="184">
        <f t="shared" si="589"/>
        <v>0</v>
      </c>
      <c r="M214" s="184">
        <f t="shared" si="589"/>
        <v>695000</v>
      </c>
      <c r="N214" s="184">
        <f t="shared" si="589"/>
        <v>695000</v>
      </c>
      <c r="O214" s="184">
        <f t="shared" si="589"/>
        <v>695000</v>
      </c>
      <c r="P214" s="184">
        <f t="shared" si="589"/>
        <v>695000</v>
      </c>
      <c r="Q214" s="184">
        <f t="shared" si="589"/>
        <v>695000</v>
      </c>
      <c r="R214" s="184">
        <f t="shared" ref="R214" si="590">R159</f>
        <v>695000</v>
      </c>
      <c r="S214" s="184" t="e">
        <f t="shared" ref="S214:U214" si="591">S159</f>
        <v>#REF!</v>
      </c>
      <c r="T214" s="184" t="e">
        <f t="shared" si="591"/>
        <v>#REF!</v>
      </c>
      <c r="U214" s="184" t="e">
        <f t="shared" si="591"/>
        <v>#REF!</v>
      </c>
      <c r="W214" s="184">
        <f>W159</f>
        <v>0</v>
      </c>
      <c r="X214" s="184" t="e">
        <f>X159</f>
        <v>#REF!</v>
      </c>
      <c r="Z214" s="184">
        <f>Z159</f>
        <v>0</v>
      </c>
      <c r="AA214" s="184">
        <f>AA159</f>
        <v>695000</v>
      </c>
      <c r="AB214" s="184">
        <f>AB159</f>
        <v>695000</v>
      </c>
      <c r="AC214" s="184" t="e">
        <f>AC159</f>
        <v>#REF!</v>
      </c>
      <c r="AE214" s="184" t="e">
        <f>AE159</f>
        <v>#REF!</v>
      </c>
      <c r="AG214" s="184">
        <f>AG159</f>
        <v>695000</v>
      </c>
    </row>
    <row r="215" spans="1:34" s="267" customFormat="1">
      <c r="D215" s="264" t="str">
        <f>D161</f>
        <v>UTILIDAD ( PERDIDA ) NETA</v>
      </c>
      <c r="E215" s="265"/>
      <c r="F215" s="193">
        <f t="shared" ref="F215:Q215" si="592">F212-F214</f>
        <v>13701026.409999996</v>
      </c>
      <c r="G215" s="193">
        <f t="shared" si="592"/>
        <v>54652705.009999983</v>
      </c>
      <c r="H215" s="193">
        <f t="shared" si="592"/>
        <v>53847342.520000085</v>
      </c>
      <c r="I215" s="193" t="e">
        <f t="shared" si="592"/>
        <v>#REF!</v>
      </c>
      <c r="J215" s="193">
        <f t="shared" si="592"/>
        <v>5660952.7300000042</v>
      </c>
      <c r="K215" s="193">
        <f t="shared" si="592"/>
        <v>-59770664.289999999</v>
      </c>
      <c r="L215" s="193">
        <f t="shared" si="592"/>
        <v>-45776781.520000003</v>
      </c>
      <c r="M215" s="193">
        <f t="shared" si="592"/>
        <v>-13313850.299999977</v>
      </c>
      <c r="N215" s="193">
        <f>N212-N214</f>
        <v>-41075791.710000016</v>
      </c>
      <c r="O215" s="193">
        <f>O212-O214</f>
        <v>-38449061.739999652</v>
      </c>
      <c r="P215" s="193">
        <f>P212-P214</f>
        <v>-26830561.139999963</v>
      </c>
      <c r="Q215" s="193">
        <f t="shared" si="592"/>
        <v>6216104.7300000191</v>
      </c>
      <c r="R215" s="193">
        <f t="shared" ref="R215" si="593">R212-R214</f>
        <v>41630005.359999895</v>
      </c>
      <c r="S215" s="193" t="e">
        <f>S212-S214</f>
        <v>#REF!</v>
      </c>
      <c r="T215" s="193" t="e">
        <f t="shared" ref="T215:U215" si="594">T212-T214</f>
        <v>#REF!</v>
      </c>
      <c r="U215" s="193" t="e">
        <f t="shared" si="594"/>
        <v>#REF!</v>
      </c>
      <c r="V215" s="265"/>
      <c r="W215" s="193" t="e">
        <f>W212-W214</f>
        <v>#REF!</v>
      </c>
      <c r="X215" s="193" t="e">
        <f>X212-X214</f>
        <v>#REF!</v>
      </c>
      <c r="Y215" s="265"/>
      <c r="Z215" s="193">
        <f>Z212-Z214</f>
        <v>-45776781.520000003</v>
      </c>
      <c r="AA215" s="193">
        <f>AA212-AA214</f>
        <v>-38449061.739999652</v>
      </c>
      <c r="AB215" s="193">
        <f>AB212-AB214</f>
        <v>41630005.359999895</v>
      </c>
      <c r="AC215" s="193" t="e">
        <f>AC212-AC214</f>
        <v>#REF!</v>
      </c>
      <c r="AD215" s="265"/>
      <c r="AE215" s="193" t="e">
        <f t="shared" ref="AE215" si="595">AE212-AE214</f>
        <v>#REF!</v>
      </c>
      <c r="AF215" s="265"/>
      <c r="AG215" s="193">
        <f>AG212-AG214</f>
        <v>-41075791.710000016</v>
      </c>
      <c r="AH215" s="266"/>
    </row>
    <row r="216" spans="1:34" s="173" customFormat="1">
      <c r="D216" s="203"/>
      <c r="E216" s="170"/>
      <c r="J216" s="343">
        <f t="shared" ref="J216:Q216" si="596">+J161-J215</f>
        <v>0</v>
      </c>
      <c r="K216" s="343">
        <f t="shared" si="596"/>
        <v>0</v>
      </c>
      <c r="L216" s="343">
        <f t="shared" si="596"/>
        <v>0</v>
      </c>
      <c r="M216" s="343">
        <f t="shared" si="596"/>
        <v>0</v>
      </c>
      <c r="N216" s="343">
        <f t="shared" si="596"/>
        <v>0</v>
      </c>
      <c r="O216" s="343">
        <f t="shared" si="596"/>
        <v>0</v>
      </c>
      <c r="P216" s="343">
        <f t="shared" si="596"/>
        <v>0</v>
      </c>
      <c r="Q216" s="343">
        <f t="shared" si="596"/>
        <v>0</v>
      </c>
      <c r="R216" s="343">
        <f t="shared" ref="R216" si="597">+R161-R215</f>
        <v>5.9604644775390625E-8</v>
      </c>
      <c r="S216" s="343" t="e">
        <f t="shared" ref="S216:U216" si="598">+S161-S215</f>
        <v>#REF!</v>
      </c>
      <c r="T216" s="343" t="e">
        <f t="shared" si="598"/>
        <v>#REF!</v>
      </c>
      <c r="U216" s="343" t="e">
        <f t="shared" si="598"/>
        <v>#REF!</v>
      </c>
      <c r="V216" s="170"/>
      <c r="Y216" s="170"/>
      <c r="AD216" s="170"/>
      <c r="AF216" s="170"/>
    </row>
    <row r="217" spans="1:34">
      <c r="D217" s="344"/>
      <c r="J217" s="167"/>
    </row>
    <row r="218" spans="1:34">
      <c r="D218" s="344"/>
      <c r="J218" s="167"/>
    </row>
    <row r="219" spans="1:34">
      <c r="D219" s="344"/>
      <c r="J219" s="167"/>
    </row>
    <row r="220" spans="1:34">
      <c r="D220" s="344"/>
      <c r="J220" s="167"/>
    </row>
    <row r="221" spans="1:34">
      <c r="D221" s="344"/>
      <c r="J221" s="167"/>
      <c r="S221" s="269"/>
    </row>
    <row r="222" spans="1:34">
      <c r="D222" s="344"/>
      <c r="J222" s="167"/>
    </row>
    <row r="223" spans="1:34">
      <c r="D223" s="344"/>
      <c r="J223" s="167"/>
    </row>
    <row r="224" spans="1:34">
      <c r="D224" s="344"/>
      <c r="J224" s="167"/>
    </row>
    <row r="225" spans="4:10">
      <c r="D225" s="344"/>
      <c r="J225" s="167"/>
    </row>
    <row r="226" spans="4:10">
      <c r="D226" s="344"/>
      <c r="J226" s="167"/>
    </row>
    <row r="227" spans="4:10">
      <c r="D227" s="344"/>
      <c r="J227" s="167"/>
    </row>
    <row r="228" spans="4:10">
      <c r="D228" s="344"/>
      <c r="J228" s="167"/>
    </row>
    <row r="229" spans="4:10">
      <c r="D229" s="344"/>
      <c r="J229" s="167"/>
    </row>
    <row r="230" spans="4:10">
      <c r="D230" s="344"/>
      <c r="J230" s="167"/>
    </row>
    <row r="231" spans="4:10">
      <c r="D231" s="344"/>
      <c r="J231" s="167"/>
    </row>
    <row r="232" spans="4:10">
      <c r="D232" s="344"/>
      <c r="J232" s="167"/>
    </row>
    <row r="233" spans="4:10">
      <c r="D233" s="344"/>
      <c r="J233" s="167"/>
    </row>
    <row r="234" spans="4:10">
      <c r="D234" s="167"/>
      <c r="J234" s="167"/>
    </row>
    <row r="235" spans="4:10">
      <c r="D235" s="167"/>
      <c r="J235" s="167"/>
    </row>
    <row r="236" spans="4:10">
      <c r="D236" s="167"/>
      <c r="J236" s="167"/>
    </row>
    <row r="237" spans="4:10">
      <c r="D237" s="167"/>
      <c r="J237" s="167"/>
    </row>
    <row r="238" spans="4:10">
      <c r="D238" s="167"/>
      <c r="J238" s="167"/>
    </row>
    <row r="239" spans="4:10">
      <c r="D239" s="167"/>
      <c r="J239" s="167"/>
    </row>
    <row r="240" spans="4:10">
      <c r="D240" s="167"/>
      <c r="J240" s="167"/>
    </row>
    <row r="241" spans="4:10">
      <c r="D241" s="167"/>
      <c r="J241" s="167"/>
    </row>
    <row r="242" spans="4:10">
      <c r="D242" s="167"/>
      <c r="J242" s="167"/>
    </row>
    <row r="243" spans="4:10">
      <c r="D243" s="167"/>
      <c r="J243" s="167"/>
    </row>
    <row r="244" spans="4:10">
      <c r="D244" s="167"/>
      <c r="J244" s="167"/>
    </row>
    <row r="245" spans="4:10">
      <c r="D245" s="167"/>
      <c r="J245" s="167"/>
    </row>
    <row r="246" spans="4:10">
      <c r="D246" s="167"/>
      <c r="J246" s="167"/>
    </row>
    <row r="247" spans="4:10">
      <c r="D247" s="167"/>
      <c r="J247" s="167"/>
    </row>
    <row r="248" spans="4:10">
      <c r="D248" s="167"/>
      <c r="J248" s="167"/>
    </row>
    <row r="249" spans="4:10">
      <c r="D249" s="167"/>
      <c r="J249" s="167"/>
    </row>
    <row r="250" spans="4:10">
      <c r="D250" s="167"/>
      <c r="J250" s="167"/>
    </row>
    <row r="251" spans="4:10">
      <c r="D251" s="167"/>
      <c r="J251" s="167"/>
    </row>
    <row r="252" spans="4:10">
      <c r="D252" s="167"/>
      <c r="J252" s="167"/>
    </row>
    <row r="253" spans="4:10">
      <c r="D253" s="167"/>
      <c r="J253" s="167"/>
    </row>
    <row r="254" spans="4:10">
      <c r="D254" s="167"/>
      <c r="J254" s="167"/>
    </row>
    <row r="255" spans="4:10">
      <c r="D255" s="167"/>
      <c r="J255" s="167"/>
    </row>
    <row r="256" spans="4:10">
      <c r="D256" s="167"/>
      <c r="J256" s="167"/>
    </row>
    <row r="257" spans="4:10">
      <c r="D257" s="167"/>
      <c r="J257" s="167"/>
    </row>
    <row r="258" spans="4:10">
      <c r="D258" s="167"/>
      <c r="J258" s="167"/>
    </row>
    <row r="259" spans="4:10">
      <c r="D259" s="167"/>
      <c r="J259" s="167"/>
    </row>
    <row r="260" spans="4:10">
      <c r="D260" s="167"/>
      <c r="J260" s="167"/>
    </row>
    <row r="261" spans="4:10">
      <c r="D261" s="167"/>
      <c r="J261" s="167"/>
    </row>
    <row r="262" spans="4:10">
      <c r="D262" s="167"/>
      <c r="J262" s="167"/>
    </row>
    <row r="263" spans="4:10">
      <c r="D263" s="167"/>
      <c r="J263" s="167"/>
    </row>
    <row r="264" spans="4:10">
      <c r="D264" s="167"/>
      <c r="J264" s="167"/>
    </row>
    <row r="265" spans="4:10">
      <c r="D265" s="167"/>
      <c r="J265" s="167"/>
    </row>
    <row r="266" spans="4:10">
      <c r="D266" s="167"/>
      <c r="J266" s="167"/>
    </row>
    <row r="267" spans="4:10">
      <c r="D267" s="167"/>
      <c r="J267" s="167"/>
    </row>
    <row r="268" spans="4:10">
      <c r="D268" s="167"/>
      <c r="J268" s="167"/>
    </row>
    <row r="269" spans="4:10">
      <c r="D269" s="167"/>
      <c r="J269" s="167"/>
    </row>
    <row r="270" spans="4:10">
      <c r="D270" s="167"/>
      <c r="J270" s="167"/>
    </row>
    <row r="271" spans="4:10">
      <c r="D271" s="167"/>
      <c r="J271" s="167"/>
    </row>
    <row r="272" spans="4:10">
      <c r="D272" s="167"/>
      <c r="J272" s="167"/>
    </row>
    <row r="273" spans="4:10">
      <c r="D273" s="167"/>
      <c r="J273" s="167"/>
    </row>
    <row r="274" spans="4:10">
      <c r="D274" s="167"/>
      <c r="J274" s="167"/>
    </row>
    <row r="275" spans="4:10">
      <c r="D275" s="167"/>
      <c r="J275" s="167"/>
    </row>
    <row r="276" spans="4:10">
      <c r="D276" s="167"/>
      <c r="J276" s="167"/>
    </row>
    <row r="277" spans="4:10">
      <c r="D277" s="167"/>
      <c r="J277" s="167"/>
    </row>
    <row r="278" spans="4:10">
      <c r="D278" s="167"/>
      <c r="J278" s="167"/>
    </row>
    <row r="279" spans="4:10">
      <c r="D279" s="167"/>
      <c r="J279" s="167"/>
    </row>
    <row r="280" spans="4:10">
      <c r="D280" s="167"/>
      <c r="J280" s="167"/>
    </row>
    <row r="281" spans="4:10">
      <c r="D281" s="167"/>
      <c r="J281" s="167"/>
    </row>
    <row r="282" spans="4:10">
      <c r="D282" s="167"/>
      <c r="J282" s="167"/>
    </row>
    <row r="283" spans="4:10">
      <c r="D283" s="167"/>
      <c r="J283" s="167"/>
    </row>
    <row r="284" spans="4:10">
      <c r="D284" s="167"/>
      <c r="J284" s="167"/>
    </row>
  </sheetData>
  <mergeCells count="25">
    <mergeCell ref="A211:C211"/>
    <mergeCell ref="A214:C214"/>
    <mergeCell ref="F197:I197"/>
    <mergeCell ref="J197:O197"/>
    <mergeCell ref="P197:U197"/>
    <mergeCell ref="Z197:AC197"/>
    <mergeCell ref="Z177:AC177"/>
    <mergeCell ref="D170:D171"/>
    <mergeCell ref="D172:D173"/>
    <mergeCell ref="W86:X86"/>
    <mergeCell ref="Z86:AC86"/>
    <mergeCell ref="P86:U86"/>
    <mergeCell ref="F86:I86"/>
    <mergeCell ref="J86:O86"/>
    <mergeCell ref="J177:O177"/>
    <mergeCell ref="P177:U177"/>
    <mergeCell ref="F177:I177"/>
    <mergeCell ref="W177:X177"/>
    <mergeCell ref="W197:X197"/>
    <mergeCell ref="D1:D3"/>
    <mergeCell ref="Z5:AC5"/>
    <mergeCell ref="W5:X5"/>
    <mergeCell ref="F5:I5"/>
    <mergeCell ref="J5:O5"/>
    <mergeCell ref="P5:U5"/>
  </mergeCells>
  <printOptions horizontalCentered="1" verticalCentered="1"/>
  <pageMargins left="0" right="0" top="0.27" bottom="0.37" header="0.11811023622047245" footer="0.15748031496062992"/>
  <pageSetup orientation="portrait" r:id="rId1"/>
  <headerFooter>
    <oddFooter>&amp;L&amp;"Tahoma,Negrita"&amp;8ANALISIS DE OPERACIÓN&amp;C&amp;"Tahoma,Negrita"&amp;8COREV DE MÉXICO SA DE CV&amp;R&amp;"Tahoma,Negrita"&amp;8SEP 30 / 2013</oddFooter>
  </headerFooter>
  <ignoredErrors>
    <ignoredError sqref="W16" evalError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N214"/>
  <sheetViews>
    <sheetView zoomScale="80" zoomScaleNormal="80" workbookViewId="0"/>
  </sheetViews>
  <sheetFormatPr baseColWidth="10" defaultRowHeight="12.75"/>
  <cols>
    <col min="1" max="1" width="39.85546875" style="155" customWidth="1"/>
    <col min="2" max="2" width="16.5703125" style="155" customWidth="1"/>
    <col min="3" max="3" width="16" style="155" bestFit="1" customWidth="1"/>
    <col min="4" max="4" width="15.5703125" style="155" customWidth="1"/>
    <col min="5" max="5" width="16" style="155" customWidth="1"/>
    <col min="6" max="6" width="16.7109375" style="155" customWidth="1"/>
    <col min="7" max="7" width="15.5703125" style="155" customWidth="1"/>
    <col min="8" max="8" width="16.28515625" style="155" customWidth="1"/>
    <col min="9" max="9" width="15.85546875" style="155" customWidth="1"/>
    <col min="10" max="10" width="14.7109375" style="155" bestFit="1" customWidth="1"/>
    <col min="11" max="11" width="15.42578125" style="155" bestFit="1" customWidth="1"/>
    <col min="12" max="12" width="15.140625" style="155" bestFit="1" customWidth="1"/>
    <col min="13" max="13" width="15.42578125" style="155" bestFit="1" customWidth="1"/>
    <col min="14" max="16384" width="11.42578125" style="155"/>
  </cols>
  <sheetData>
    <row r="1" spans="1:14">
      <c r="A1" s="155" t="s">
        <v>167</v>
      </c>
    </row>
    <row r="3" spans="1:14">
      <c r="B3" s="345">
        <v>42005</v>
      </c>
      <c r="C3" s="345">
        <v>42036</v>
      </c>
      <c r="D3" s="345">
        <v>42064</v>
      </c>
      <c r="E3" s="345">
        <v>42095</v>
      </c>
      <c r="F3" s="345">
        <v>42125</v>
      </c>
      <c r="G3" s="345">
        <v>42156</v>
      </c>
      <c r="H3" s="345">
        <v>42186</v>
      </c>
      <c r="I3" s="345">
        <v>42217</v>
      </c>
      <c r="J3" s="345">
        <v>42248</v>
      </c>
      <c r="K3" s="345"/>
      <c r="L3" s="345"/>
      <c r="M3" s="345"/>
      <c r="N3" s="345"/>
    </row>
    <row r="4" spans="1:14" hidden="1">
      <c r="A4" s="155" t="s">
        <v>258</v>
      </c>
      <c r="B4" s="346">
        <v>15775814.020000005</v>
      </c>
      <c r="C4" s="346">
        <v>28957969.200000007</v>
      </c>
      <c r="D4" s="346">
        <v>14799054.310000069</v>
      </c>
      <c r="E4" s="346">
        <v>13538045.150000047</v>
      </c>
      <c r="F4" s="346"/>
      <c r="G4" s="346"/>
      <c r="H4" s="346"/>
      <c r="I4" s="346"/>
      <c r="J4" s="346"/>
    </row>
    <row r="5" spans="1:14">
      <c r="A5" s="155" t="s">
        <v>259</v>
      </c>
      <c r="B5" s="347">
        <f>+ACUMULADO!J171</f>
        <v>2.9119939124606392E-2</v>
      </c>
      <c r="C5" s="347">
        <f>+ACUMULADO!K171</f>
        <v>-0.34836788715587591</v>
      </c>
      <c r="D5" s="347">
        <f>+ACUMULADO!L171</f>
        <v>-9.8445968842760037E-2</v>
      </c>
      <c r="E5" s="347">
        <f>+ACUMULADO!M171</f>
        <v>-2.4992279744395409E-2</v>
      </c>
      <c r="F5" s="347">
        <f>+ACUMULADO!N171</f>
        <v>-5.1556485950316144E-2</v>
      </c>
      <c r="G5" s="347">
        <f>+ACUMULADO!O171</f>
        <v>-4.1910257595220914E-2</v>
      </c>
      <c r="H5" s="347">
        <f>+ACUMULADO!P171</f>
        <v>-2.4958420846952156E-2</v>
      </c>
      <c r="I5" s="347">
        <f>+ACUMULADO!Q171</f>
        <v>-7.0502027686190005E-4</v>
      </c>
      <c r="J5" s="347">
        <f>+ACUMULADO!R171</f>
        <v>1.7949844230221737E-2</v>
      </c>
      <c r="K5" s="347"/>
      <c r="L5" s="347"/>
      <c r="M5" s="347"/>
    </row>
    <row r="23" spans="1:14">
      <c r="A23" s="155" t="s">
        <v>261</v>
      </c>
    </row>
    <row r="25" spans="1:14">
      <c r="B25" s="345">
        <v>42005</v>
      </c>
      <c r="C25" s="345">
        <v>42036</v>
      </c>
      <c r="D25" s="345">
        <v>42064</v>
      </c>
      <c r="E25" s="345">
        <v>42095</v>
      </c>
      <c r="F25" s="345">
        <v>42125</v>
      </c>
      <c r="G25" s="345">
        <v>42156</v>
      </c>
      <c r="H25" s="345">
        <v>42186</v>
      </c>
      <c r="I25" s="345">
        <v>42217</v>
      </c>
      <c r="J25" s="345">
        <v>42248</v>
      </c>
      <c r="K25" s="345"/>
      <c r="L25" s="345"/>
      <c r="M25" s="345"/>
      <c r="N25" s="345"/>
    </row>
    <row r="26" spans="1:14">
      <c r="A26" s="155" t="s">
        <v>260</v>
      </c>
      <c r="B26" s="201">
        <f>+ACUMULADO!J47</f>
        <v>503103330.56999993</v>
      </c>
      <c r="C26" s="201">
        <f>+ACUMULADO!K47</f>
        <v>406946346.54999995</v>
      </c>
      <c r="D26" s="201">
        <f>+ACUMULADO!L47</f>
        <v>551167967.50000012</v>
      </c>
      <c r="E26" s="201">
        <f>+ACUMULADO!M47</f>
        <v>515544040.59000003</v>
      </c>
      <c r="F26" s="201">
        <f>+ACUMULADO!N47</f>
        <v>446091234.38</v>
      </c>
      <c r="G26" s="201">
        <f>+ACUMULADO!O47</f>
        <v>414623393.74000001</v>
      </c>
      <c r="H26" s="201">
        <f>+ACUMULADO!P47</f>
        <v>497030209.69000006</v>
      </c>
      <c r="I26" s="201">
        <f>+ACUMULADO!Q47</f>
        <v>499192530.00999987</v>
      </c>
      <c r="J26" s="201">
        <f>+ACUMULADO!R47</f>
        <v>520468673</v>
      </c>
      <c r="K26" s="201"/>
      <c r="L26" s="201"/>
      <c r="M26" s="201"/>
    </row>
    <row r="43" spans="1:14">
      <c r="A43" s="155" t="s">
        <v>177</v>
      </c>
    </row>
    <row r="45" spans="1:14">
      <c r="B45" s="345">
        <v>42005</v>
      </c>
      <c r="C45" s="345">
        <v>42036</v>
      </c>
      <c r="D45" s="345">
        <v>42064</v>
      </c>
      <c r="E45" s="345">
        <v>42095</v>
      </c>
      <c r="F45" s="345">
        <v>42125</v>
      </c>
      <c r="G45" s="345">
        <v>42156</v>
      </c>
      <c r="H45" s="345">
        <v>42186</v>
      </c>
      <c r="I45" s="345">
        <v>42217</v>
      </c>
      <c r="J45" s="345">
        <v>42248</v>
      </c>
      <c r="K45" s="345"/>
      <c r="L45" s="345"/>
      <c r="M45" s="345"/>
      <c r="N45" s="345"/>
    </row>
    <row r="46" spans="1:14">
      <c r="A46" s="155" t="s">
        <v>11</v>
      </c>
      <c r="B46" s="184">
        <f>+ACUMULADO!J21</f>
        <v>105783915.42</v>
      </c>
      <c r="C46" s="184">
        <f>+ACUMULADO!K21</f>
        <v>104748463.3</v>
      </c>
      <c r="D46" s="184">
        <f>+ACUMULADO!L21</f>
        <v>126428079.25</v>
      </c>
      <c r="E46" s="184">
        <f>+ACUMULADO!M21</f>
        <v>125046701.34</v>
      </c>
      <c r="F46" s="184">
        <f>+ACUMULADO!N21</f>
        <v>123052360.14</v>
      </c>
      <c r="G46" s="184">
        <f>+ACUMULADO!O21</f>
        <v>126366146.87</v>
      </c>
      <c r="H46" s="184">
        <f>+ACUMULADO!P21</f>
        <v>111074071</v>
      </c>
      <c r="I46" s="184">
        <f>+ACUMULADO!Q21</f>
        <v>104908236.28</v>
      </c>
      <c r="J46" s="184">
        <f>+ACUMULADO!R21</f>
        <v>100681779</v>
      </c>
      <c r="K46" s="184"/>
      <c r="L46" s="184"/>
      <c r="M46" s="184"/>
    </row>
    <row r="48" spans="1:14">
      <c r="L48" s="286"/>
    </row>
    <row r="64" spans="1:1">
      <c r="A64" s="290" t="s">
        <v>327</v>
      </c>
    </row>
    <row r="66" spans="1:14">
      <c r="B66" s="345">
        <v>42005</v>
      </c>
      <c r="C66" s="345">
        <v>42036</v>
      </c>
      <c r="D66" s="345">
        <v>42064</v>
      </c>
      <c r="E66" s="345">
        <v>42095</v>
      </c>
      <c r="F66" s="345">
        <v>42125</v>
      </c>
      <c r="G66" s="345">
        <v>42156</v>
      </c>
      <c r="H66" s="345">
        <v>42186</v>
      </c>
      <c r="I66" s="345">
        <v>42217</v>
      </c>
      <c r="J66" s="345">
        <v>42248</v>
      </c>
      <c r="K66" s="345"/>
      <c r="L66" s="345"/>
      <c r="M66" s="345"/>
      <c r="N66" s="345"/>
    </row>
    <row r="67" spans="1:14">
      <c r="A67" s="290" t="s">
        <v>262</v>
      </c>
      <c r="B67" s="190">
        <f>+ACUMULADO!J110</f>
        <v>0.44324622553915116</v>
      </c>
      <c r="C67" s="190">
        <f>+ACUMULADO!K110</f>
        <v>0.4236524590986942</v>
      </c>
      <c r="D67" s="190">
        <f>+ACUMULADO!L110</f>
        <v>0.38012877519577071</v>
      </c>
      <c r="E67" s="190">
        <f>+ACUMULADO!M110</f>
        <v>0.44167856957035523</v>
      </c>
      <c r="F67" s="190">
        <f>+ACUMULADO!N110</f>
        <v>0.41711351276248343</v>
      </c>
      <c r="G67" s="190">
        <f>+ACUMULADO!O110</f>
        <v>0.3912278045497446</v>
      </c>
      <c r="H67" s="190">
        <f>+ACUMULADO!P110</f>
        <v>0.37945623978385551</v>
      </c>
      <c r="I67" s="190">
        <f>+ACUMULADO!Q110</f>
        <v>0.36211672600747008</v>
      </c>
      <c r="J67" s="190">
        <f>+ACUMULADO!R110</f>
        <v>0.37533771795549886</v>
      </c>
      <c r="K67" s="190"/>
      <c r="L67" s="190"/>
      <c r="M67" s="348"/>
    </row>
    <row r="85" spans="1:14">
      <c r="A85" s="155" t="s">
        <v>263</v>
      </c>
    </row>
    <row r="86" spans="1:14">
      <c r="B86" s="345">
        <v>42005</v>
      </c>
      <c r="C86" s="345">
        <v>42036</v>
      </c>
      <c r="D86" s="345">
        <v>42064</v>
      </c>
      <c r="E86" s="345">
        <v>42095</v>
      </c>
      <c r="F86" s="345">
        <v>42125</v>
      </c>
      <c r="G86" s="345">
        <v>42156</v>
      </c>
      <c r="H86" s="345">
        <v>42186</v>
      </c>
      <c r="I86" s="345">
        <v>42217</v>
      </c>
      <c r="J86" s="345">
        <v>42248</v>
      </c>
      <c r="K86" s="345"/>
      <c r="L86" s="345"/>
      <c r="M86" s="345"/>
      <c r="N86" s="345"/>
    </row>
    <row r="87" spans="1:14">
      <c r="A87" s="155" t="s">
        <v>263</v>
      </c>
      <c r="B87" s="349">
        <f>+ACUMULADO!J52</f>
        <v>3.0814197275246178</v>
      </c>
      <c r="C87" s="349">
        <f>+ACUMULADO!K52</f>
        <v>3.0127857313907924</v>
      </c>
      <c r="D87" s="349">
        <f>+ACUMULADO!L52</f>
        <v>2.5717231138121308</v>
      </c>
      <c r="E87" s="349">
        <f>+ACUMULADO!M52</f>
        <v>2.3107620931282731</v>
      </c>
      <c r="F87" s="349">
        <f>+ACUMULADO!N52</f>
        <v>2.0260164986260123</v>
      </c>
      <c r="G87" s="349">
        <f>+ACUMULADO!O52</f>
        <v>1.6349144324369229</v>
      </c>
      <c r="H87" s="349">
        <f>+ACUMULADO!P52</f>
        <v>2.3433690390639619</v>
      </c>
      <c r="I87" s="349">
        <f>+ACUMULADO!Q52</f>
        <v>1.8015954921540027</v>
      </c>
      <c r="J87" s="349">
        <f>+ACUMULADO!R52</f>
        <v>2.1688014348897164</v>
      </c>
      <c r="K87" s="350"/>
      <c r="L87" s="350"/>
      <c r="M87" s="351"/>
    </row>
    <row r="105" spans="1:14">
      <c r="B105" s="345">
        <v>42005</v>
      </c>
      <c r="C105" s="345">
        <v>42036</v>
      </c>
      <c r="D105" s="345">
        <v>42064</v>
      </c>
      <c r="E105" s="345">
        <v>42095</v>
      </c>
      <c r="F105" s="345">
        <v>42125</v>
      </c>
      <c r="G105" s="345">
        <v>42156</v>
      </c>
      <c r="H105" s="345">
        <v>42186</v>
      </c>
      <c r="I105" s="345">
        <v>42217</v>
      </c>
      <c r="J105" s="345">
        <v>42248</v>
      </c>
      <c r="K105" s="345"/>
      <c r="L105" s="345"/>
      <c r="M105" s="345"/>
      <c r="N105" s="345"/>
    </row>
    <row r="106" spans="1:14">
      <c r="A106" s="352" t="s">
        <v>85</v>
      </c>
      <c r="B106" s="350">
        <f>+ACUMULADO!J51</f>
        <v>3.6355852679295806</v>
      </c>
      <c r="C106" s="350">
        <f>+ACUMULADO!K51</f>
        <v>3.7104617377476372</v>
      </c>
      <c r="D106" s="350">
        <f>+ACUMULADO!L51</f>
        <v>3.0395622310912147</v>
      </c>
      <c r="E106" s="350">
        <f>+ACUMULADO!M51</f>
        <v>2.730499846788792</v>
      </c>
      <c r="F106" s="350">
        <f>+ACUMULADO!N51</f>
        <v>2.4168479488517529</v>
      </c>
      <c r="G106" s="350">
        <f>+ACUMULADO!O51</f>
        <v>1.9132480781314936</v>
      </c>
      <c r="H106" s="350">
        <f>+ACUMULADO!P51</f>
        <v>2.7299763580475327</v>
      </c>
      <c r="I106" s="350">
        <f>+ACUMULADO!Q51</f>
        <v>2.0148780667560264</v>
      </c>
      <c r="J106" s="350">
        <f>+ACUMULADO!R51</f>
        <v>2.4491270225733786</v>
      </c>
      <c r="K106" s="350"/>
      <c r="L106" s="353"/>
      <c r="M106" s="353"/>
    </row>
    <row r="124" spans="1:14">
      <c r="A124" s="155" t="s">
        <v>88</v>
      </c>
    </row>
    <row r="125" spans="1:14">
      <c r="B125" s="345">
        <v>42005</v>
      </c>
      <c r="C125" s="345">
        <v>42036</v>
      </c>
      <c r="D125" s="345">
        <v>42064</v>
      </c>
      <c r="E125" s="345">
        <v>42095</v>
      </c>
      <c r="F125" s="345">
        <v>42125</v>
      </c>
      <c r="G125" s="345">
        <v>42156</v>
      </c>
      <c r="H125" s="345">
        <v>42186</v>
      </c>
      <c r="I125" s="345">
        <v>42217</v>
      </c>
      <c r="J125" s="345">
        <v>42248</v>
      </c>
      <c r="K125" s="345"/>
      <c r="L125" s="345"/>
      <c r="M125" s="345"/>
      <c r="N125" s="345"/>
    </row>
    <row r="126" spans="1:14">
      <c r="A126" s="354" t="s">
        <v>88</v>
      </c>
      <c r="B126" s="184">
        <f>+ACUMULADO!J57</f>
        <v>130111776</v>
      </c>
      <c r="C126" s="184">
        <f>+ACUMULADO!K57</f>
        <v>109320038</v>
      </c>
      <c r="D126" s="184">
        <f>+ACUMULADO!L57</f>
        <v>190969397</v>
      </c>
      <c r="E126" s="184">
        <f>+ACUMULADO!M57</f>
        <v>188336511</v>
      </c>
      <c r="F126" s="184">
        <f>+ACUMULADO!N57</f>
        <v>244505252</v>
      </c>
      <c r="G126" s="184">
        <f>+ACUMULADO!O57</f>
        <v>363400350</v>
      </c>
      <c r="H126" s="184">
        <f>+ACUMULADO!P57</f>
        <v>195606484</v>
      </c>
      <c r="I126" s="184">
        <f>+ACUMULADO!Q57</f>
        <v>375965174</v>
      </c>
      <c r="J126" s="184">
        <f>+ACUMULADO!R57</f>
        <v>290214402</v>
      </c>
      <c r="K126" s="355"/>
      <c r="L126" s="184"/>
      <c r="M126" s="355"/>
    </row>
    <row r="146" spans="1:10">
      <c r="B146" s="345">
        <v>42005</v>
      </c>
      <c r="C146" s="345">
        <v>42036</v>
      </c>
      <c r="D146" s="345">
        <v>42064</v>
      </c>
      <c r="E146" s="345">
        <v>42095</v>
      </c>
      <c r="F146" s="345">
        <v>42125</v>
      </c>
      <c r="G146" s="345">
        <v>42156</v>
      </c>
      <c r="H146" s="345">
        <v>42186</v>
      </c>
      <c r="I146" s="345">
        <v>42217</v>
      </c>
      <c r="J146" s="345">
        <v>42248</v>
      </c>
    </row>
    <row r="147" spans="1:10">
      <c r="A147" s="155" t="s">
        <v>61</v>
      </c>
      <c r="B147" s="374">
        <f>+ACUMULADO!J22</f>
        <v>25.549669060284689</v>
      </c>
      <c r="C147" s="374">
        <f>+ACUMULADO!K22</f>
        <v>35.35382621306848</v>
      </c>
      <c r="D147" s="374">
        <f>+ACUMULADO!L22</f>
        <v>23.242437523073608</v>
      </c>
      <c r="E147" s="374">
        <f>+ACUMULADO!M22</f>
        <v>22.545912708472351</v>
      </c>
      <c r="F147" s="374">
        <f>+ACUMULADO!N22</f>
        <v>21.582745796006719</v>
      </c>
      <c r="G147" s="374">
        <f>+ACUMULADO!O22</f>
        <v>20.5037766870703</v>
      </c>
      <c r="H147" s="374">
        <f>+ACUMULADO!P22</f>
        <v>17.111858112095593</v>
      </c>
      <c r="I147" s="374">
        <f>+ACUMULADO!Q22</f>
        <v>14.631474187942322</v>
      </c>
      <c r="J147" s="374">
        <f>+ACUMULADO!R22</f>
        <v>13.61767093421728</v>
      </c>
    </row>
    <row r="167" spans="1:10">
      <c r="B167" s="345">
        <v>42005</v>
      </c>
      <c r="C167" s="345">
        <v>42036</v>
      </c>
      <c r="D167" s="345">
        <v>42064</v>
      </c>
      <c r="E167" s="345">
        <v>42095</v>
      </c>
      <c r="F167" s="345">
        <v>42125</v>
      </c>
      <c r="G167" s="345">
        <v>42156</v>
      </c>
      <c r="H167" s="345">
        <v>42186</v>
      </c>
      <c r="I167" s="345">
        <v>42217</v>
      </c>
      <c r="J167" s="345">
        <v>42248</v>
      </c>
    </row>
    <row r="168" spans="1:10">
      <c r="A168" s="231" t="s">
        <v>124</v>
      </c>
      <c r="B168" s="346">
        <f>+MENSUAL!J111</f>
        <v>20905605</v>
      </c>
      <c r="C168" s="346">
        <f>+MENSUAL!K111</f>
        <v>36958558</v>
      </c>
      <c r="D168" s="346">
        <f>+MENSUAL!L111</f>
        <v>38041483.640000001</v>
      </c>
      <c r="E168" s="346">
        <f>+MENSUAL!M111</f>
        <v>26730247</v>
      </c>
      <c r="F168" s="346">
        <f>+MENSUAL!N111</f>
        <v>33631961.569871113</v>
      </c>
      <c r="G168" s="346">
        <f>+MENSUAL!O111</f>
        <v>36777849.107281893</v>
      </c>
      <c r="H168" s="346">
        <f>+MENSUAL!P111</f>
        <v>35361640.372846991</v>
      </c>
      <c r="I168" s="346">
        <f>+MENSUAL!Q111</f>
        <v>31375192</v>
      </c>
      <c r="J168" s="346">
        <f>+MENSUAL!R111</f>
        <v>43396219.910000026</v>
      </c>
    </row>
    <row r="169" spans="1:10">
      <c r="A169" s="231" t="s">
        <v>127</v>
      </c>
      <c r="B169" s="346">
        <f>+MENSUAL!J114</f>
        <v>1850034</v>
      </c>
      <c r="C169" s="346">
        <f>+MENSUAL!K114</f>
        <v>7653326</v>
      </c>
      <c r="D169" s="346">
        <f>+MENSUAL!L114</f>
        <v>18577286</v>
      </c>
      <c r="E169" s="346">
        <f>+MENSUAL!M114</f>
        <v>7921754</v>
      </c>
      <c r="F169" s="346">
        <f>+MENSUAL!N114</f>
        <v>12377503</v>
      </c>
      <c r="G169" s="346">
        <f>+MENSUAL!O114</f>
        <v>10380392</v>
      </c>
      <c r="H169" s="346">
        <f>+MENSUAL!P114</f>
        <v>10992414</v>
      </c>
      <c r="I169" s="346">
        <f>+MENSUAL!Q114</f>
        <v>11516574</v>
      </c>
      <c r="J169" s="346">
        <f>+MENSUAL!R114</f>
        <v>11770245</v>
      </c>
    </row>
    <row r="170" spans="1:10">
      <c r="A170" s="207" t="s">
        <v>128</v>
      </c>
      <c r="B170" s="375">
        <f>+MENSUAL!J115</f>
        <v>1.4413971453521721E-2</v>
      </c>
      <c r="C170" s="375">
        <f>+MENSUAL!K115</f>
        <v>0.16473386164451762</v>
      </c>
      <c r="D170" s="375">
        <f>+MENSUAL!L115</f>
        <v>5.9022453448380856E-2</v>
      </c>
      <c r="E170" s="375">
        <f>+MENSUAL!M115</f>
        <v>4.5010126257665699E-2</v>
      </c>
      <c r="F170" s="375">
        <f>+MENSUAL!N115</f>
        <v>6.3358307138926179E-2</v>
      </c>
      <c r="G170" s="375">
        <f>+MENSUAL!O115</f>
        <v>4.077133419030813E-2</v>
      </c>
      <c r="H170" s="375">
        <f>+MENSUAL!P115</f>
        <v>4.2182908633407547E-2</v>
      </c>
      <c r="I170" s="375">
        <f>+MENSUAL!Q115</f>
        <v>3.1447574417736122E-2</v>
      </c>
      <c r="J170" s="375">
        <f>+MENSUAL!R115</f>
        <v>4.1519066576557469E-2</v>
      </c>
    </row>
    <row r="171" spans="1:10">
      <c r="A171" s="207" t="s">
        <v>125</v>
      </c>
      <c r="B171" s="375">
        <f>+MENSUAL!J112</f>
        <v>0.16287959772015054</v>
      </c>
      <c r="C171" s="375">
        <f>+MENSUAL!K112</f>
        <v>0.79551373875265208</v>
      </c>
      <c r="D171" s="375">
        <f>+MENSUAL!L112</f>
        <v>0.12086274051275531</v>
      </c>
      <c r="E171" s="375">
        <f>+MENSUAL!M112</f>
        <v>0.1518769444707056</v>
      </c>
      <c r="F171" s="375">
        <f>+MENSUAL!N112</f>
        <v>0.17215622172165546</v>
      </c>
      <c r="G171" s="375">
        <f>+MENSUAL!O112</f>
        <v>0.1444533093503324</v>
      </c>
      <c r="H171" s="375">
        <f>+MENSUAL!P112</f>
        <v>0.13569875051787716</v>
      </c>
      <c r="I171" s="375">
        <f>+MENSUAL!Q112</f>
        <v>8.5674236564690087E-2</v>
      </c>
      <c r="J171" s="375">
        <f>+MENSUAL!R112</f>
        <v>0.15307842305867209</v>
      </c>
    </row>
    <row r="191" spans="1:10">
      <c r="B191" s="345">
        <v>42005</v>
      </c>
      <c r="C191" s="345">
        <v>42036</v>
      </c>
      <c r="D191" s="345">
        <v>42064</v>
      </c>
      <c r="E191" s="345">
        <v>42095</v>
      </c>
      <c r="F191" s="345">
        <v>42125</v>
      </c>
      <c r="G191" s="345">
        <v>42156</v>
      </c>
      <c r="H191" s="345">
        <v>42186</v>
      </c>
      <c r="I191" s="345">
        <v>42217</v>
      </c>
      <c r="J191" s="345">
        <v>42248</v>
      </c>
    </row>
    <row r="192" spans="1:10">
      <c r="A192" s="207" t="s">
        <v>181</v>
      </c>
      <c r="B192" s="376">
        <f>+MENSUAL!J99</f>
        <v>0.55675377446084884</v>
      </c>
      <c r="C192" s="376">
        <f>+MENSUAL!K99</f>
        <v>0.6304786151063535</v>
      </c>
      <c r="D192" s="376">
        <f>+MENSUAL!L99</f>
        <v>0.6440438538814891</v>
      </c>
      <c r="E192" s="376">
        <f>+MENSUAL!M99</f>
        <v>0.38711508262020905</v>
      </c>
      <c r="F192" s="376">
        <f>+MENSUAL!N99</f>
        <v>0.66657656319891212</v>
      </c>
      <c r="G192" s="376">
        <f>+MENSUAL!O99</f>
        <v>0.69630310072786905</v>
      </c>
      <c r="H192" s="376">
        <f>+MENSUAL!P99</f>
        <v>0.67093477416003522</v>
      </c>
      <c r="I192" s="376">
        <f>+MENSUAL!Q99</f>
        <v>0.7030389336546512</v>
      </c>
      <c r="J192" s="376">
        <f>+MENSUAL!R99</f>
        <v>0.54340657139524418</v>
      </c>
    </row>
    <row r="213" spans="1:10">
      <c r="B213" s="345">
        <v>42005</v>
      </c>
      <c r="C213" s="345">
        <v>42036</v>
      </c>
      <c r="D213" s="345">
        <v>42064</v>
      </c>
      <c r="E213" s="345">
        <v>42095</v>
      </c>
      <c r="F213" s="345">
        <v>42125</v>
      </c>
      <c r="G213" s="345">
        <v>42156</v>
      </c>
      <c r="H213" s="345">
        <v>42186</v>
      </c>
      <c r="I213" s="345">
        <v>42217</v>
      </c>
      <c r="J213" s="345">
        <v>42248</v>
      </c>
    </row>
    <row r="214" spans="1:10">
      <c r="A214" s="207" t="s">
        <v>155</v>
      </c>
      <c r="B214" s="376">
        <f>+ACUMULADO!J147</f>
        <v>7.8030592162758705E-2</v>
      </c>
      <c r="C214" s="376">
        <f>+ACUMULADO!K147</f>
        <v>-1.7567065668816033</v>
      </c>
      <c r="D214" s="376">
        <f>+ACUMULADO!L147</f>
        <v>-1.3693845632005268</v>
      </c>
      <c r="E214" s="376">
        <f>+ACUMULADO!M147</f>
        <v>-0.46720720790249171</v>
      </c>
      <c r="F214" s="376">
        <f>+ACUMULADO!N147</f>
        <v>-1.2633760845595183</v>
      </c>
      <c r="G214" s="376">
        <f>+ACUMULADO!O147</f>
        <v>-1.3335544693321986</v>
      </c>
      <c r="H214" s="376">
        <f>+ACUMULADO!P147</f>
        <v>-0.99676761853032547</v>
      </c>
      <c r="I214" s="376">
        <f>+ACUMULADO!Q147</f>
        <v>-0.1362834574774856</v>
      </c>
      <c r="J214" s="376">
        <f>+ACUMULADO!R147</f>
        <v>0.70515425385420805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R54"/>
  <sheetViews>
    <sheetView zoomScale="90" zoomScaleNormal="90" workbookViewId="0">
      <pane xSplit="1" ySplit="5" topLeftCell="O6" activePane="bottomRight" state="frozen"/>
      <selection pane="topRight" activeCell="B1" sqref="B1"/>
      <selection pane="bottomLeft" activeCell="A6" sqref="A6"/>
      <selection pane="bottomRight" activeCell="S6" sqref="S6"/>
    </sheetView>
  </sheetViews>
  <sheetFormatPr baseColWidth="10" defaultRowHeight="14.25" outlineLevelRow="1" outlineLevelCol="1"/>
  <cols>
    <col min="1" max="1" width="46" style="141" customWidth="1"/>
    <col min="2" max="2" width="14" style="141" customWidth="1"/>
    <col min="3" max="14" width="15" style="141" hidden="1" customWidth="1" outlineLevel="1"/>
    <col min="15" max="15" width="17.28515625" style="141" bestFit="1" customWidth="1" collapsed="1"/>
    <col min="16" max="16" width="21.7109375" style="141" bestFit="1" customWidth="1"/>
    <col min="17" max="17" width="21.85546875" style="141" customWidth="1"/>
    <col min="18" max="18" width="18.85546875" style="141" customWidth="1"/>
    <col min="19" max="16384" width="11.42578125" style="141"/>
  </cols>
  <sheetData>
    <row r="1" spans="1:18" ht="19.5">
      <c r="A1" s="135" t="s">
        <v>273</v>
      </c>
      <c r="B1" s="135"/>
      <c r="C1" s="136"/>
      <c r="D1" s="136"/>
      <c r="E1" s="136"/>
      <c r="F1" s="136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</row>
    <row r="2" spans="1:18" ht="15">
      <c r="A2" s="139" t="s">
        <v>310</v>
      </c>
      <c r="B2" s="139"/>
      <c r="C2" s="136"/>
      <c r="D2" s="136"/>
      <c r="E2" s="136"/>
      <c r="F2" s="136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</row>
    <row r="3" spans="1:18" ht="15.75" thickBot="1">
      <c r="A3" s="139">
        <v>2015</v>
      </c>
      <c r="B3" s="138"/>
      <c r="C3" s="136"/>
      <c r="D3" s="136"/>
      <c r="E3" s="136"/>
      <c r="F3" s="136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</row>
    <row r="4" spans="1:18" ht="16.5" customHeight="1">
      <c r="A4" s="390" t="s">
        <v>316</v>
      </c>
      <c r="B4" s="392" t="s">
        <v>317</v>
      </c>
      <c r="C4" s="396" t="s">
        <v>334</v>
      </c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8"/>
      <c r="P4" s="394" t="s">
        <v>335</v>
      </c>
      <c r="Q4" s="394" t="s">
        <v>325</v>
      </c>
      <c r="R4" s="388" t="s">
        <v>329</v>
      </c>
    </row>
    <row r="5" spans="1:18" ht="15" thickBot="1">
      <c r="A5" s="391"/>
      <c r="B5" s="393"/>
      <c r="C5" s="356" t="s">
        <v>337</v>
      </c>
      <c r="D5" s="357" t="s">
        <v>338</v>
      </c>
      <c r="E5" s="357" t="s">
        <v>339</v>
      </c>
      <c r="F5" s="357" t="s">
        <v>340</v>
      </c>
      <c r="G5" s="357" t="s">
        <v>344</v>
      </c>
      <c r="H5" s="357" t="s">
        <v>341</v>
      </c>
      <c r="I5" s="357" t="s">
        <v>342</v>
      </c>
      <c r="J5" s="359" t="s">
        <v>343</v>
      </c>
      <c r="K5" s="357" t="s">
        <v>348</v>
      </c>
      <c r="L5" s="357"/>
      <c r="M5" s="357"/>
      <c r="N5" s="357"/>
      <c r="O5" s="358"/>
      <c r="P5" s="395"/>
      <c r="Q5" s="395"/>
      <c r="R5" s="389"/>
    </row>
    <row r="6" spans="1:18">
      <c r="A6" s="142" t="s">
        <v>2</v>
      </c>
      <c r="B6" s="143"/>
      <c r="C6" s="132">
        <f>+'CIFRAS EEFF'!G59</f>
        <v>128350053</v>
      </c>
      <c r="D6" s="132">
        <f>+'CIFRAS EEFF'!H57-'CIFRAS EEFF'!G57</f>
        <v>46458730</v>
      </c>
      <c r="E6" s="132">
        <f>+'CIFRAS EEFF'!I57-'CIFRAS EEFF'!H57</f>
        <v>314749471</v>
      </c>
      <c r="F6" s="132">
        <f>+'CIFRAS EEFF'!J57-'CIFRAS EEFF'!I57</f>
        <v>175999373</v>
      </c>
      <c r="G6" s="132">
        <f>+'CIFRAS EEFF'!K57-'CIFRAS EEFF'!J57</f>
        <v>195357224</v>
      </c>
      <c r="H6" s="132">
        <f>+'CIFRAS EEFF'!L57-'CIFRAS EEFF'!K57</f>
        <v>254600253</v>
      </c>
      <c r="I6" s="132">
        <v>260589285</v>
      </c>
      <c r="J6" s="129">
        <v>366215017</v>
      </c>
      <c r="K6" s="129">
        <v>283490116</v>
      </c>
      <c r="L6" s="129"/>
      <c r="M6" s="129"/>
      <c r="N6" s="129">
        <v>0</v>
      </c>
      <c r="O6" s="129">
        <f>SUM(C6:N6)</f>
        <v>2025809522</v>
      </c>
      <c r="P6" s="129">
        <v>1996499996</v>
      </c>
      <c r="Q6" s="129">
        <f>+O6-P6</f>
        <v>29309526</v>
      </c>
      <c r="R6" s="120">
        <f>1+Q6/P6</f>
        <v>1.0146804538235521</v>
      </c>
    </row>
    <row r="7" spans="1:18">
      <c r="A7" s="142" t="s">
        <v>311</v>
      </c>
      <c r="B7" s="143"/>
      <c r="C7" s="133">
        <f>+'CIFRAS EEFF'!G102</f>
        <v>3376158</v>
      </c>
      <c r="D7" s="133">
        <f>+'CIFRAS EEFF'!H102-'CIFRAS EEFF'!G102</f>
        <v>989316.09999999963</v>
      </c>
      <c r="E7" s="133">
        <f>+'CIFRAS EEFF'!I102-'CIFRAS EEFF'!H102+12000</f>
        <v>3636256</v>
      </c>
      <c r="F7" s="133">
        <f>+'CIFRAS EEFF'!J102-'CIFRAS EEFF'!I102</f>
        <v>2355829</v>
      </c>
      <c r="G7" s="133">
        <f>+'CIFRAS EEFF'!K102-'CIFRAS EEFF'!J102</f>
        <v>2124320.8000000007</v>
      </c>
      <c r="H7" s="133">
        <f>+'CIFRAS EEFF'!L102-'CIFRAS EEFF'!K102</f>
        <v>6779477.0999999996</v>
      </c>
      <c r="I7" s="133">
        <v>1984461</v>
      </c>
      <c r="J7" s="127">
        <v>1770785</v>
      </c>
      <c r="K7" s="127">
        <v>1553075</v>
      </c>
      <c r="L7" s="127"/>
      <c r="M7" s="127"/>
      <c r="N7" s="127">
        <v>0</v>
      </c>
      <c r="O7" s="127">
        <f>SUM(C7:N7)-12000</f>
        <v>24557678</v>
      </c>
      <c r="P7" s="127">
        <v>0</v>
      </c>
      <c r="Q7" s="127">
        <f>+O7-P7</f>
        <v>24557678</v>
      </c>
      <c r="R7" s="120">
        <v>9.9999999999999998E-13</v>
      </c>
    </row>
    <row r="8" spans="1:18" ht="15" thickBot="1">
      <c r="A8" s="144" t="s">
        <v>274</v>
      </c>
      <c r="B8" s="145"/>
      <c r="C8" s="128">
        <f t="shared" ref="C8:Q8" si="0">SUM(C6:C7)</f>
        <v>131726211</v>
      </c>
      <c r="D8" s="128">
        <f t="shared" si="0"/>
        <v>47448046.100000001</v>
      </c>
      <c r="E8" s="128">
        <f t="shared" si="0"/>
        <v>318385727</v>
      </c>
      <c r="F8" s="128">
        <f t="shared" si="0"/>
        <v>178355202</v>
      </c>
      <c r="G8" s="128">
        <f t="shared" si="0"/>
        <v>197481544.80000001</v>
      </c>
      <c r="H8" s="128">
        <f t="shared" ref="H8:I8" si="1">SUM(H6:H7)</f>
        <v>261379730.09999999</v>
      </c>
      <c r="I8" s="128">
        <f t="shared" si="1"/>
        <v>262573746</v>
      </c>
      <c r="J8" s="128">
        <f t="shared" ref="J8:N8" si="2">SUM(J6:J7)</f>
        <v>367985802</v>
      </c>
      <c r="K8" s="128">
        <f t="shared" si="2"/>
        <v>285043191</v>
      </c>
      <c r="L8" s="128">
        <f t="shared" si="2"/>
        <v>0</v>
      </c>
      <c r="M8" s="128">
        <f t="shared" si="2"/>
        <v>0</v>
      </c>
      <c r="N8" s="128">
        <f t="shared" si="2"/>
        <v>0</v>
      </c>
      <c r="O8" s="128">
        <f>SUM(C8:N8)</f>
        <v>2050379200</v>
      </c>
      <c r="P8" s="128">
        <f>SUM(P6:P7)</f>
        <v>1996499996</v>
      </c>
      <c r="Q8" s="128">
        <f t="shared" si="0"/>
        <v>53867204</v>
      </c>
      <c r="R8" s="120">
        <f>1+Q8/P8</f>
        <v>1.0269808184863127</v>
      </c>
    </row>
    <row r="9" spans="1:18">
      <c r="A9" s="146" t="s">
        <v>309</v>
      </c>
      <c r="B9" s="147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30"/>
      <c r="Q9" s="112"/>
      <c r="R9" s="112"/>
    </row>
    <row r="10" spans="1:18">
      <c r="A10" s="114" t="s">
        <v>314</v>
      </c>
      <c r="B10" s="148"/>
      <c r="C10" s="130">
        <f>+'CIFRAS EEFF'!G70+'CIFRAS EEFF'!G84+'CIFRAS EEFF'!G85+'CIFRAS EEFF'!G86+'CIFRAS EEFF'!G87+'CIFRAS EEFF'!G88+'CIFRAS EEFF'!G89</f>
        <v>23358011</v>
      </c>
      <c r="D10" s="130">
        <f>+'CIFRAS EEFF'!H70+'CIFRAS EEFF'!H84+'CIFRAS EEFF'!H85+'CIFRAS EEFF'!H86+'CIFRAS EEFF'!H87+'CIFRAS EEFF'!H88+'CIFRAS EEFF'!H89-C10</f>
        <v>46761835</v>
      </c>
      <c r="E10" s="130">
        <f>+'CIFRAS EEFF'!I70+'CIFRAS EEFF'!I84+'CIFRAS EEFF'!I85+'CIFRAS EEFF'!I86+'CIFRAS EEFF'!I87+'CIFRAS EEFF'!I88+'CIFRAS EEFF'!I89-D10-C10</f>
        <v>59559011</v>
      </c>
      <c r="F10" s="130">
        <f>+'CIFRAS EEFF'!J70+'CIFRAS EEFF'!J84+'CIFRAS EEFF'!J85+'CIFRAS EEFF'!J86+'CIFRAS EEFF'!J87+'CIFRAS EEFF'!J88+'CIFRAS EEFF'!J89-E10-C10-D10</f>
        <v>44352795.420000017</v>
      </c>
      <c r="G10" s="130">
        <f>+'CIFRAS EEFF'!K70+'CIFRAS EEFF'!K84+'CIFRAS EEFF'!K85+'CIFRAS EEFF'!K86+'CIFRAS EEFF'!K87+'CIFRAS EEFF'!K88+'CIFRAS EEFF'!K89-F10-E10-D10-C10</f>
        <v>50436410</v>
      </c>
      <c r="H10" s="130">
        <f>+'CIFRAS EEFF'!L70+'CIFRAS EEFF'!L84+'CIFRAS EEFF'!L85+'CIFRAS EEFF'!L86+'CIFRAS EEFF'!L87+'CIFRAS EEFF'!L88+'CIFRAS EEFF'!L89-G10-C10-D10-E10-F10</f>
        <v>50002212.579999685</v>
      </c>
      <c r="I10" s="130">
        <f>SUM(I11:I26)</f>
        <v>51399803</v>
      </c>
      <c r="J10" s="130">
        <f>SUM(J11:J26)</f>
        <v>53879023</v>
      </c>
      <c r="K10" s="130">
        <f>SUM(K11:K26)</f>
        <v>47939632</v>
      </c>
      <c r="L10" s="130"/>
      <c r="M10" s="130"/>
      <c r="N10" s="130"/>
      <c r="O10" s="130">
        <f t="shared" ref="O10:O32" si="3">SUM(C10:N10)</f>
        <v>427688732.9999997</v>
      </c>
      <c r="P10" s="130">
        <f>SUM(P11:P26)</f>
        <v>463695859</v>
      </c>
      <c r="Q10" s="126">
        <f>+P10-O10</f>
        <v>36007126.000000298</v>
      </c>
      <c r="R10" s="134">
        <f>1-Q10/P10</f>
        <v>0.92234753599557096</v>
      </c>
    </row>
    <row r="11" spans="1:18" ht="15" hidden="1" customHeight="1" outlineLevel="1">
      <c r="A11" s="114" t="s">
        <v>275</v>
      </c>
      <c r="B11" s="118" t="s">
        <v>312</v>
      </c>
      <c r="C11" s="129">
        <v>1400000</v>
      </c>
      <c r="D11" s="129">
        <v>1400000</v>
      </c>
      <c r="E11" s="130">
        <v>1400000</v>
      </c>
      <c r="F11" s="130">
        <v>1400000</v>
      </c>
      <c r="G11" s="130">
        <v>1400000</v>
      </c>
      <c r="H11" s="130">
        <v>1400000</v>
      </c>
      <c r="I11" s="130">
        <v>1400000</v>
      </c>
      <c r="J11" s="130">
        <v>1400000</v>
      </c>
      <c r="K11" s="130">
        <v>1400000</v>
      </c>
      <c r="L11" s="130"/>
      <c r="M11" s="130"/>
      <c r="N11" s="130"/>
      <c r="O11" s="130">
        <f t="shared" si="3"/>
        <v>12600000</v>
      </c>
      <c r="P11" s="130">
        <v>12800000</v>
      </c>
      <c r="Q11" s="126">
        <f>+P11-O11</f>
        <v>200000</v>
      </c>
      <c r="R11" s="134">
        <f>1-Q11/P11</f>
        <v>0.984375</v>
      </c>
    </row>
    <row r="12" spans="1:18" ht="15" hidden="1" customHeight="1" outlineLevel="1">
      <c r="A12" s="114" t="s">
        <v>276</v>
      </c>
      <c r="B12" s="118" t="s">
        <v>312</v>
      </c>
      <c r="C12" s="129">
        <v>540000</v>
      </c>
      <c r="D12" s="129">
        <v>1100000</v>
      </c>
      <c r="E12" s="130">
        <v>1100000</v>
      </c>
      <c r="F12" s="130">
        <v>1026667</v>
      </c>
      <c r="G12" s="130">
        <v>1100000</v>
      </c>
      <c r="H12" s="130">
        <v>1100000</v>
      </c>
      <c r="I12" s="130">
        <v>1100000</v>
      </c>
      <c r="J12" s="130">
        <v>1100000</v>
      </c>
      <c r="K12" s="130">
        <v>1100000</v>
      </c>
      <c r="L12" s="130"/>
      <c r="M12" s="130"/>
      <c r="N12" s="130"/>
      <c r="O12" s="130">
        <f t="shared" si="3"/>
        <v>9266667</v>
      </c>
      <c r="P12" s="130">
        <v>9900000</v>
      </c>
      <c r="Q12" s="126">
        <f>+P12-O12</f>
        <v>633333</v>
      </c>
      <c r="R12" s="134">
        <f>1-Q12/P12</f>
        <v>0.93602696969696964</v>
      </c>
    </row>
    <row r="13" spans="1:18" ht="15" hidden="1" customHeight="1" outlineLevel="1">
      <c r="A13" s="115" t="s">
        <v>277</v>
      </c>
      <c r="B13" s="118" t="s">
        <v>312</v>
      </c>
      <c r="C13" s="129">
        <v>3100000</v>
      </c>
      <c r="D13" s="129">
        <v>4700000</v>
      </c>
      <c r="E13" s="130">
        <v>4150000</v>
      </c>
      <c r="F13" s="130">
        <v>4700000</v>
      </c>
      <c r="G13" s="130">
        <v>4632000</v>
      </c>
      <c r="H13" s="130">
        <v>4700000</v>
      </c>
      <c r="I13" s="130">
        <v>5449998</v>
      </c>
      <c r="J13" s="130">
        <v>5900000</v>
      </c>
      <c r="K13" s="130">
        <v>4666666</v>
      </c>
      <c r="L13" s="130"/>
      <c r="M13" s="130"/>
      <c r="N13" s="130"/>
      <c r="O13" s="130">
        <f t="shared" si="3"/>
        <v>41998664</v>
      </c>
      <c r="P13" s="130">
        <v>39600000</v>
      </c>
      <c r="Q13" s="126">
        <f>+P13-O13</f>
        <v>-2398664</v>
      </c>
      <c r="R13" s="134">
        <f>1-Q13/P13</f>
        <v>1.0605723232323232</v>
      </c>
    </row>
    <row r="14" spans="1:18" ht="15" hidden="1" customHeight="1" outlineLevel="1">
      <c r="A14" s="116" t="s">
        <v>278</v>
      </c>
      <c r="B14" s="118" t="s">
        <v>312</v>
      </c>
      <c r="C14" s="129">
        <v>720000</v>
      </c>
      <c r="D14" s="129">
        <v>1700000</v>
      </c>
      <c r="E14" s="130">
        <v>1700000</v>
      </c>
      <c r="F14" s="130">
        <v>1700000</v>
      </c>
      <c r="G14" s="130">
        <v>1700000</v>
      </c>
      <c r="H14" s="130">
        <v>1700000</v>
      </c>
      <c r="I14" s="130">
        <v>1700000</v>
      </c>
      <c r="J14" s="130">
        <v>1700000</v>
      </c>
      <c r="K14" s="130">
        <v>1700000</v>
      </c>
      <c r="L14" s="130"/>
      <c r="M14" s="130"/>
      <c r="N14" s="130"/>
      <c r="O14" s="130">
        <f t="shared" si="3"/>
        <v>14320000</v>
      </c>
      <c r="P14" s="130">
        <v>15300000</v>
      </c>
      <c r="Q14" s="126">
        <f>+P14-O14</f>
        <v>980000</v>
      </c>
      <c r="R14" s="134">
        <f t="shared" ref="R14:R43" si="4">1-Q14/P14</f>
        <v>0.93594771241830066</v>
      </c>
    </row>
    <row r="15" spans="1:18" ht="15" hidden="1" customHeight="1" outlineLevel="1">
      <c r="A15" s="115" t="s">
        <v>279</v>
      </c>
      <c r="B15" s="118" t="s">
        <v>312</v>
      </c>
      <c r="C15" s="129">
        <v>1000000</v>
      </c>
      <c r="D15" s="129">
        <v>2000000</v>
      </c>
      <c r="E15" s="130">
        <v>2000000</v>
      </c>
      <c r="F15" s="130">
        <v>2000000</v>
      </c>
      <c r="G15" s="130">
        <v>2000000</v>
      </c>
      <c r="H15" s="130">
        <v>2000000</v>
      </c>
      <c r="I15" s="130">
        <v>2000000</v>
      </c>
      <c r="J15" s="130">
        <v>2000000</v>
      </c>
      <c r="K15" s="130">
        <v>2000000</v>
      </c>
      <c r="L15" s="130"/>
      <c r="M15" s="130"/>
      <c r="N15" s="130"/>
      <c r="O15" s="130">
        <f t="shared" si="3"/>
        <v>17000000</v>
      </c>
      <c r="P15" s="130">
        <v>18000000</v>
      </c>
      <c r="Q15" s="126">
        <f t="shared" ref="Q15:Q26" si="5">+P15-O15</f>
        <v>1000000</v>
      </c>
      <c r="R15" s="134">
        <f t="shared" si="4"/>
        <v>0.94444444444444442</v>
      </c>
    </row>
    <row r="16" spans="1:18" ht="15" hidden="1" customHeight="1" outlineLevel="1">
      <c r="A16" s="115" t="s">
        <v>280</v>
      </c>
      <c r="B16" s="118" t="s">
        <v>312</v>
      </c>
      <c r="C16" s="129">
        <v>1040000</v>
      </c>
      <c r="D16" s="129">
        <v>1200000</v>
      </c>
      <c r="E16" s="130">
        <v>1200000</v>
      </c>
      <c r="F16" s="130">
        <v>240000</v>
      </c>
      <c r="G16" s="130">
        <v>0</v>
      </c>
      <c r="H16" s="130">
        <v>0</v>
      </c>
      <c r="I16" s="130">
        <v>0</v>
      </c>
      <c r="J16" s="130">
        <v>0</v>
      </c>
      <c r="K16" s="130">
        <v>0</v>
      </c>
      <c r="L16" s="130"/>
      <c r="M16" s="130"/>
      <c r="N16" s="130"/>
      <c r="O16" s="130">
        <f t="shared" si="3"/>
        <v>3680000</v>
      </c>
      <c r="P16" s="130">
        <v>0</v>
      </c>
      <c r="Q16" s="126">
        <f>+P16-O16</f>
        <v>-3680000</v>
      </c>
      <c r="R16" s="134" t="e">
        <f t="shared" si="4"/>
        <v>#DIV/0!</v>
      </c>
    </row>
    <row r="17" spans="1:18" ht="15" hidden="1" customHeight="1" outlineLevel="1">
      <c r="A17" s="115" t="s">
        <v>281</v>
      </c>
      <c r="B17" s="118" t="s">
        <v>312</v>
      </c>
      <c r="C17" s="129">
        <v>2400000</v>
      </c>
      <c r="D17" s="129">
        <v>4000000</v>
      </c>
      <c r="E17" s="130">
        <v>6000000</v>
      </c>
      <c r="F17" s="130">
        <v>6000000</v>
      </c>
      <c r="G17" s="130">
        <v>6000000</v>
      </c>
      <c r="H17" s="130">
        <v>6000000</v>
      </c>
      <c r="I17" s="130">
        <v>6000000</v>
      </c>
      <c r="J17" s="130">
        <v>6000000</v>
      </c>
      <c r="K17" s="130">
        <v>6000000</v>
      </c>
      <c r="L17" s="130"/>
      <c r="M17" s="130"/>
      <c r="N17" s="130"/>
      <c r="O17" s="130">
        <f t="shared" si="3"/>
        <v>48400000</v>
      </c>
      <c r="P17" s="130">
        <v>54000000</v>
      </c>
      <c r="Q17" s="126">
        <f t="shared" si="5"/>
        <v>5600000</v>
      </c>
      <c r="R17" s="134">
        <f t="shared" si="4"/>
        <v>0.89629629629629626</v>
      </c>
    </row>
    <row r="18" spans="1:18" ht="15" hidden="1" customHeight="1" outlineLevel="1">
      <c r="A18" s="115" t="s">
        <v>282</v>
      </c>
      <c r="B18" s="118" t="s">
        <v>312</v>
      </c>
      <c r="C18" s="129">
        <v>866667</v>
      </c>
      <c r="D18" s="129">
        <v>1300000</v>
      </c>
      <c r="E18" s="130">
        <v>1300000</v>
      </c>
      <c r="F18" s="130">
        <v>1208066</v>
      </c>
      <c r="G18" s="130">
        <v>1300000</v>
      </c>
      <c r="H18" s="130">
        <v>1300000</v>
      </c>
      <c r="I18" s="130">
        <v>1300000</v>
      </c>
      <c r="J18" s="130">
        <v>1300000</v>
      </c>
      <c r="K18" s="130">
        <v>1300000</v>
      </c>
      <c r="L18" s="130"/>
      <c r="M18" s="130"/>
      <c r="N18" s="130"/>
      <c r="O18" s="130">
        <f t="shared" si="3"/>
        <v>11174733</v>
      </c>
      <c r="P18" s="130">
        <v>11700000</v>
      </c>
      <c r="Q18" s="126">
        <f t="shared" si="5"/>
        <v>525267</v>
      </c>
      <c r="R18" s="134">
        <f t="shared" si="4"/>
        <v>0.95510538461538463</v>
      </c>
    </row>
    <row r="19" spans="1:18" ht="15" hidden="1" customHeight="1" outlineLevel="1">
      <c r="A19" s="115" t="s">
        <v>283</v>
      </c>
      <c r="B19" s="118" t="s">
        <v>312</v>
      </c>
      <c r="C19" s="129">
        <v>1150000</v>
      </c>
      <c r="D19" s="129">
        <v>2300000</v>
      </c>
      <c r="E19" s="130">
        <v>2300000</v>
      </c>
      <c r="F19" s="130">
        <v>2300000</v>
      </c>
      <c r="G19" s="130">
        <v>2300000</v>
      </c>
      <c r="H19" s="130">
        <v>2300000</v>
      </c>
      <c r="I19" s="130">
        <v>2300000</v>
      </c>
      <c r="J19" s="130">
        <v>2146667</v>
      </c>
      <c r="K19" s="130">
        <v>0</v>
      </c>
      <c r="L19" s="130"/>
      <c r="M19" s="130"/>
      <c r="N19" s="130"/>
      <c r="O19" s="130">
        <f t="shared" si="3"/>
        <v>17096667</v>
      </c>
      <c r="P19" s="130">
        <v>24300000</v>
      </c>
      <c r="Q19" s="126">
        <f t="shared" si="5"/>
        <v>7203333</v>
      </c>
      <c r="R19" s="134">
        <f t="shared" si="4"/>
        <v>0.70356654320987655</v>
      </c>
    </row>
    <row r="20" spans="1:18" ht="15" hidden="1" customHeight="1" outlineLevel="1">
      <c r="A20" s="115" t="s">
        <v>284</v>
      </c>
      <c r="B20" s="118" t="s">
        <v>312</v>
      </c>
      <c r="C20" s="129">
        <f>74000+74000</f>
        <v>148000</v>
      </c>
      <c r="D20" s="129">
        <v>74000</v>
      </c>
      <c r="E20" s="130">
        <v>74000</v>
      </c>
      <c r="F20" s="130">
        <v>69067</v>
      </c>
      <c r="G20" s="130">
        <v>74000</v>
      </c>
      <c r="H20" s="130">
        <v>74000</v>
      </c>
      <c r="I20" s="130">
        <v>74000</v>
      </c>
      <c r="J20" s="130">
        <v>74000</v>
      </c>
      <c r="K20" s="130">
        <v>74000</v>
      </c>
      <c r="L20" s="130"/>
      <c r="M20" s="130"/>
      <c r="N20" s="130"/>
      <c r="O20" s="130">
        <f t="shared" si="3"/>
        <v>735067</v>
      </c>
      <c r="P20" s="130">
        <v>666000</v>
      </c>
      <c r="Q20" s="126">
        <f t="shared" si="5"/>
        <v>-69067</v>
      </c>
      <c r="R20" s="134">
        <f t="shared" si="4"/>
        <v>1.1037042042042042</v>
      </c>
    </row>
    <row r="21" spans="1:18" ht="15" hidden="1" customHeight="1" outlineLevel="1">
      <c r="A21" s="115" t="s">
        <v>285</v>
      </c>
      <c r="B21" s="118" t="s">
        <v>312</v>
      </c>
      <c r="C21" s="129">
        <v>2216667</v>
      </c>
      <c r="D21" s="129">
        <f>6000000</f>
        <v>6000000</v>
      </c>
      <c r="E21" s="130">
        <f>4816667</f>
        <v>4816667</v>
      </c>
      <c r="F21" s="130">
        <f>4600000</f>
        <v>4600000</v>
      </c>
      <c r="G21" s="130">
        <f>4383334</f>
        <v>4383334</v>
      </c>
      <c r="H21" s="130">
        <v>4500000</v>
      </c>
      <c r="I21" s="130">
        <v>4050001</v>
      </c>
      <c r="J21" s="130">
        <v>3916667</v>
      </c>
      <c r="K21" s="130">
        <v>3997034</v>
      </c>
      <c r="L21" s="130"/>
      <c r="M21" s="130"/>
      <c r="N21" s="130"/>
      <c r="O21" s="130">
        <f t="shared" si="3"/>
        <v>38480370</v>
      </c>
      <c r="P21" s="130">
        <v>36000000</v>
      </c>
      <c r="Q21" s="126">
        <f t="shared" si="5"/>
        <v>-2480370</v>
      </c>
      <c r="R21" s="134">
        <f t="shared" si="4"/>
        <v>1.0688991666666667</v>
      </c>
    </row>
    <row r="22" spans="1:18" ht="15" hidden="1" customHeight="1" outlineLevel="1">
      <c r="A22" s="114" t="s">
        <v>323</v>
      </c>
      <c r="B22" s="118" t="s">
        <v>312</v>
      </c>
      <c r="C22" s="129">
        <v>821618</v>
      </c>
      <c r="D22" s="129">
        <v>897493</v>
      </c>
      <c r="E22" s="130">
        <v>891290</v>
      </c>
      <c r="F22" s="130">
        <v>495014</v>
      </c>
      <c r="G22" s="130">
        <v>495014</v>
      </c>
      <c r="H22" s="130">
        <v>495014</v>
      </c>
      <c r="I22" s="130">
        <v>515364</v>
      </c>
      <c r="J22" s="130">
        <v>492114</v>
      </c>
      <c r="K22" s="130">
        <v>493614</v>
      </c>
      <c r="L22" s="130"/>
      <c r="M22" s="130"/>
      <c r="N22" s="130"/>
      <c r="O22" s="130">
        <f t="shared" si="3"/>
        <v>5596535</v>
      </c>
      <c r="P22" s="130">
        <v>4480000</v>
      </c>
      <c r="Q22" s="126">
        <f t="shared" si="5"/>
        <v>-1116535</v>
      </c>
      <c r="R22" s="134">
        <f t="shared" si="4"/>
        <v>1.2492265625000001</v>
      </c>
    </row>
    <row r="23" spans="1:18" ht="15" hidden="1" customHeight="1" outlineLevel="1">
      <c r="A23" s="115" t="s">
        <v>289</v>
      </c>
      <c r="B23" s="119" t="s">
        <v>313</v>
      </c>
      <c r="C23" s="129">
        <f>1850034+412000</f>
        <v>2262034</v>
      </c>
      <c r="D23" s="129">
        <f>8765326+18333</f>
        <v>8783659</v>
      </c>
      <c r="E23" s="130">
        <v>7465286</v>
      </c>
      <c r="F23" s="130">
        <f>4521754+112000</f>
        <v>4633754</v>
      </c>
      <c r="G23" s="130">
        <f>7877503+366093</f>
        <v>8243596</v>
      </c>
      <c r="H23" s="130">
        <v>7892392</v>
      </c>
      <c r="I23" s="130">
        <v>7580948</v>
      </c>
      <c r="J23" s="130">
        <v>8233504</v>
      </c>
      <c r="K23" s="130">
        <v>8956536</v>
      </c>
      <c r="L23" s="130"/>
      <c r="M23" s="130"/>
      <c r="N23" s="130"/>
      <c r="O23" s="130">
        <f t="shared" si="3"/>
        <v>64051709</v>
      </c>
      <c r="P23" s="130">
        <v>95808000</v>
      </c>
      <c r="Q23" s="126">
        <f t="shared" si="5"/>
        <v>31756291</v>
      </c>
      <c r="R23" s="134">
        <f t="shared" si="4"/>
        <v>0.66854238685704748</v>
      </c>
    </row>
    <row r="24" spans="1:18" ht="15" hidden="1" customHeight="1" outlineLevel="1">
      <c r="A24" s="114" t="s">
        <v>224</v>
      </c>
      <c r="B24" s="119" t="s">
        <v>313</v>
      </c>
      <c r="C24" s="129">
        <v>16667</v>
      </c>
      <c r="D24" s="129">
        <v>2100000</v>
      </c>
      <c r="E24" s="130">
        <v>13167555</v>
      </c>
      <c r="F24" s="130">
        <v>4400000</v>
      </c>
      <c r="G24" s="130">
        <v>5500000</v>
      </c>
      <c r="H24" s="130">
        <v>5600000</v>
      </c>
      <c r="I24" s="130">
        <v>6233333</v>
      </c>
      <c r="J24" s="130">
        <v>5833333</v>
      </c>
      <c r="K24" s="130">
        <v>5733334</v>
      </c>
      <c r="L24" s="130"/>
      <c r="M24" s="130"/>
      <c r="N24" s="130"/>
      <c r="O24" s="130">
        <f t="shared" si="3"/>
        <v>48584222</v>
      </c>
      <c r="P24" s="130">
        <v>50981625</v>
      </c>
      <c r="Q24" s="126">
        <f t="shared" si="5"/>
        <v>2397403</v>
      </c>
      <c r="R24" s="134">
        <f t="shared" si="4"/>
        <v>0.95297515526427412</v>
      </c>
    </row>
    <row r="25" spans="1:18" ht="15" hidden="1" customHeight="1" outlineLevel="1">
      <c r="A25" s="114" t="s">
        <v>290</v>
      </c>
      <c r="B25" s="119" t="s">
        <v>313</v>
      </c>
      <c r="C25" s="129">
        <v>0</v>
      </c>
      <c r="D25" s="129">
        <v>17700</v>
      </c>
      <c r="E25" s="130">
        <v>40345</v>
      </c>
      <c r="F25" s="130">
        <v>12276</v>
      </c>
      <c r="G25" s="130">
        <v>409635</v>
      </c>
      <c r="H25" s="130">
        <v>37200</v>
      </c>
      <c r="I25" s="130">
        <v>0</v>
      </c>
      <c r="J25" s="130">
        <v>18400</v>
      </c>
      <c r="K25" s="130">
        <v>18400</v>
      </c>
      <c r="L25" s="130"/>
      <c r="M25" s="130"/>
      <c r="N25" s="130"/>
      <c r="O25" s="130">
        <f t="shared" si="3"/>
        <v>553956</v>
      </c>
      <c r="P25" s="130">
        <v>1033594</v>
      </c>
      <c r="Q25" s="126">
        <f t="shared" si="5"/>
        <v>479638</v>
      </c>
      <c r="R25" s="134">
        <f t="shared" si="4"/>
        <v>0.53595125358699836</v>
      </c>
    </row>
    <row r="26" spans="1:18" ht="15" hidden="1" customHeight="1" outlineLevel="1">
      <c r="A26" s="114" t="s">
        <v>291</v>
      </c>
      <c r="B26" s="119" t="s">
        <v>313</v>
      </c>
      <c r="C26" s="129">
        <v>5676358</v>
      </c>
      <c r="D26" s="129">
        <v>9188983</v>
      </c>
      <c r="E26" s="130">
        <v>11953868</v>
      </c>
      <c r="F26" s="130">
        <v>9567951</v>
      </c>
      <c r="G26" s="130">
        <v>10898831</v>
      </c>
      <c r="H26" s="130">
        <v>10903607</v>
      </c>
      <c r="I26" s="130">
        <v>11696159</v>
      </c>
      <c r="J26" s="130">
        <v>13764338</v>
      </c>
      <c r="K26" s="130">
        <v>10500048</v>
      </c>
      <c r="L26" s="130"/>
      <c r="M26" s="130"/>
      <c r="N26" s="130"/>
      <c r="O26" s="130">
        <f t="shared" si="3"/>
        <v>94150143</v>
      </c>
      <c r="P26" s="130">
        <v>89126640</v>
      </c>
      <c r="Q26" s="126">
        <f t="shared" si="5"/>
        <v>-5023503</v>
      </c>
      <c r="R26" s="134">
        <f t="shared" si="4"/>
        <v>1.0563636528876215</v>
      </c>
    </row>
    <row r="27" spans="1:18" collapsed="1">
      <c r="A27" s="114" t="s">
        <v>286</v>
      </c>
      <c r="B27" s="118" t="s">
        <v>312</v>
      </c>
      <c r="C27" s="129">
        <f>+'CIFRAS EEFF'!G71</f>
        <v>1100000</v>
      </c>
      <c r="D27" s="129">
        <f>+'CIFRAS EEFF'!H71-'CIFRAS EEFF'!G71</f>
        <v>1100000</v>
      </c>
      <c r="E27" s="129">
        <f>+'CIFRAS EEFF'!I71-'CIFRAS EEFF'!H71</f>
        <v>1100000</v>
      </c>
      <c r="F27" s="129">
        <f>+'CIFRAS EEFF'!J71-'CIFRAS EEFF'!I71</f>
        <v>1200000</v>
      </c>
      <c r="G27" s="129">
        <f>+'CIFRAS EEFF'!K71-'CIFRAS EEFF'!J71</f>
        <v>1700000</v>
      </c>
      <c r="H27" s="129">
        <f>+'CIFRAS EEFF'!L71-'CIFRAS EEFF'!K71</f>
        <v>1200000</v>
      </c>
      <c r="I27" s="130">
        <v>1200000</v>
      </c>
      <c r="J27" s="130">
        <v>1200000</v>
      </c>
      <c r="K27" s="130">
        <v>1200000</v>
      </c>
      <c r="L27" s="130"/>
      <c r="M27" s="130"/>
      <c r="N27" s="130"/>
      <c r="O27" s="130">
        <f t="shared" si="3"/>
        <v>11000000</v>
      </c>
      <c r="P27" s="130">
        <v>9900000</v>
      </c>
      <c r="Q27" s="130">
        <f t="shared" ref="Q27:Q32" si="6">+P27-O27</f>
        <v>-1100000</v>
      </c>
      <c r="R27" s="134">
        <f t="shared" si="4"/>
        <v>1.1111111111111112</v>
      </c>
    </row>
    <row r="28" spans="1:18" s="149" customFormat="1">
      <c r="A28" s="114" t="s">
        <v>213</v>
      </c>
      <c r="B28" s="118" t="s">
        <v>312</v>
      </c>
      <c r="C28" s="129">
        <f>+'CIFRAS EEFF'!G73</f>
        <v>5347000</v>
      </c>
      <c r="D28" s="129">
        <f>+'CIFRAS EEFF'!H73-'CIFRAS EEFF'!G73</f>
        <v>5347000</v>
      </c>
      <c r="E28" s="129">
        <f>+'CIFRAS EEFF'!I73-'CIFRAS EEFF'!H73</f>
        <v>5810000</v>
      </c>
      <c r="F28" s="129">
        <f>+'CIFRAS EEFF'!J73-'CIFRAS EEFF'!I73</f>
        <v>5810000</v>
      </c>
      <c r="G28" s="129">
        <f>+'CIFRAS EEFF'!K73-'CIFRAS EEFF'!J73</f>
        <v>5810000</v>
      </c>
      <c r="H28" s="129">
        <f>+'CIFRAS EEFF'!L73-'CIFRAS EEFF'!K73</f>
        <v>5810000</v>
      </c>
      <c r="I28" s="130">
        <v>5810000</v>
      </c>
      <c r="J28" s="130">
        <v>5810000</v>
      </c>
      <c r="K28" s="130">
        <v>5810000</v>
      </c>
      <c r="L28" s="130"/>
      <c r="M28" s="130"/>
      <c r="N28" s="130"/>
      <c r="O28" s="130">
        <f t="shared" si="3"/>
        <v>51364000</v>
      </c>
      <c r="P28" s="130">
        <v>54000000</v>
      </c>
      <c r="Q28" s="130">
        <f t="shared" si="6"/>
        <v>2636000</v>
      </c>
      <c r="R28" s="134">
        <f t="shared" si="4"/>
        <v>0.95118518518518513</v>
      </c>
    </row>
    <row r="29" spans="1:18" s="149" customFormat="1">
      <c r="A29" s="114" t="s">
        <v>214</v>
      </c>
      <c r="B29" s="118"/>
      <c r="C29" s="129">
        <f>+'CIFRAS EEFF'!G74</f>
        <v>2258930</v>
      </c>
      <c r="D29" s="129">
        <f>+'CIFRAS EEFF'!H74-'CIFRAS EEFF'!G74</f>
        <v>831010</v>
      </c>
      <c r="E29" s="129">
        <f>+'CIFRAS EEFF'!I74-'CIFRAS EEFF'!H74</f>
        <v>411030</v>
      </c>
      <c r="F29" s="129">
        <f>+'CIFRAS EEFF'!J74-'CIFRAS EEFF'!I74+10000</f>
        <v>776070</v>
      </c>
      <c r="G29" s="129">
        <f>+'CIFRAS EEFF'!K74-'CIFRAS EEFF'!J74</f>
        <v>508690</v>
      </c>
      <c r="H29" s="129">
        <f>+'CIFRAS EEFF'!L74-'CIFRAS EEFF'!K74</f>
        <v>467020</v>
      </c>
      <c r="I29" s="129">
        <v>941679</v>
      </c>
      <c r="J29" s="129">
        <f>938202+40000</f>
        <v>978202</v>
      </c>
      <c r="K29" s="129">
        <v>3003626</v>
      </c>
      <c r="L29" s="129"/>
      <c r="M29" s="129"/>
      <c r="N29" s="129"/>
      <c r="O29" s="130">
        <f t="shared" si="3"/>
        <v>10176257</v>
      </c>
      <c r="P29" s="130">
        <f>5400000+1080000</f>
        <v>6480000</v>
      </c>
      <c r="Q29" s="130">
        <f t="shared" si="6"/>
        <v>-3696257</v>
      </c>
      <c r="R29" s="134">
        <f t="shared" si="4"/>
        <v>1.5704100308641975</v>
      </c>
    </row>
    <row r="30" spans="1:18" s="149" customFormat="1" ht="15" customHeight="1">
      <c r="A30" s="114" t="s">
        <v>287</v>
      </c>
      <c r="B30" s="118" t="s">
        <v>312</v>
      </c>
      <c r="C30" s="129"/>
      <c r="D30" s="129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>
        <f t="shared" si="3"/>
        <v>0</v>
      </c>
      <c r="P30" s="130"/>
      <c r="Q30" s="130">
        <f t="shared" si="6"/>
        <v>0</v>
      </c>
      <c r="R30" s="134" t="e">
        <f t="shared" si="4"/>
        <v>#DIV/0!</v>
      </c>
    </row>
    <row r="31" spans="1:18" s="149" customFormat="1">
      <c r="A31" s="115" t="s">
        <v>288</v>
      </c>
      <c r="B31" s="118" t="s">
        <v>312</v>
      </c>
      <c r="C31" s="129">
        <f>+'CIFRAS EEFF'!G79</f>
        <v>557544</v>
      </c>
      <c r="D31" s="129">
        <f>+'CIFRAS EEFF'!H79-'CIFRAS EEFF'!G79</f>
        <v>557546</v>
      </c>
      <c r="E31" s="129">
        <f>+'CIFRAS EEFF'!I79-'CIFRAS EEFF'!H79</f>
        <v>628304</v>
      </c>
      <c r="F31" s="129">
        <f>+'CIFRAS EEFF'!J79-'CIFRAS EEFF'!I79</f>
        <v>-75739</v>
      </c>
      <c r="G31" s="129">
        <f>+'CIFRAS EEFF'!K79-'CIFRAS EEFF'!J79</f>
        <v>512799.18999999994</v>
      </c>
      <c r="H31" s="129">
        <f>+'CIFRAS EEFF'!L79-'CIFRAS EEFF'!K79</f>
        <v>512799.18999999994</v>
      </c>
      <c r="I31" s="130">
        <v>884019</v>
      </c>
      <c r="J31" s="130">
        <v>754658</v>
      </c>
      <c r="K31" s="130">
        <v>1180050</v>
      </c>
      <c r="L31" s="130"/>
      <c r="M31" s="130"/>
      <c r="N31" s="130"/>
      <c r="O31" s="130">
        <f t="shared" si="3"/>
        <v>5511980.3799999999</v>
      </c>
      <c r="P31" s="130">
        <v>4961250</v>
      </c>
      <c r="Q31" s="130">
        <f t="shared" si="6"/>
        <v>-550730.37999999989</v>
      </c>
      <c r="R31" s="134">
        <f t="shared" si="4"/>
        <v>1.111006375409423</v>
      </c>
    </row>
    <row r="32" spans="1:18" s="149" customFormat="1">
      <c r="A32" s="114" t="s">
        <v>292</v>
      </c>
      <c r="B32" s="119" t="s">
        <v>313</v>
      </c>
      <c r="C32" s="129">
        <f>+'CIFRAS EEFF'!G90</f>
        <v>1306106</v>
      </c>
      <c r="D32" s="129">
        <f>+'CIFRAS EEFF'!H90-'CIFRAS EEFF'!G90</f>
        <v>833550</v>
      </c>
      <c r="E32" s="129">
        <f>+'CIFRAS EEFF'!I90-'CIFRAS EEFF'!H90</f>
        <v>1706186</v>
      </c>
      <c r="F32" s="129">
        <f>+'CIFRAS EEFF'!J90-'CIFRAS EEFF'!I90</f>
        <v>1431762</v>
      </c>
      <c r="G32" s="129">
        <f>+'CIFRAS EEFF'!K90-'CIFRAS EEFF'!J90</f>
        <v>415417</v>
      </c>
      <c r="H32" s="129">
        <f>+'CIFRAS EEFF'!L90-'CIFRAS EEFF'!K90</f>
        <v>2070946</v>
      </c>
      <c r="I32" s="130">
        <v>1298465</v>
      </c>
      <c r="J32" s="130">
        <v>1377797</v>
      </c>
      <c r="K32" s="130">
        <v>1206043</v>
      </c>
      <c r="L32" s="130"/>
      <c r="M32" s="130"/>
      <c r="N32" s="130"/>
      <c r="O32" s="130">
        <f t="shared" si="3"/>
        <v>11646272</v>
      </c>
      <c r="P32" s="130">
        <v>7938000</v>
      </c>
      <c r="Q32" s="130">
        <f t="shared" si="6"/>
        <v>-3708272</v>
      </c>
      <c r="R32" s="134">
        <f t="shared" si="4"/>
        <v>1.4671544469639708</v>
      </c>
    </row>
    <row r="33" spans="1:18" s="149" customFormat="1" ht="15" hidden="1" customHeight="1">
      <c r="A33" s="116" t="s">
        <v>293</v>
      </c>
      <c r="B33" s="119" t="s">
        <v>313</v>
      </c>
      <c r="C33" s="129">
        <v>0</v>
      </c>
      <c r="D33" s="129">
        <v>0</v>
      </c>
      <c r="E33" s="130">
        <v>0</v>
      </c>
      <c r="F33" s="130">
        <v>0</v>
      </c>
      <c r="G33" s="130">
        <v>0</v>
      </c>
      <c r="H33" s="130">
        <v>0</v>
      </c>
      <c r="I33" s="130"/>
      <c r="J33" s="130"/>
      <c r="K33" s="130"/>
      <c r="L33" s="130"/>
      <c r="M33" s="130"/>
      <c r="N33" s="130"/>
      <c r="O33" s="130">
        <f t="shared" ref="O33:O42" si="7">SUM(C33:N33)</f>
        <v>0</v>
      </c>
      <c r="P33" s="130"/>
      <c r="Q33" s="130">
        <f t="shared" ref="Q33:Q42" si="8">+P33-O33</f>
        <v>0</v>
      </c>
      <c r="R33" s="134" t="e">
        <f t="shared" si="4"/>
        <v>#DIV/0!</v>
      </c>
    </row>
    <row r="34" spans="1:18" s="149" customFormat="1">
      <c r="A34" s="116" t="s">
        <v>294</v>
      </c>
      <c r="B34" s="119" t="s">
        <v>313</v>
      </c>
      <c r="C34" s="129">
        <f>+'CIFRAS EEFF'!G91</f>
        <v>3947283</v>
      </c>
      <c r="D34" s="129">
        <f>+'CIFRAS EEFF'!H91-'CIFRAS EEFF'!G91</f>
        <v>736570</v>
      </c>
      <c r="E34" s="129">
        <f>+'CIFRAS EEFF'!I91-'CIFRAS EEFF'!H91</f>
        <v>1761642</v>
      </c>
      <c r="F34" s="129">
        <f>+'CIFRAS EEFF'!J91-'CIFRAS EEFF'!I91</f>
        <v>-126148</v>
      </c>
      <c r="G34" s="129">
        <f>+'CIFRAS EEFF'!K91-'CIFRAS EEFF'!J91</f>
        <v>2154918</v>
      </c>
      <c r="H34" s="129">
        <f>+'CIFRAS EEFF'!L91-'CIFRAS EEFF'!K91</f>
        <v>1911342</v>
      </c>
      <c r="I34" s="130">
        <v>545105</v>
      </c>
      <c r="J34" s="130">
        <f>42000+566662</f>
        <v>608662</v>
      </c>
      <c r="K34" s="130">
        <v>7766562</v>
      </c>
      <c r="L34" s="130"/>
      <c r="M34" s="130"/>
      <c r="N34" s="130"/>
      <c r="O34" s="130">
        <f t="shared" ref="O34:O41" si="9">SUM(C34:N34)</f>
        <v>19305936</v>
      </c>
      <c r="P34" s="130">
        <v>20685000</v>
      </c>
      <c r="Q34" s="130">
        <f>+P34-O34</f>
        <v>1379064</v>
      </c>
      <c r="R34" s="134">
        <f t="shared" si="4"/>
        <v>0.9333302393038434</v>
      </c>
    </row>
    <row r="35" spans="1:18" s="149" customFormat="1">
      <c r="A35" s="115" t="s">
        <v>295</v>
      </c>
      <c r="B35" s="119" t="s">
        <v>313</v>
      </c>
      <c r="C35" s="129">
        <f>+'CIFRAS EEFF'!G94+'CIFRAS EEFF'!G76</f>
        <v>0</v>
      </c>
      <c r="D35" s="129">
        <f>+'CIFRAS EEFF'!H76+'CIFRAS EEFF'!H94-'CIFRAS EEFF'!G76-'CIFRAS EEFF'!G94</f>
        <v>75000</v>
      </c>
      <c r="E35" s="129">
        <f>+'CIFRAS EEFF'!I76+'CIFRAS EEFF'!I94-'CIFRAS EEFF'!H76-'CIFRAS EEFF'!H94</f>
        <v>858000</v>
      </c>
      <c r="F35" s="129">
        <f>+'CIFRAS EEFF'!J76+'CIFRAS EEFF'!J94-'CIFRAS EEFF'!I76-'CIFRAS EEFF'!I94</f>
        <v>150500</v>
      </c>
      <c r="G35" s="129">
        <f>+'CIFRAS EEFF'!K76+'CIFRAS EEFF'!K94-'CIFRAS EEFF'!J76-'CIFRAS EEFF'!J94</f>
        <v>315700.05000000005</v>
      </c>
      <c r="H35" s="129">
        <f>+'CIFRAS EEFF'!L76+'CIFRAS EEFF'!L94-'CIFRAS EEFF'!K76-'CIFRAS EEFF'!K94</f>
        <v>654352.78</v>
      </c>
      <c r="I35" s="130">
        <v>602000</v>
      </c>
      <c r="J35" s="130">
        <v>602000</v>
      </c>
      <c r="K35" s="130">
        <v>705000</v>
      </c>
      <c r="L35" s="130"/>
      <c r="M35" s="130"/>
      <c r="N35" s="130"/>
      <c r="O35" s="130">
        <f t="shared" si="9"/>
        <v>3962552.83</v>
      </c>
      <c r="P35" s="130">
        <v>8268750</v>
      </c>
      <c r="Q35" s="130">
        <f>+P35-O35</f>
        <v>4306197.17</v>
      </c>
      <c r="R35" s="134">
        <f t="shared" si="4"/>
        <v>0.47922029690098267</v>
      </c>
    </row>
    <row r="36" spans="1:18" s="149" customFormat="1">
      <c r="A36" s="115" t="s">
        <v>332</v>
      </c>
      <c r="B36" s="119" t="s">
        <v>313</v>
      </c>
      <c r="C36" s="129">
        <f>+'CIFRAS EEFF'!G75</f>
        <v>0</v>
      </c>
      <c r="D36" s="129">
        <f>+'CIFRAS EEFF'!H75-'CIFRAS EEFF'!G75</f>
        <v>4880500</v>
      </c>
      <c r="E36" s="129">
        <f>+'CIFRAS EEFF'!I75-'CIFRAS EEFF'!H75</f>
        <v>44731</v>
      </c>
      <c r="F36" s="129">
        <f>+'CIFRAS EEFF'!J75-'CIFRAS EEFF'!I75</f>
        <v>0</v>
      </c>
      <c r="G36" s="129">
        <f>+'CIFRAS EEFF'!K75-'CIFRAS EEFF'!J75</f>
        <v>0</v>
      </c>
      <c r="H36" s="129">
        <f>+'CIFRAS EEFF'!L75-'CIFRAS EEFF'!K75</f>
        <v>256500</v>
      </c>
      <c r="I36" s="130">
        <v>164096</v>
      </c>
      <c r="J36" s="130">
        <v>0</v>
      </c>
      <c r="K36" s="130">
        <v>0</v>
      </c>
      <c r="L36" s="130"/>
      <c r="M36" s="130"/>
      <c r="N36" s="130"/>
      <c r="O36" s="130">
        <f t="shared" si="9"/>
        <v>5345827</v>
      </c>
      <c r="P36" s="130">
        <v>0</v>
      </c>
      <c r="Q36" s="130">
        <f>+P36-O36</f>
        <v>-5345827</v>
      </c>
      <c r="R36" s="134" t="e">
        <f t="shared" si="4"/>
        <v>#DIV/0!</v>
      </c>
    </row>
    <row r="37" spans="1:18" s="149" customFormat="1">
      <c r="A37" s="115" t="s">
        <v>296</v>
      </c>
      <c r="B37" s="119" t="s">
        <v>313</v>
      </c>
      <c r="C37" s="129">
        <f>+'CIFRAS EEFF'!G95</f>
        <v>914031</v>
      </c>
      <c r="D37" s="129">
        <f>+'CIFRAS EEFF'!H95-'CIFRAS EEFF'!G95</f>
        <v>5247144</v>
      </c>
      <c r="E37" s="129">
        <f>+'CIFRAS EEFF'!I95-'CIFRAS EEFF'!H95</f>
        <v>4391173</v>
      </c>
      <c r="F37" s="129">
        <f>+'CIFRAS EEFF'!J95-'CIFRAS EEFF'!I95</f>
        <v>1290868</v>
      </c>
      <c r="G37" s="129">
        <f>+'CIFRAS EEFF'!K95-'CIFRAS EEFF'!J95</f>
        <v>3377380</v>
      </c>
      <c r="H37" s="129">
        <f>+'CIFRAS EEFF'!L95-'CIFRAS EEFF'!K95</f>
        <v>2653507</v>
      </c>
      <c r="I37" s="130">
        <v>3354079</v>
      </c>
      <c r="J37" s="130">
        <v>3426396</v>
      </c>
      <c r="K37" s="130">
        <v>10044783</v>
      </c>
      <c r="L37" s="130"/>
      <c r="M37" s="130"/>
      <c r="N37" s="130"/>
      <c r="O37" s="130">
        <f t="shared" si="9"/>
        <v>34699361</v>
      </c>
      <c r="P37" s="130">
        <v>29700000</v>
      </c>
      <c r="Q37" s="130">
        <f>+P37-O37</f>
        <v>-4999361</v>
      </c>
      <c r="R37" s="134">
        <f>1-Q37/P37</f>
        <v>1.1683286531986532</v>
      </c>
    </row>
    <row r="38" spans="1:18" s="149" customFormat="1">
      <c r="A38" s="115" t="s">
        <v>297</v>
      </c>
      <c r="B38" s="119" t="s">
        <v>313</v>
      </c>
      <c r="C38" s="129">
        <v>0</v>
      </c>
      <c r="D38" s="129">
        <v>0</v>
      </c>
      <c r="E38" s="129">
        <v>0</v>
      </c>
      <c r="F38" s="129">
        <v>0</v>
      </c>
      <c r="G38" s="129">
        <v>0</v>
      </c>
      <c r="H38" s="129">
        <v>0</v>
      </c>
      <c r="I38" s="129"/>
      <c r="J38" s="129">
        <v>0</v>
      </c>
      <c r="K38" s="129">
        <v>0</v>
      </c>
      <c r="L38" s="129"/>
      <c r="M38" s="129"/>
      <c r="N38" s="129"/>
      <c r="O38" s="130">
        <f t="shared" si="9"/>
        <v>0</v>
      </c>
      <c r="P38" s="126">
        <v>1361250</v>
      </c>
      <c r="Q38" s="126">
        <f t="shared" ref="Q38" si="10">+P38-O38</f>
        <v>1361250</v>
      </c>
      <c r="R38" s="134">
        <f t="shared" si="4"/>
        <v>0</v>
      </c>
    </row>
    <row r="39" spans="1:18" s="149" customFormat="1">
      <c r="A39" s="115" t="s">
        <v>298</v>
      </c>
      <c r="B39" s="119" t="s">
        <v>313</v>
      </c>
      <c r="C39" s="129">
        <f>+'CIFRAS EEFF'!G72</f>
        <v>1441961</v>
      </c>
      <c r="D39" s="129">
        <f>+'CIFRAS EEFF'!H72-'CIFRAS EEFF'!G72</f>
        <v>621481</v>
      </c>
      <c r="E39" s="129">
        <f>+'CIFRAS EEFF'!I72-'CIFRAS EEFF'!H72</f>
        <v>4042203</v>
      </c>
      <c r="F39" s="129">
        <f>+'CIFRAS EEFF'!J72-'CIFRAS EEFF'!I72</f>
        <v>2283629</v>
      </c>
      <c r="G39" s="129">
        <f>+'CIFRAS EEFF'!K72-'CIFRAS EEFF'!J72</f>
        <v>2525716</v>
      </c>
      <c r="H39" s="129">
        <f>+'CIFRAS EEFF'!L72-'CIFRAS EEFF'!K72</f>
        <v>3337714</v>
      </c>
      <c r="I39" s="130">
        <v>3281227</v>
      </c>
      <c r="J39" s="130">
        <v>4668471</v>
      </c>
      <c r="K39" s="130">
        <v>3773225</v>
      </c>
      <c r="L39" s="130"/>
      <c r="M39" s="130"/>
      <c r="N39" s="130"/>
      <c r="O39" s="130">
        <f t="shared" si="9"/>
        <v>25975627</v>
      </c>
      <c r="P39" s="130">
        <v>19965000</v>
      </c>
      <c r="Q39" s="130">
        <f>+P39-O39</f>
        <v>-6010627</v>
      </c>
      <c r="R39" s="134">
        <f t="shared" si="4"/>
        <v>1.3010582018532433</v>
      </c>
    </row>
    <row r="40" spans="1:18" s="149" customFormat="1">
      <c r="A40" s="115" t="s">
        <v>299</v>
      </c>
      <c r="B40" s="119" t="s">
        <v>313</v>
      </c>
      <c r="C40" s="129">
        <f>+'CIFRAS EEFF'!G92</f>
        <v>11383094.810000001</v>
      </c>
      <c r="D40" s="129">
        <f>+'CIFRAS EEFF'!H92-'CIFRAS EEFF'!G92</f>
        <v>7039277.3699999992</v>
      </c>
      <c r="E40" s="129">
        <f>+'CIFRAS EEFF'!I92-'CIFRAS EEFF'!H92</f>
        <v>15738153.280000001</v>
      </c>
      <c r="F40" s="129">
        <f>+'CIFRAS EEFF'!J92-'CIFRAS EEFF'!I92</f>
        <v>18390558.539999999</v>
      </c>
      <c r="G40" s="129">
        <f>+'CIFRAS EEFF'!K92-'CIFRAS EEFF'!J92</f>
        <v>23544558</v>
      </c>
      <c r="H40" s="129">
        <f>+'CIFRAS EEFF'!L92-'CIFRAS EEFF'!K92</f>
        <v>8646110.6099999994</v>
      </c>
      <c r="I40" s="130">
        <v>3943520</v>
      </c>
      <c r="J40" s="130">
        <v>2717051</v>
      </c>
      <c r="K40" s="130">
        <v>6649261</v>
      </c>
      <c r="L40" s="130"/>
      <c r="M40" s="130"/>
      <c r="N40" s="130"/>
      <c r="O40" s="130">
        <f t="shared" si="9"/>
        <v>98051584.609999999</v>
      </c>
      <c r="P40" s="130">
        <v>59895000</v>
      </c>
      <c r="Q40" s="130">
        <f>+P40-O40</f>
        <v>-38156584.609999999</v>
      </c>
      <c r="R40" s="134">
        <f t="shared" si="4"/>
        <v>1.6370579282076969</v>
      </c>
    </row>
    <row r="41" spans="1:18" s="149" customFormat="1">
      <c r="A41" s="115" t="s">
        <v>300</v>
      </c>
      <c r="B41" s="119" t="s">
        <v>313</v>
      </c>
      <c r="C41" s="129">
        <v>536019</v>
      </c>
      <c r="D41" s="129">
        <v>412466</v>
      </c>
      <c r="E41" s="130">
        <v>1096094</v>
      </c>
      <c r="F41" s="130">
        <v>265292</v>
      </c>
      <c r="G41" s="130">
        <v>1194950</v>
      </c>
      <c r="H41" s="130">
        <v>0</v>
      </c>
      <c r="I41" s="130"/>
      <c r="J41" s="130">
        <v>57618</v>
      </c>
      <c r="K41" s="130">
        <v>863105</v>
      </c>
      <c r="L41" s="130"/>
      <c r="M41" s="130"/>
      <c r="N41" s="130"/>
      <c r="O41" s="130">
        <f t="shared" si="9"/>
        <v>4425544</v>
      </c>
      <c r="P41" s="130">
        <v>992250</v>
      </c>
      <c r="Q41" s="130">
        <f>+P41-O41</f>
        <v>-3433294</v>
      </c>
      <c r="R41" s="134">
        <f t="shared" si="4"/>
        <v>4.460109851347946</v>
      </c>
    </row>
    <row r="42" spans="1:18" s="149" customFormat="1" ht="15" customHeight="1">
      <c r="A42" s="115" t="s">
        <v>301</v>
      </c>
      <c r="B42" s="119" t="s">
        <v>313</v>
      </c>
      <c r="C42" s="129">
        <v>0</v>
      </c>
      <c r="D42" s="129">
        <v>0</v>
      </c>
      <c r="E42" s="130">
        <v>0</v>
      </c>
      <c r="F42" s="130">
        <v>0</v>
      </c>
      <c r="G42" s="130">
        <v>0</v>
      </c>
      <c r="H42" s="130">
        <v>0</v>
      </c>
      <c r="I42" s="130"/>
      <c r="J42" s="130"/>
      <c r="K42" s="130">
        <v>1491102</v>
      </c>
      <c r="L42" s="130"/>
      <c r="M42" s="130"/>
      <c r="N42" s="130"/>
      <c r="O42" s="130">
        <f t="shared" si="7"/>
        <v>1491102</v>
      </c>
      <c r="P42" s="130"/>
      <c r="Q42" s="130">
        <f t="shared" si="8"/>
        <v>-1491102</v>
      </c>
      <c r="R42" s="134" t="e">
        <f t="shared" si="4"/>
        <v>#DIV/0!</v>
      </c>
    </row>
    <row r="43" spans="1:18" s="149" customFormat="1">
      <c r="A43" s="115" t="s">
        <v>217</v>
      </c>
      <c r="B43" s="119" t="s">
        <v>313</v>
      </c>
      <c r="C43" s="129">
        <f>+'CIFRAS EEFF'!G96+'CIFRAS EEFF'!G81-C41</f>
        <v>1560695</v>
      </c>
      <c r="D43" s="129">
        <f>+'CIFRAS EEFF'!H96+'CIFRAS EEFF'!H81-D41-'CIFRAS EEFF'!G96-'CIFRAS EEFF'!G81</f>
        <v>7916973</v>
      </c>
      <c r="E43" s="129">
        <f>+'CIFRAS EEFF'!I96+'CIFRAS EEFF'!I81-E41-'CIFRAS EEFF'!H96-'CIFRAS EEFF'!H81</f>
        <v>2816055.6400000006</v>
      </c>
      <c r="F43" s="129">
        <f>+'CIFRAS EEFF'!J96+'CIFRAS EEFF'!J81-F41-'CIFRAS EEFF'!I96-'CIFRAS EEFF'!I81</f>
        <v>480800</v>
      </c>
      <c r="G43" s="129">
        <f>+'CIFRAS EEFF'!K96+'CIFRAS EEFF'!K81-G41-'CIFRAS EEFF'!J96-'CIFRAS EEFF'!J81</f>
        <v>904880</v>
      </c>
      <c r="H43" s="129">
        <f>+'CIFRAS EEFF'!L96+'CIFRAS EEFF'!L81-H41-'CIFRAS EEFF'!K96-'CIFRAS EEFF'!K81</f>
        <v>2677383.3599999994</v>
      </c>
      <c r="I43" s="130">
        <v>804764</v>
      </c>
      <c r="J43" s="130">
        <v>309362</v>
      </c>
      <c r="K43" s="130">
        <v>1396047</v>
      </c>
      <c r="L43" s="130"/>
      <c r="M43" s="130"/>
      <c r="N43" s="130"/>
      <c r="O43" s="130">
        <f>SUM(C43:N43)+31</f>
        <v>18866991</v>
      </c>
      <c r="P43" s="130">
        <v>0</v>
      </c>
      <c r="Q43" s="130">
        <f>+P43-O43</f>
        <v>-18866991</v>
      </c>
      <c r="R43" s="134" t="e">
        <f t="shared" si="4"/>
        <v>#DIV/0!</v>
      </c>
    </row>
    <row r="44" spans="1:18" ht="15" thickBot="1">
      <c r="A44" s="150" t="s">
        <v>302</v>
      </c>
      <c r="B44" s="151"/>
      <c r="C44" s="128">
        <f t="shared" ref="C44:P44" si="11">SUM(C27:C43,C10)</f>
        <v>53710674.810000002</v>
      </c>
      <c r="D44" s="128">
        <f t="shared" si="11"/>
        <v>82360352.370000005</v>
      </c>
      <c r="E44" s="128">
        <f t="shared" si="11"/>
        <v>99962582.920000002</v>
      </c>
      <c r="F44" s="128">
        <f t="shared" si="11"/>
        <v>76230387.960000008</v>
      </c>
      <c r="G44" s="128">
        <f t="shared" si="11"/>
        <v>93401418.24000001</v>
      </c>
      <c r="H44" s="128">
        <f t="shared" si="11"/>
        <v>80199887.519999683</v>
      </c>
      <c r="I44" s="128">
        <f t="shared" si="11"/>
        <v>74228757</v>
      </c>
      <c r="J44" s="128">
        <f t="shared" si="11"/>
        <v>76389240</v>
      </c>
      <c r="K44" s="128">
        <f t="shared" si="11"/>
        <v>93028436</v>
      </c>
      <c r="L44" s="128">
        <f t="shared" si="11"/>
        <v>0</v>
      </c>
      <c r="M44" s="128">
        <f t="shared" si="11"/>
        <v>0</v>
      </c>
      <c r="N44" s="128">
        <f t="shared" si="11"/>
        <v>0</v>
      </c>
      <c r="O44" s="128">
        <f t="shared" si="11"/>
        <v>729511767.81999969</v>
      </c>
      <c r="P44" s="128">
        <f t="shared" si="11"/>
        <v>687842359</v>
      </c>
      <c r="Q44" s="128">
        <f>+P44-O44</f>
        <v>-41669408.819999695</v>
      </c>
      <c r="R44" s="128"/>
    </row>
    <row r="45" spans="1:18">
      <c r="A45" s="152" t="s">
        <v>321</v>
      </c>
      <c r="B45" s="153"/>
      <c r="C45" s="110">
        <f>+'CIFRAS EEFF'!G104</f>
        <v>895207</v>
      </c>
      <c r="D45" s="110">
        <f>+'CIFRAS EEFF'!H104-'CIFRAS EEFF'!G104</f>
        <v>1228075</v>
      </c>
      <c r="E45" s="110">
        <f>+'CIFRAS EEFF'!I104-'CIFRAS EEFF'!H104</f>
        <v>1704799</v>
      </c>
      <c r="F45" s="110">
        <f>+'CIFRAS EEFF'!J104-'CIFRAS EEFF'!I104</f>
        <v>834871</v>
      </c>
      <c r="G45" s="110">
        <f>+'CIFRAS EEFF'!K104-'CIFRAS EEFF'!J104</f>
        <v>1621521</v>
      </c>
      <c r="H45" s="110">
        <f>+'CIFRAS EEFF'!L104-'CIFRAS EEFF'!K104</f>
        <v>1274167</v>
      </c>
      <c r="I45" s="125">
        <v>1888075</v>
      </c>
      <c r="J45" s="125">
        <v>1086482</v>
      </c>
      <c r="K45" s="125">
        <v>2550461</v>
      </c>
      <c r="L45" s="125"/>
      <c r="M45" s="125"/>
      <c r="N45" s="125"/>
      <c r="O45" s="130">
        <f>SUM(C45:N45)</f>
        <v>13083658</v>
      </c>
      <c r="P45" s="125">
        <v>12240510</v>
      </c>
      <c r="Q45" s="125">
        <f>+P45-O45</f>
        <v>-843148</v>
      </c>
      <c r="R45" s="134">
        <f>1-Q45/P45</f>
        <v>1.0688817704491071</v>
      </c>
    </row>
    <row r="46" spans="1:18" ht="15" thickBot="1">
      <c r="A46" s="150" t="s">
        <v>303</v>
      </c>
      <c r="B46" s="151"/>
      <c r="C46" s="128">
        <f t="shared" ref="C46:I46" si="12">SUM(C45:C45)</f>
        <v>895207</v>
      </c>
      <c r="D46" s="128">
        <f t="shared" si="12"/>
        <v>1228075</v>
      </c>
      <c r="E46" s="128">
        <f t="shared" si="12"/>
        <v>1704799</v>
      </c>
      <c r="F46" s="128">
        <f t="shared" si="12"/>
        <v>834871</v>
      </c>
      <c r="G46" s="128">
        <f t="shared" si="12"/>
        <v>1621521</v>
      </c>
      <c r="H46" s="128">
        <f t="shared" si="12"/>
        <v>1274167</v>
      </c>
      <c r="I46" s="128">
        <f t="shared" si="12"/>
        <v>1888075</v>
      </c>
      <c r="J46" s="128">
        <f t="shared" ref="J46:K46" si="13">SUM(J45:J45)</f>
        <v>1086482</v>
      </c>
      <c r="K46" s="128">
        <f t="shared" si="13"/>
        <v>2550461</v>
      </c>
      <c r="L46" s="128"/>
      <c r="M46" s="128"/>
      <c r="N46" s="128"/>
      <c r="O46" s="128">
        <f>SUM(O45:O45)</f>
        <v>13083658</v>
      </c>
      <c r="P46" s="128">
        <f>SUM(P45:P45)</f>
        <v>12240510</v>
      </c>
      <c r="Q46" s="128">
        <f>+P46-O46</f>
        <v>-843148</v>
      </c>
      <c r="R46" s="128"/>
    </row>
    <row r="47" spans="1:18">
      <c r="A47" s="152" t="s">
        <v>304</v>
      </c>
      <c r="B47" s="153"/>
      <c r="C47" s="113">
        <f>+'CIFRAS EEFF'!G110</f>
        <v>0</v>
      </c>
      <c r="D47" s="113">
        <f>+'CIFRAS EEFF'!H110-'CIFRAS EEFF'!G110</f>
        <v>0</v>
      </c>
      <c r="E47" s="113">
        <f>+'CIFRAS EEFF'!I110-'CIFRAS EEFF'!H110</f>
        <v>0</v>
      </c>
      <c r="F47" s="113">
        <f>+'CIFRAS EEFF'!J110-'CIFRAS EEFF'!I110</f>
        <v>695000</v>
      </c>
      <c r="G47" s="113">
        <f>+'CIFRAS EEFF'!K110-'CIFRAS EEFF'!J110</f>
        <v>0</v>
      </c>
      <c r="H47" s="113">
        <f>+'CIFRAS EEFF'!L110-'CIFRAS EEFF'!K110</f>
        <v>0</v>
      </c>
      <c r="I47" s="113">
        <v>0</v>
      </c>
      <c r="J47" s="113">
        <v>0</v>
      </c>
      <c r="K47" s="113"/>
      <c r="L47" s="113"/>
      <c r="M47" s="113"/>
      <c r="N47" s="113"/>
      <c r="O47" s="113">
        <f>SUM(C47:H47)</f>
        <v>695000</v>
      </c>
      <c r="P47" s="113">
        <v>0</v>
      </c>
      <c r="Q47" s="113">
        <f>+P47-O47</f>
        <v>-695000</v>
      </c>
      <c r="R47" s="113">
        <v>0</v>
      </c>
    </row>
    <row r="48" spans="1:18" ht="15" thickBot="1">
      <c r="A48" s="150" t="s">
        <v>305</v>
      </c>
      <c r="B48" s="151"/>
      <c r="C48" s="128">
        <f t="shared" ref="C48:N48" si="14">SUM(C47:C47)</f>
        <v>0</v>
      </c>
      <c r="D48" s="128">
        <f t="shared" si="14"/>
        <v>0</v>
      </c>
      <c r="E48" s="128">
        <f t="shared" si="14"/>
        <v>0</v>
      </c>
      <c r="F48" s="128">
        <f t="shared" si="14"/>
        <v>695000</v>
      </c>
      <c r="G48" s="128">
        <f t="shared" si="14"/>
        <v>0</v>
      </c>
      <c r="H48" s="128">
        <f t="shared" si="14"/>
        <v>0</v>
      </c>
      <c r="I48" s="128">
        <f t="shared" si="14"/>
        <v>0</v>
      </c>
      <c r="J48" s="128">
        <f t="shared" ref="J48" si="15">SUM(J47:J47)</f>
        <v>0</v>
      </c>
      <c r="K48" s="128">
        <f t="shared" si="14"/>
        <v>0</v>
      </c>
      <c r="L48" s="128">
        <f t="shared" si="14"/>
        <v>0</v>
      </c>
      <c r="M48" s="128">
        <f t="shared" si="14"/>
        <v>0</v>
      </c>
      <c r="N48" s="128">
        <f t="shared" si="14"/>
        <v>0</v>
      </c>
      <c r="O48" s="128">
        <f>SUM(O47:O47)</f>
        <v>695000</v>
      </c>
      <c r="P48" s="128">
        <f>SUM(P47:P47)</f>
        <v>0</v>
      </c>
      <c r="Q48" s="128">
        <f>+Q47</f>
        <v>-695000</v>
      </c>
      <c r="R48" s="128">
        <f>+R47</f>
        <v>0</v>
      </c>
    </row>
    <row r="49" spans="1:18">
      <c r="A49" s="152" t="s">
        <v>306</v>
      </c>
      <c r="B49" s="153"/>
      <c r="C49" s="125">
        <v>0</v>
      </c>
      <c r="D49" s="125">
        <v>0</v>
      </c>
      <c r="E49" s="125">
        <v>0</v>
      </c>
      <c r="F49" s="125">
        <v>0</v>
      </c>
      <c r="G49" s="125">
        <v>0</v>
      </c>
      <c r="H49" s="125">
        <v>0</v>
      </c>
      <c r="I49" s="125"/>
      <c r="J49" s="125"/>
      <c r="K49" s="125"/>
      <c r="L49" s="125"/>
      <c r="M49" s="125"/>
      <c r="N49" s="125"/>
      <c r="O49" s="125">
        <f>+G49-F49</f>
        <v>0</v>
      </c>
      <c r="P49" s="125">
        <v>0</v>
      </c>
      <c r="Q49" s="125">
        <f>+P49-O49</f>
        <v>0</v>
      </c>
      <c r="R49" s="134" t="s">
        <v>272</v>
      </c>
    </row>
    <row r="50" spans="1:18">
      <c r="A50" s="142" t="s">
        <v>307</v>
      </c>
      <c r="B50" s="143"/>
      <c r="C50" s="111">
        <f>+'CIFRAS EEFF'!G63</f>
        <v>71459376.459999993</v>
      </c>
      <c r="D50" s="111">
        <f>+'CIFRAS EEFF'!H63-'CIFRAS EEFF'!G63</f>
        <v>29291235.75</v>
      </c>
      <c r="E50" s="111">
        <f>+'CIFRAS EEFF'!I63-'CIFRAS EEFF'!H63</f>
        <v>202712462.31</v>
      </c>
      <c r="F50" s="111">
        <f>+'CIFRAS EEFF'!J63-'CIFRAS EEFF'!I63</f>
        <v>68132011.819999993</v>
      </c>
      <c r="G50" s="111">
        <f>+'CIFRAS EEFF'!K63-'CIFRAS EEFF'!J63</f>
        <v>130220546.97000003</v>
      </c>
      <c r="H50" s="111">
        <f>+'CIFRAS EEFF'!L63-'CIFRAS EEFF'!K63</f>
        <v>177278945.60999995</v>
      </c>
      <c r="I50" s="111">
        <v>174838413</v>
      </c>
      <c r="J50" s="111">
        <v>257463414</v>
      </c>
      <c r="K50" s="111">
        <v>154050392</v>
      </c>
      <c r="L50" s="111"/>
      <c r="M50" s="111"/>
      <c r="N50" s="111"/>
      <c r="O50" s="111">
        <f>SUM(C50:N50)</f>
        <v>1265446797.9200001</v>
      </c>
      <c r="P50" s="111">
        <v>1347637497</v>
      </c>
      <c r="Q50" s="111">
        <f>+P50-O50</f>
        <v>82190699.079999924</v>
      </c>
      <c r="R50" s="134">
        <f>1-Q50/P50</f>
        <v>0.93901127026892162</v>
      </c>
    </row>
    <row r="51" spans="1:18" ht="15" thickBot="1">
      <c r="A51" s="150" t="s">
        <v>308</v>
      </c>
      <c r="B51" s="151"/>
      <c r="C51" s="128">
        <f t="shared" ref="C51:H51" si="16">SUM(C49:C50)</f>
        <v>71459376.459999993</v>
      </c>
      <c r="D51" s="128">
        <f t="shared" si="16"/>
        <v>29291235.75</v>
      </c>
      <c r="E51" s="128">
        <f t="shared" si="16"/>
        <v>202712462.31</v>
      </c>
      <c r="F51" s="128">
        <f t="shared" si="16"/>
        <v>68132011.819999993</v>
      </c>
      <c r="G51" s="128">
        <f t="shared" si="16"/>
        <v>130220546.97000003</v>
      </c>
      <c r="H51" s="128">
        <f t="shared" si="16"/>
        <v>177278945.60999995</v>
      </c>
      <c r="I51" s="128">
        <f>SUM(I49:I50)</f>
        <v>174838413</v>
      </c>
      <c r="J51" s="128">
        <f>SUM(J49:J50)</f>
        <v>257463414</v>
      </c>
      <c r="K51" s="128">
        <f>SUM(K49:K50)</f>
        <v>154050392</v>
      </c>
      <c r="L51" s="128"/>
      <c r="M51" s="128"/>
      <c r="N51" s="128"/>
      <c r="O51" s="128">
        <f>+O50</f>
        <v>1265446797.9200001</v>
      </c>
      <c r="P51" s="128">
        <f>SUM(P49:P50)</f>
        <v>1347637497</v>
      </c>
      <c r="Q51" s="128">
        <f>+Q50</f>
        <v>82190699.079999924</v>
      </c>
      <c r="R51" s="121">
        <f>+R50</f>
        <v>0.93901127026892162</v>
      </c>
    </row>
    <row r="53" spans="1:18">
      <c r="I53" s="154"/>
    </row>
    <row r="54" spans="1:18">
      <c r="P54" s="154"/>
      <c r="Q54" s="154"/>
    </row>
  </sheetData>
  <mergeCells count="6">
    <mergeCell ref="R4:R5"/>
    <mergeCell ref="A4:A5"/>
    <mergeCell ref="B4:B5"/>
    <mergeCell ref="P4:P5"/>
    <mergeCell ref="Q4:Q5"/>
    <mergeCell ref="C4:O4"/>
  </mergeCells>
  <conditionalFormatting sqref="R6:R7 R10:R43 R45 R49:R51">
    <cfRule type="cellIs" dxfId="100" priority="42" operator="lessThan">
      <formula>0</formula>
    </cfRule>
    <cfRule type="cellIs" dxfId="99" priority="43" operator="greaterThan">
      <formula>0</formula>
    </cfRule>
    <cfRule type="cellIs" dxfId="98" priority="44" operator="lessThan">
      <formula>1</formula>
    </cfRule>
    <cfRule type="cellIs" dxfId="97" priority="45" operator="greaterThan">
      <formula>1</formula>
    </cfRule>
  </conditionalFormatting>
  <conditionalFormatting sqref="R10:R43 R45">
    <cfRule type="cellIs" dxfId="96" priority="40" operator="lessThan">
      <formula>0</formula>
    </cfRule>
    <cfRule type="cellIs" dxfId="95" priority="41" operator="greaterThan">
      <formula>0</formula>
    </cfRule>
  </conditionalFormatting>
  <conditionalFormatting sqref="R6:R7">
    <cfRule type="cellIs" dxfId="94" priority="37" operator="lessThan">
      <formula>0</formula>
    </cfRule>
    <cfRule type="cellIs" dxfId="93" priority="38" operator="lessThan">
      <formula>0.024</formula>
    </cfRule>
    <cfRule type="cellIs" dxfId="92" priority="39" operator="greaterThan">
      <formula>0</formula>
    </cfRule>
  </conditionalFormatting>
  <conditionalFormatting sqref="R6:R7 R10:R45 R49:R51">
    <cfRule type="cellIs" dxfId="91" priority="34" operator="lessThan">
      <formula>0</formula>
    </cfRule>
    <cfRule type="cellIs" dxfId="90" priority="35" operator="greaterThan">
      <formula>-1.649</formula>
    </cfRule>
    <cfRule type="cellIs" dxfId="89" priority="36" operator="greaterThan">
      <formula>0</formula>
    </cfRule>
  </conditionalFormatting>
  <conditionalFormatting sqref="R8">
    <cfRule type="cellIs" dxfId="88" priority="20" operator="lessThan">
      <formula>0</formula>
    </cfRule>
    <cfRule type="cellIs" dxfId="87" priority="21" operator="greaterThan">
      <formula>0</formula>
    </cfRule>
    <cfRule type="cellIs" dxfId="86" priority="22" operator="lessThan">
      <formula>1</formula>
    </cfRule>
    <cfRule type="cellIs" dxfId="85" priority="23" operator="greaterThan">
      <formula>1</formula>
    </cfRule>
  </conditionalFormatting>
  <conditionalFormatting sqref="R8">
    <cfRule type="cellIs" dxfId="84" priority="17" operator="lessThan">
      <formula>0</formula>
    </cfRule>
    <cfRule type="cellIs" dxfId="83" priority="18" operator="lessThan">
      <formula>0.024</formula>
    </cfRule>
    <cfRule type="cellIs" dxfId="82" priority="19" operator="greaterThan">
      <formula>0</formula>
    </cfRule>
  </conditionalFormatting>
  <conditionalFormatting sqref="R8">
    <cfRule type="cellIs" dxfId="81" priority="14" operator="lessThan">
      <formula>0</formula>
    </cfRule>
    <cfRule type="cellIs" dxfId="80" priority="15" operator="greaterThan">
      <formula>-1.649</formula>
    </cfRule>
    <cfRule type="cellIs" dxfId="79" priority="16" operator="greaterThan">
      <formula>0</formula>
    </cfRule>
  </conditionalFormatting>
  <conditionalFormatting sqref="R10:R43">
    <cfRule type="cellIs" dxfId="78" priority="13" operator="greaterThan">
      <formula>1</formula>
    </cfRule>
  </conditionalFormatting>
  <conditionalFormatting sqref="R45">
    <cfRule type="cellIs" dxfId="77" priority="12" operator="greaterThan">
      <formula>1.003</formula>
    </cfRule>
  </conditionalFormatting>
  <conditionalFormatting sqref="R45">
    <cfRule type="cellIs" dxfId="76" priority="11" operator="greaterThan">
      <formula>1</formula>
    </cfRule>
  </conditionalFormatting>
  <conditionalFormatting sqref="R50">
    <cfRule type="cellIs" dxfId="75" priority="1" operator="lessThan">
      <formula>1</formula>
    </cfRule>
    <cfRule type="cellIs" dxfId="74" priority="9" operator="lessThan">
      <formula>0</formula>
    </cfRule>
    <cfRule type="cellIs" dxfId="73" priority="10" operator="greaterThan">
      <formula>0</formula>
    </cfRule>
  </conditionalFormatting>
  <conditionalFormatting sqref="R50">
    <cfRule type="cellIs" dxfId="72" priority="8" operator="greaterThan">
      <formula>1</formula>
    </cfRule>
  </conditionalFormatting>
  <conditionalFormatting sqref="R50">
    <cfRule type="cellIs" dxfId="71" priority="6" operator="lessThan">
      <formula>0</formula>
    </cfRule>
    <cfRule type="cellIs" dxfId="70" priority="7" operator="greaterThan">
      <formula>0</formula>
    </cfRule>
  </conditionalFormatting>
  <conditionalFormatting sqref="R50">
    <cfRule type="cellIs" dxfId="69" priority="5" operator="greaterThan">
      <formula>1</formula>
    </cfRule>
  </conditionalFormatting>
  <conditionalFormatting sqref="R49:R50">
    <cfRule type="cellIs" dxfId="68" priority="3" operator="lessThan">
      <formula>0</formula>
    </cfRule>
    <cfRule type="cellIs" dxfId="67" priority="4" operator="greaterThan">
      <formula>0</formula>
    </cfRule>
  </conditionalFormatting>
  <conditionalFormatting sqref="R49:R50">
    <cfRule type="cellIs" dxfId="66" priority="2" operator="greaterThan">
      <formula>1</formula>
    </cfRule>
  </conditionalFormatting>
  <pageMargins left="0.7" right="0.7" top="0.75" bottom="0.75" header="0.3" footer="0.3"/>
  <pageSetup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7"/>
  <sheetViews>
    <sheetView topLeftCell="A3" workbookViewId="0">
      <pane xSplit="1" ySplit="3" topLeftCell="B9" activePane="bottomRight" state="frozen"/>
      <selection activeCell="A3" sqref="A3"/>
      <selection pane="topRight" activeCell="B3" sqref="B3"/>
      <selection pane="bottomLeft" activeCell="A6" sqref="A6"/>
      <selection pane="bottomRight" activeCell="E28" sqref="E28"/>
    </sheetView>
  </sheetViews>
  <sheetFormatPr baseColWidth="10" defaultRowHeight="12.75"/>
  <cols>
    <col min="1" max="1" width="50" style="155" customWidth="1"/>
    <col min="2" max="2" width="14" style="155" customWidth="1"/>
    <col min="3" max="3" width="17.28515625" style="155" customWidth="1" collapsed="1"/>
    <col min="4" max="4" width="15.85546875" style="155" bestFit="1" customWidth="1" collapsed="1"/>
    <col min="5" max="5" width="21.140625" style="155" bestFit="1" customWidth="1" collapsed="1"/>
    <col min="6" max="6" width="15.85546875" style="155" customWidth="1"/>
    <col min="7" max="16384" width="11.42578125" style="155"/>
  </cols>
  <sheetData>
    <row r="1" spans="1:7" s="23" customFormat="1" ht="15">
      <c r="A1" s="139" t="s">
        <v>273</v>
      </c>
      <c r="B1" s="139"/>
      <c r="C1" s="140"/>
      <c r="D1" s="140"/>
      <c r="E1" s="140"/>
      <c r="F1" s="140"/>
    </row>
    <row r="2" spans="1:7" s="23" customFormat="1" ht="15">
      <c r="A2" s="139" t="s">
        <v>336</v>
      </c>
      <c r="B2" s="139"/>
      <c r="C2" s="140"/>
      <c r="D2" s="140"/>
      <c r="E2" s="140"/>
      <c r="F2" s="140"/>
    </row>
    <row r="3" spans="1:7" s="23" customFormat="1" ht="15.75" thickBot="1">
      <c r="A3" s="138"/>
      <c r="B3" s="138"/>
      <c r="C3" s="140"/>
      <c r="D3" s="140"/>
      <c r="E3" s="140"/>
      <c r="F3" s="140"/>
    </row>
    <row r="4" spans="1:7" ht="16.5" customHeight="1">
      <c r="A4" s="399" t="s">
        <v>316</v>
      </c>
      <c r="B4" s="401" t="s">
        <v>317</v>
      </c>
      <c r="C4" s="156">
        <v>41852</v>
      </c>
      <c r="D4" s="156">
        <v>42217</v>
      </c>
      <c r="E4" s="403" t="s">
        <v>318</v>
      </c>
      <c r="F4" s="404"/>
    </row>
    <row r="5" spans="1:7" ht="13.5" thickBot="1">
      <c r="A5" s="400"/>
      <c r="B5" s="402"/>
      <c r="C5" s="117" t="s">
        <v>315</v>
      </c>
      <c r="D5" s="117" t="s">
        <v>315</v>
      </c>
      <c r="E5" s="117" t="s">
        <v>319</v>
      </c>
      <c r="F5" s="123" t="s">
        <v>320</v>
      </c>
    </row>
    <row r="6" spans="1:7">
      <c r="A6" s="142" t="s">
        <v>2</v>
      </c>
      <c r="B6" s="143"/>
      <c r="C6" s="129">
        <v>1408060452.53</v>
      </c>
      <c r="D6" s="129">
        <f>+'EJEC. PRES.'!O6</f>
        <v>2025809522</v>
      </c>
      <c r="E6" s="129">
        <f>+D6-C6</f>
        <v>617749069.47000003</v>
      </c>
      <c r="F6" s="134">
        <f>+E6/C6</f>
        <v>0.4387234002347199</v>
      </c>
    </row>
    <row r="7" spans="1:7">
      <c r="A7" s="142" t="s">
        <v>311</v>
      </c>
      <c r="B7" s="143"/>
      <c r="C7" s="127">
        <v>11520128.710000001</v>
      </c>
      <c r="D7" s="127">
        <f>+'EJEC. PRES.'!O7</f>
        <v>24557678</v>
      </c>
      <c r="E7" s="127">
        <f>+D7-C7</f>
        <v>13037549.289999999</v>
      </c>
      <c r="F7" s="134">
        <f>+E7/C7</f>
        <v>1.1317190647950668</v>
      </c>
    </row>
    <row r="8" spans="1:7" ht="13.5" thickBot="1">
      <c r="A8" s="159" t="s">
        <v>274</v>
      </c>
      <c r="B8" s="145"/>
      <c r="C8" s="128">
        <f>SUM(C6:C7)</f>
        <v>1419580581.24</v>
      </c>
      <c r="D8" s="128">
        <f>SUM(D6:D7)</f>
        <v>2050367200</v>
      </c>
      <c r="E8" s="128">
        <f>SUM(E6:E7)</f>
        <v>630786618.75999999</v>
      </c>
      <c r="F8" s="134">
        <f>+E8/C8</f>
        <v>0.44434717345105518</v>
      </c>
    </row>
    <row r="9" spans="1:7">
      <c r="A9" s="160" t="s">
        <v>309</v>
      </c>
      <c r="B9" s="147"/>
      <c r="C9" s="112"/>
      <c r="D9" s="112"/>
      <c r="E9" s="112"/>
      <c r="F9" s="124"/>
    </row>
    <row r="10" spans="1:7">
      <c r="A10" s="114" t="s">
        <v>314</v>
      </c>
      <c r="B10" s="148"/>
      <c r="C10" s="131">
        <v>247847839</v>
      </c>
      <c r="D10" s="130">
        <f>+'EJEC. PRES.'!O10</f>
        <v>427688732.9999997</v>
      </c>
      <c r="E10" s="130">
        <f>+D10-C10</f>
        <v>179840893.9999997</v>
      </c>
      <c r="F10" s="134">
        <f>+E10/C10</f>
        <v>0.72561009499057894</v>
      </c>
      <c r="G10" s="157"/>
    </row>
    <row r="11" spans="1:7">
      <c r="A11" s="114" t="s">
        <v>286</v>
      </c>
      <c r="B11" s="118" t="s">
        <v>312</v>
      </c>
      <c r="C11" s="131">
        <v>14433333</v>
      </c>
      <c r="D11" s="130">
        <f>+'EJEC. PRES.'!O27</f>
        <v>11000000</v>
      </c>
      <c r="E11" s="130">
        <f>+D11-C11</f>
        <v>-3433333</v>
      </c>
      <c r="F11" s="134">
        <f>+E11/C11</f>
        <v>-0.23787527108256978</v>
      </c>
    </row>
    <row r="12" spans="1:7">
      <c r="A12" s="114" t="s">
        <v>213</v>
      </c>
      <c r="B12" s="118" t="s">
        <v>312</v>
      </c>
      <c r="C12" s="131">
        <v>50914000</v>
      </c>
      <c r="D12" s="130">
        <f>+'EJEC. PRES.'!O28</f>
        <v>51364000</v>
      </c>
      <c r="E12" s="130">
        <f t="shared" ref="E12:E26" si="0">+D12-C12</f>
        <v>450000</v>
      </c>
      <c r="F12" s="134">
        <f t="shared" ref="F12:F28" si="1">+E12/C12</f>
        <v>8.8384334367757403E-3</v>
      </c>
    </row>
    <row r="13" spans="1:7">
      <c r="A13" s="114" t="s">
        <v>214</v>
      </c>
      <c r="B13" s="118" t="s">
        <v>312</v>
      </c>
      <c r="C13" s="131">
        <f>7701046+696219</f>
        <v>8397265</v>
      </c>
      <c r="D13" s="130">
        <f>+'EJEC. PRES.'!O29</f>
        <v>10176257</v>
      </c>
      <c r="E13" s="130">
        <f t="shared" si="0"/>
        <v>1778992</v>
      </c>
      <c r="F13" s="134">
        <f t="shared" si="1"/>
        <v>0.21185374047383285</v>
      </c>
    </row>
    <row r="14" spans="1:7">
      <c r="A14" s="114" t="s">
        <v>287</v>
      </c>
      <c r="B14" s="118" t="s">
        <v>312</v>
      </c>
      <c r="C14" s="131"/>
      <c r="D14" s="130">
        <f>+'EJEC. PRES.'!O30</f>
        <v>0</v>
      </c>
      <c r="E14" s="130">
        <f t="shared" si="0"/>
        <v>0</v>
      </c>
      <c r="F14" s="134" t="e">
        <f t="shared" si="1"/>
        <v>#DIV/0!</v>
      </c>
    </row>
    <row r="15" spans="1:7">
      <c r="A15" s="115" t="s">
        <v>288</v>
      </c>
      <c r="B15" s="118" t="s">
        <v>312</v>
      </c>
      <c r="C15" s="131">
        <v>13733323</v>
      </c>
      <c r="D15" s="130">
        <f>+'EJEC. PRES.'!O31</f>
        <v>5511980.3799999999</v>
      </c>
      <c r="E15" s="130">
        <f t="shared" si="0"/>
        <v>-8221342.6200000001</v>
      </c>
      <c r="F15" s="134">
        <f t="shared" si="1"/>
        <v>-0.59864190334706324</v>
      </c>
    </row>
    <row r="16" spans="1:7">
      <c r="A16" s="115" t="s">
        <v>324</v>
      </c>
      <c r="B16" s="118" t="s">
        <v>312</v>
      </c>
      <c r="C16" s="131">
        <v>82782366.909999996</v>
      </c>
      <c r="D16" s="130">
        <v>0</v>
      </c>
      <c r="E16" s="130">
        <f t="shared" si="0"/>
        <v>-82782366.909999996</v>
      </c>
      <c r="F16" s="134">
        <f t="shared" si="1"/>
        <v>-1</v>
      </c>
    </row>
    <row r="17" spans="1:6">
      <c r="A17" s="114" t="s">
        <v>292</v>
      </c>
      <c r="B17" s="119" t="s">
        <v>313</v>
      </c>
      <c r="C17" s="131">
        <v>5224838</v>
      </c>
      <c r="D17" s="130">
        <f>+'EJEC. PRES.'!O32</f>
        <v>11646272</v>
      </c>
      <c r="E17" s="130">
        <f t="shared" si="0"/>
        <v>6421434</v>
      </c>
      <c r="F17" s="134">
        <f t="shared" si="1"/>
        <v>1.229020689253906</v>
      </c>
    </row>
    <row r="18" spans="1:6">
      <c r="A18" s="116" t="s">
        <v>293</v>
      </c>
      <c r="B18" s="119" t="s">
        <v>313</v>
      </c>
      <c r="C18" s="131">
        <v>881245</v>
      </c>
      <c r="D18" s="130">
        <f>+'EJEC. PRES.'!O33</f>
        <v>0</v>
      </c>
      <c r="E18" s="130">
        <f t="shared" si="0"/>
        <v>-881245</v>
      </c>
      <c r="F18" s="134">
        <f t="shared" si="1"/>
        <v>-1</v>
      </c>
    </row>
    <row r="19" spans="1:6">
      <c r="A19" s="116" t="s">
        <v>294</v>
      </c>
      <c r="B19" s="119" t="s">
        <v>313</v>
      </c>
      <c r="C19" s="131">
        <v>12870579</v>
      </c>
      <c r="D19" s="130">
        <f>+'EJEC. PRES.'!O34</f>
        <v>19305936</v>
      </c>
      <c r="E19" s="130">
        <f t="shared" si="0"/>
        <v>6435357</v>
      </c>
      <c r="F19" s="134">
        <f t="shared" si="1"/>
        <v>0.50000524451930251</v>
      </c>
    </row>
    <row r="20" spans="1:6">
      <c r="A20" s="115" t="s">
        <v>295</v>
      </c>
      <c r="B20" s="119" t="s">
        <v>313</v>
      </c>
      <c r="C20" s="131">
        <f>2222885+729681+1733250</f>
        <v>4685816</v>
      </c>
      <c r="D20" s="130">
        <f>+'EJEC. PRES.'!O35</f>
        <v>3962552.83</v>
      </c>
      <c r="E20" s="130">
        <f t="shared" si="0"/>
        <v>-723263.16999999993</v>
      </c>
      <c r="F20" s="134">
        <f t="shared" si="1"/>
        <v>-0.15435159425807585</v>
      </c>
    </row>
    <row r="21" spans="1:6">
      <c r="A21" s="115" t="s">
        <v>346</v>
      </c>
      <c r="B21" s="119" t="s">
        <v>313</v>
      </c>
      <c r="C21" s="131">
        <f>2306825+4300</f>
        <v>2311125</v>
      </c>
      <c r="D21" s="130">
        <f>+'EJEC. PRES.'!O36</f>
        <v>5345827</v>
      </c>
      <c r="E21" s="130">
        <f t="shared" si="0"/>
        <v>3034702</v>
      </c>
      <c r="F21" s="134">
        <f t="shared" si="1"/>
        <v>1.3130843204067284</v>
      </c>
    </row>
    <row r="22" spans="1:6">
      <c r="A22" s="115" t="s">
        <v>296</v>
      </c>
      <c r="B22" s="119" t="s">
        <v>313</v>
      </c>
      <c r="C22" s="131">
        <v>28982193</v>
      </c>
      <c r="D22" s="130">
        <f>+'EJEC. PRES.'!O37</f>
        <v>34699361</v>
      </c>
      <c r="E22" s="130">
        <f t="shared" si="0"/>
        <v>5717168</v>
      </c>
      <c r="F22" s="134">
        <f t="shared" si="1"/>
        <v>0.19726485155902454</v>
      </c>
    </row>
    <row r="23" spans="1:6">
      <c r="A23" s="115" t="s">
        <v>347</v>
      </c>
      <c r="B23" s="119" t="s">
        <v>313</v>
      </c>
      <c r="C23" s="131">
        <v>18813314</v>
      </c>
      <c r="D23" s="130">
        <f>+'EJEC. PRES.'!O39</f>
        <v>25975627</v>
      </c>
      <c r="E23" s="130">
        <f t="shared" si="0"/>
        <v>7162313</v>
      </c>
      <c r="F23" s="134">
        <f t="shared" si="1"/>
        <v>0.38070448406910129</v>
      </c>
    </row>
    <row r="24" spans="1:6">
      <c r="A24" s="115" t="s">
        <v>299</v>
      </c>
      <c r="B24" s="119" t="s">
        <v>313</v>
      </c>
      <c r="C24" s="131">
        <v>58033553</v>
      </c>
      <c r="D24" s="130">
        <f>+'EJEC. PRES.'!O40</f>
        <v>98051584.609999999</v>
      </c>
      <c r="E24" s="130">
        <f t="shared" si="0"/>
        <v>40018031.609999999</v>
      </c>
      <c r="F24" s="134">
        <f t="shared" si="1"/>
        <v>0.68956714764646587</v>
      </c>
    </row>
    <row r="25" spans="1:6">
      <c r="A25" s="115" t="s">
        <v>300</v>
      </c>
      <c r="B25" s="119" t="s">
        <v>313</v>
      </c>
      <c r="C25" s="131">
        <f>4284689+522516</f>
        <v>4807205</v>
      </c>
      <c r="D25" s="130">
        <f>+'EJEC. PRES.'!O41</f>
        <v>4425544</v>
      </c>
      <c r="E25" s="130">
        <f>+D25-C24</f>
        <v>-53608009</v>
      </c>
      <c r="F25" s="134">
        <f>+E25/C24</f>
        <v>-0.92374163270685838</v>
      </c>
    </row>
    <row r="26" spans="1:6">
      <c r="A26" s="115" t="s">
        <v>217</v>
      </c>
      <c r="B26" s="119" t="s">
        <v>313</v>
      </c>
      <c r="C26" s="131">
        <f>3992829+7436096+335481</f>
        <v>11764406</v>
      </c>
      <c r="D26" s="130">
        <f>+'EJEC. PRES.'!O43</f>
        <v>18866991</v>
      </c>
      <c r="E26" s="130">
        <f t="shared" si="0"/>
        <v>7102585</v>
      </c>
      <c r="F26" s="134">
        <f t="shared" si="1"/>
        <v>0.60373511420806114</v>
      </c>
    </row>
    <row r="27" spans="1:6" ht="13.5" thickBot="1">
      <c r="A27" s="160" t="s">
        <v>302</v>
      </c>
      <c r="B27" s="151"/>
      <c r="C27" s="128">
        <f>SUM(C17:C26)+C10+C11+C12+C13+C14+C15+C16</f>
        <v>566482400.90999997</v>
      </c>
      <c r="D27" s="128">
        <f>+'EJEC. PRES.'!O44</f>
        <v>729511767.81999969</v>
      </c>
      <c r="E27" s="128">
        <f>SUM(E17:E26)+E10+E11+E12+E13+E14+E15+E16</f>
        <v>108311916.9099997</v>
      </c>
      <c r="F27" s="122"/>
    </row>
    <row r="28" spans="1:6">
      <c r="A28" s="152" t="s">
        <v>322</v>
      </c>
      <c r="B28" s="153"/>
      <c r="C28" s="125">
        <v>19539365</v>
      </c>
      <c r="D28" s="125">
        <f>+'EJEC. PRES.'!O45</f>
        <v>13083658</v>
      </c>
      <c r="E28" s="125">
        <f>+D28-C28</f>
        <v>-6455707</v>
      </c>
      <c r="F28" s="134">
        <f t="shared" si="1"/>
        <v>-0.33039492327411868</v>
      </c>
    </row>
    <row r="29" spans="1:6" ht="13.5" thickBot="1">
      <c r="A29" s="160" t="s">
        <v>303</v>
      </c>
      <c r="B29" s="151"/>
      <c r="C29" s="128">
        <f>SUM(C28:C28)</f>
        <v>19539365</v>
      </c>
      <c r="D29" s="128">
        <f>+'EJEC. PRES.'!O46</f>
        <v>13083658</v>
      </c>
      <c r="E29" s="128">
        <f>SUM(E28:E28)</f>
        <v>-6455707</v>
      </c>
      <c r="F29" s="122"/>
    </row>
    <row r="30" spans="1:6">
      <c r="A30" s="152" t="s">
        <v>46</v>
      </c>
      <c r="B30" s="153"/>
      <c r="C30" s="113">
        <v>6471000</v>
      </c>
      <c r="D30" s="113">
        <f>+'EJEC. PRES.'!O47</f>
        <v>695000</v>
      </c>
      <c r="E30" s="113">
        <f>+D30-C30</f>
        <v>-5776000</v>
      </c>
      <c r="F30" s="134">
        <v>1E-13</v>
      </c>
    </row>
    <row r="31" spans="1:6" ht="13.5" thickBot="1">
      <c r="A31" s="160" t="s">
        <v>305</v>
      </c>
      <c r="B31" s="151"/>
      <c r="C31" s="128">
        <f>+C30</f>
        <v>6471000</v>
      </c>
      <c r="D31" s="128">
        <f>+'EJEC. PRES.'!O48</f>
        <v>695000</v>
      </c>
      <c r="E31" s="128">
        <f>+E30</f>
        <v>-5776000</v>
      </c>
      <c r="F31" s="122"/>
    </row>
    <row r="32" spans="1:6">
      <c r="A32" s="152" t="s">
        <v>330</v>
      </c>
      <c r="B32" s="153"/>
      <c r="C32" s="125">
        <v>0</v>
      </c>
      <c r="D32" s="125">
        <f>+'EJEC. PRES.'!O49</f>
        <v>0</v>
      </c>
      <c r="E32" s="125">
        <f>+D32-C32</f>
        <v>0</v>
      </c>
      <c r="F32" s="130"/>
    </row>
    <row r="33" spans="1:6">
      <c r="A33" s="142" t="s">
        <v>331</v>
      </c>
      <c r="B33" s="143"/>
      <c r="C33" s="111">
        <v>975071578</v>
      </c>
      <c r="D33" s="111">
        <f>+'EJEC. PRES.'!O50</f>
        <v>1265446797.9200001</v>
      </c>
      <c r="E33" s="111">
        <f>+D33-C33</f>
        <v>290375219.92000008</v>
      </c>
      <c r="F33" s="134">
        <f>+E33/C33</f>
        <v>0.29779887597133931</v>
      </c>
    </row>
    <row r="34" spans="1:6" ht="13.5" thickBot="1">
      <c r="A34" s="160" t="s">
        <v>308</v>
      </c>
      <c r="B34" s="151"/>
      <c r="C34" s="128">
        <f>+C33</f>
        <v>975071578</v>
      </c>
      <c r="D34" s="128">
        <f>+'EJEC. PRES.'!O51</f>
        <v>1265446797.9200001</v>
      </c>
      <c r="E34" s="128">
        <f>+E33</f>
        <v>290375219.92000008</v>
      </c>
      <c r="F34" s="122"/>
    </row>
    <row r="37" spans="1:6">
      <c r="C37" s="158"/>
    </row>
  </sheetData>
  <mergeCells count="3">
    <mergeCell ref="A4:A5"/>
    <mergeCell ref="B4:B5"/>
    <mergeCell ref="E4:F4"/>
  </mergeCells>
  <conditionalFormatting sqref="F10:F16">
    <cfRule type="cellIs" dxfId="65" priority="72" operator="lessThan">
      <formula>0</formula>
    </cfRule>
    <cfRule type="cellIs" dxfId="64" priority="73" operator="greaterThan">
      <formula>0</formula>
    </cfRule>
    <cfRule type="cellIs" dxfId="63" priority="74" operator="lessThan">
      <formula>1</formula>
    </cfRule>
    <cfRule type="cellIs" dxfId="62" priority="75" operator="greaterThan">
      <formula>1</formula>
    </cfRule>
  </conditionalFormatting>
  <conditionalFormatting sqref="F10:F16">
    <cfRule type="cellIs" dxfId="61" priority="70" operator="lessThan">
      <formula>0</formula>
    </cfRule>
    <cfRule type="cellIs" dxfId="60" priority="71" operator="greaterThan">
      <formula>0</formula>
    </cfRule>
  </conditionalFormatting>
  <conditionalFormatting sqref="F10:F16">
    <cfRule type="cellIs" dxfId="59" priority="67" operator="lessThan">
      <formula>0</formula>
    </cfRule>
    <cfRule type="cellIs" dxfId="58" priority="68" operator="greaterThan">
      <formula>-1.649</formula>
    </cfRule>
    <cfRule type="cellIs" dxfId="57" priority="69" operator="greaterThan">
      <formula>0</formula>
    </cfRule>
  </conditionalFormatting>
  <conditionalFormatting sqref="F17:F26">
    <cfRule type="cellIs" dxfId="56" priority="63" operator="lessThan">
      <formula>0</formula>
    </cfRule>
    <cfRule type="cellIs" dxfId="55" priority="64" operator="greaterThan">
      <formula>0</formula>
    </cfRule>
    <cfRule type="cellIs" dxfId="54" priority="65" operator="lessThan">
      <formula>1</formula>
    </cfRule>
    <cfRule type="cellIs" dxfId="53" priority="66" operator="greaterThan">
      <formula>1</formula>
    </cfRule>
  </conditionalFormatting>
  <conditionalFormatting sqref="F17:F26">
    <cfRule type="cellIs" dxfId="52" priority="61" operator="lessThan">
      <formula>0</formula>
    </cfRule>
    <cfRule type="cellIs" dxfId="51" priority="62" operator="greaterThan">
      <formula>0</formula>
    </cfRule>
  </conditionalFormatting>
  <conditionalFormatting sqref="F17:F26">
    <cfRule type="cellIs" dxfId="50" priority="58" operator="lessThan">
      <formula>0</formula>
    </cfRule>
    <cfRule type="cellIs" dxfId="49" priority="59" operator="greaterThan">
      <formula>-1.649</formula>
    </cfRule>
    <cfRule type="cellIs" dxfId="48" priority="60" operator="greaterThan">
      <formula>0</formula>
    </cfRule>
  </conditionalFormatting>
  <conditionalFormatting sqref="F28">
    <cfRule type="cellIs" dxfId="47" priority="54" operator="lessThan">
      <formula>0</formula>
    </cfRule>
    <cfRule type="cellIs" dxfId="46" priority="55" operator="greaterThan">
      <formula>0</formula>
    </cfRule>
    <cfRule type="cellIs" dxfId="45" priority="56" operator="lessThan">
      <formula>1</formula>
    </cfRule>
    <cfRule type="cellIs" dxfId="44" priority="57" operator="greaterThan">
      <formula>1</formula>
    </cfRule>
  </conditionalFormatting>
  <conditionalFormatting sqref="F28">
    <cfRule type="cellIs" dxfId="43" priority="52" operator="lessThan">
      <formula>0</formula>
    </cfRule>
    <cfRule type="cellIs" dxfId="42" priority="53" operator="greaterThan">
      <formula>0</formula>
    </cfRule>
  </conditionalFormatting>
  <conditionalFormatting sqref="F28">
    <cfRule type="cellIs" dxfId="41" priority="49" operator="lessThan">
      <formula>0</formula>
    </cfRule>
    <cfRule type="cellIs" dxfId="40" priority="50" operator="greaterThan">
      <formula>-1.649</formula>
    </cfRule>
    <cfRule type="cellIs" dxfId="39" priority="51" operator="greaterThan">
      <formula>0</formula>
    </cfRule>
  </conditionalFormatting>
  <conditionalFormatting sqref="F30">
    <cfRule type="cellIs" dxfId="38" priority="36" operator="lessThan">
      <formula>0</formula>
    </cfRule>
    <cfRule type="cellIs" dxfId="37" priority="37" operator="greaterThan">
      <formula>0</formula>
    </cfRule>
    <cfRule type="cellIs" dxfId="36" priority="38" operator="lessThan">
      <formula>1</formula>
    </cfRule>
    <cfRule type="cellIs" dxfId="35" priority="39" operator="greaterThan">
      <formula>1</formula>
    </cfRule>
  </conditionalFormatting>
  <conditionalFormatting sqref="F30">
    <cfRule type="cellIs" dxfId="34" priority="34" operator="lessThan">
      <formula>0</formula>
    </cfRule>
    <cfRule type="cellIs" dxfId="33" priority="35" operator="greaterThan">
      <formula>0</formula>
    </cfRule>
  </conditionalFormatting>
  <conditionalFormatting sqref="F30">
    <cfRule type="cellIs" dxfId="32" priority="31" operator="lessThan">
      <formula>0</formula>
    </cfRule>
    <cfRule type="cellIs" dxfId="31" priority="32" operator="greaterThan">
      <formula>-1.649</formula>
    </cfRule>
    <cfRule type="cellIs" dxfId="30" priority="33" operator="greaterThan">
      <formula>0</formula>
    </cfRule>
  </conditionalFormatting>
  <conditionalFormatting sqref="F6:F7">
    <cfRule type="cellIs" dxfId="29" priority="27" operator="lessThan">
      <formula>0</formula>
    </cfRule>
    <cfRule type="cellIs" dxfId="28" priority="28" operator="greaterThan">
      <formula>0</formula>
    </cfRule>
    <cfRule type="cellIs" dxfId="27" priority="29" operator="lessThan">
      <formula>1</formula>
    </cfRule>
    <cfRule type="cellIs" dxfId="26" priority="30" operator="greaterThan">
      <formula>1</formula>
    </cfRule>
  </conditionalFormatting>
  <conditionalFormatting sqref="F6:F7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F6:F7">
    <cfRule type="cellIs" dxfId="23" priority="22" operator="lessThan">
      <formula>0</formula>
    </cfRule>
    <cfRule type="cellIs" dxfId="22" priority="23" operator="greaterThan">
      <formula>-1.649</formula>
    </cfRule>
    <cfRule type="cellIs" dxfId="21" priority="24" operator="greaterThan">
      <formula>0</formula>
    </cfRule>
  </conditionalFormatting>
  <conditionalFormatting sqref="F33">
    <cfRule type="cellIs" dxfId="20" priority="18" operator="lessThan">
      <formula>0</formula>
    </cfRule>
    <cfRule type="cellIs" dxfId="19" priority="19" operator="greaterThan">
      <formula>0</formula>
    </cfRule>
    <cfRule type="cellIs" dxfId="18" priority="20" operator="lessThan">
      <formula>1</formula>
    </cfRule>
    <cfRule type="cellIs" dxfId="17" priority="21" operator="greaterThan">
      <formula>1</formula>
    </cfRule>
  </conditionalFormatting>
  <conditionalFormatting sqref="F33">
    <cfRule type="cellIs" dxfId="16" priority="16" operator="lessThan">
      <formula>0</formula>
    </cfRule>
    <cfRule type="cellIs" dxfId="15" priority="17" operator="greaterThan">
      <formula>0</formula>
    </cfRule>
  </conditionalFormatting>
  <conditionalFormatting sqref="F33">
    <cfRule type="cellIs" dxfId="14" priority="13" operator="lessThan">
      <formula>0</formula>
    </cfRule>
    <cfRule type="cellIs" dxfId="13" priority="14" operator="greaterThan">
      <formula>-1.649</formula>
    </cfRule>
    <cfRule type="cellIs" dxfId="12" priority="15" operator="greaterThan">
      <formula>0</formula>
    </cfRule>
  </conditionalFormatting>
  <conditionalFormatting sqref="F28 F30 F33 F10:F26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F8">
    <cfRule type="cellIs" dxfId="9" priority="7" operator="lessThan">
      <formula>0</formula>
    </cfRule>
    <cfRule type="cellIs" dxfId="8" priority="8" operator="greaterThan">
      <formula>0</formula>
    </cfRule>
    <cfRule type="cellIs" dxfId="7" priority="9" operator="lessThan">
      <formula>1</formula>
    </cfRule>
    <cfRule type="cellIs" dxfId="6" priority="10" operator="greaterThan">
      <formula>1</formula>
    </cfRule>
  </conditionalFormatting>
  <conditionalFormatting sqref="F8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F8">
    <cfRule type="cellIs" dxfId="3" priority="2" operator="lessThan">
      <formula>0</formula>
    </cfRule>
    <cfRule type="cellIs" dxfId="2" priority="3" operator="greaterThan">
      <formula>-1.649</formula>
    </cfRule>
    <cfRule type="cellIs" dxfId="1" priority="4" operator="greaterThan">
      <formula>0</formula>
    </cfRule>
  </conditionalFormatting>
  <conditionalFormatting sqref="F10:F34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CIFRAS EEFF</vt:lpstr>
      <vt:lpstr>MENSUAL</vt:lpstr>
      <vt:lpstr>CIFRAS CATY (MENSUAL)</vt:lpstr>
      <vt:lpstr>ACUMULADO</vt:lpstr>
      <vt:lpstr>GRAFICAS</vt:lpstr>
      <vt:lpstr>EJEC. PRES.</vt:lpstr>
      <vt:lpstr>COMPT. 2014 vs 2015</vt:lpstr>
      <vt:lpstr>ACUMULADO!Área_de_impresión</vt:lpstr>
      <vt:lpstr>'CIFRAS CATY (MENSUAL)'!Área_de_impresión</vt:lpstr>
      <vt:lpstr>'CIFRAS EEFF'!Área_de_impresión</vt:lpstr>
      <vt:lpstr>MENSUAL!Área_de_impresión</vt:lpstr>
      <vt:lpstr>ACUMULADO!Títulos_a_imprimir</vt:lpstr>
      <vt:lpstr>MENSUAL!Títulos_a_imprimir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Raul Pulido</cp:lastModifiedBy>
  <cp:lastPrinted>2014-07-26T21:27:21Z</cp:lastPrinted>
  <dcterms:created xsi:type="dcterms:W3CDTF">2014-01-09T22:32:16Z</dcterms:created>
  <dcterms:modified xsi:type="dcterms:W3CDTF">2015-10-13T21:07:28Z</dcterms:modified>
</cp:coreProperties>
</file>