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<sst xmlns="http://schemas.openxmlformats.org/spreadsheetml/2006/main" count="187" uniqueCount="67">
  <si>
    <t>Nazmie</t>
  </si>
  <si>
    <t>Tier</t>
  </si>
  <si>
    <t>Avg_Profit_Overall</t>
  </si>
  <si>
    <t>Discount Usage</t>
  </si>
  <si>
    <t>CR (Last 6 Months)</t>
  </si>
  <si>
    <t>Tally</t>
  </si>
  <si>
    <t>prism_plus</t>
  </si>
  <si>
    <t>pp_tally_percent</t>
  </si>
  <si>
    <t>non_prism_plus</t>
  </si>
  <si>
    <t>npp_tally_percent</t>
  </si>
  <si>
    <t>Bronze</t>
  </si>
  <si>
    <t>Week 4 Business Case</t>
  </si>
  <si>
    <t>Silver</t>
  </si>
  <si>
    <t>PLAN BUSINESS CASE WEEK 4</t>
  </si>
  <si>
    <t>Gold</t>
  </si>
  <si>
    <t>Platinum</t>
  </si>
  <si>
    <t>Null</t>
  </si>
  <si>
    <t>Non Prism+</t>
  </si>
  <si>
    <t>Typical Prism+ Member</t>
  </si>
  <si>
    <t>sum:</t>
  </si>
  <si>
    <t>Type</t>
  </si>
  <si>
    <t>Month</t>
  </si>
  <si>
    <t>Month Index</t>
  </si>
  <si>
    <t>Start</t>
  </si>
  <si>
    <t xml:space="preserve">End </t>
  </si>
  <si>
    <t>Churn Rate</t>
  </si>
  <si>
    <t>Customer Count</t>
  </si>
  <si>
    <t>Total Profit</t>
  </si>
  <si>
    <t>Avg Profit Per User</t>
  </si>
  <si>
    <t>Without Discount</t>
  </si>
  <si>
    <t>Cost of Discounting</t>
  </si>
  <si>
    <t>prism_plus_tier</t>
  </si>
  <si>
    <t>number</t>
  </si>
  <si>
    <t>Overall</t>
  </si>
  <si>
    <t>July</t>
  </si>
  <si>
    <t>null</t>
  </si>
  <si>
    <t>Aug</t>
  </si>
  <si>
    <t>Sep</t>
  </si>
  <si>
    <t>Oct</t>
  </si>
  <si>
    <t>Nov</t>
  </si>
  <si>
    <t>Dec</t>
  </si>
  <si>
    <t xml:space="preserve">Prism+ </t>
  </si>
  <si>
    <t>x</t>
  </si>
  <si>
    <t>Profit</t>
  </si>
  <si>
    <t>Mohammad</t>
  </si>
  <si>
    <t>total_purchs</t>
  </si>
  <si>
    <t>discount_purchs</t>
  </si>
  <si>
    <t>percent_discount</t>
  </si>
  <si>
    <t>CR %</t>
  </si>
  <si>
    <t>Visits</t>
  </si>
  <si>
    <t>Purchases</t>
  </si>
  <si>
    <t>ROI after 3 years (if discounting axed)</t>
  </si>
  <si>
    <t>2022 customer base</t>
  </si>
  <si>
    <t>YoY growth (+15%)</t>
  </si>
  <si>
    <t>Extra profit per user (£)</t>
  </si>
  <si>
    <t>Ratio of Prism+ members</t>
  </si>
  <si>
    <t>Worst case profit</t>
  </si>
  <si>
    <t>Best case profit</t>
  </si>
  <si>
    <t xml:space="preserve">CRs are high because we're looking purely at the last 6 months of 2022 (2022 had a boom)  </t>
  </si>
  <si>
    <t>year 1</t>
  </si>
  <si>
    <t>and only registered users</t>
  </si>
  <si>
    <t>Non Prism</t>
  </si>
  <si>
    <t>year 2</t>
  </si>
  <si>
    <t>year 3</t>
  </si>
  <si>
    <t>total saved after 3 years</t>
  </si>
  <si>
    <t xml:space="preserve">2022 users, 100 buckets of equal no' of users, depending on their spend, </t>
  </si>
  <si>
    <t>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</si>
</sst>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theme="1"/>
      <name val="Arial"/>
      <scheme val="minor"/>
    </font>
    <font>
      <sz val="9.0"/>
      <color rgb="FF000000"/>
      <name val="Inherit"/>
    </font>
    <font>
      <i/>
      <sz val="9.0"/>
      <color rgb="FF000000"/>
      <name val="Inherit"/>
    </font>
    <font>
      <sz val="9.0"/>
      <color theme="1"/>
      <name val="Roboto"/>
    </font>
    <font>
      <b/>
      <sz val="10.0"/>
      <color rgb="FF000000"/>
      <name val="Arial"/>
      <scheme val="minor"/>
    </font>
    <font>
      <sz val="12.0"/>
      <color theme="1"/>
      <name val="Arial"/>
      <scheme val="minor"/>
    </font>
    <font>
      <color rgb="FF000000"/>
      <name val="Inherit"/>
    </font>
    <font>
      <color theme="1"/>
      <name val="Inherit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3" fontId="4" numFmtId="10" xfId="0" applyFont="1" applyNumberFormat="1"/>
    <xf borderId="0" fillId="0" fontId="4" numFmtId="10" xfId="0" applyFont="1" applyNumberFormat="1"/>
    <xf borderId="0" fillId="0" fontId="3" numFmtId="0" xfId="0" applyAlignment="1" applyFont="1">
      <alignment horizontal="right" vertical="bottom"/>
    </xf>
    <xf borderId="0" fillId="0" fontId="4" numFmtId="0" xfId="0" applyFont="1"/>
    <xf borderId="0" fillId="4" fontId="3" numFmtId="0" xfId="0" applyAlignment="1" applyFill="1" applyFont="1">
      <alignment horizontal="right" vertical="bottom"/>
    </xf>
    <xf borderId="0" fillId="3" fontId="4" numFmtId="0" xfId="0" applyAlignment="1" applyFont="1">
      <alignment readingOrder="0"/>
    </xf>
    <xf borderId="0" fillId="0" fontId="4" numFmtId="164" xfId="0" applyFont="1" applyNumberFormat="1"/>
    <xf borderId="0" fillId="0" fontId="1" numFmtId="0" xfId="0" applyFont="1"/>
    <xf borderId="0" fillId="0" fontId="4" numFmtId="10" xfId="0" applyAlignment="1" applyFont="1" applyNumberFormat="1">
      <alignment readingOrder="0"/>
    </xf>
    <xf borderId="1" fillId="5" fontId="1" numFmtId="0" xfId="0" applyAlignment="1" applyBorder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right" readingOrder="0" shrinkToFit="0" wrapText="0"/>
    </xf>
    <xf borderId="1" fillId="7" fontId="6" numFmtId="0" xfId="0" applyAlignment="1" applyBorder="1" applyFill="1" applyFont="1">
      <alignment horizontal="right" readingOrder="0" shrinkToFit="0" wrapText="0"/>
    </xf>
    <xf borderId="1" fillId="7" fontId="7" numFmtId="0" xfId="0" applyAlignment="1" applyBorder="1" applyFont="1">
      <alignment horizontal="right" readingOrder="0" shrinkToFit="0" wrapText="0"/>
    </xf>
    <xf borderId="0" fillId="6" fontId="4" numFmtId="0" xfId="0" applyAlignment="1" applyFont="1">
      <alignment readingOrder="0"/>
    </xf>
    <xf borderId="0" fillId="6" fontId="4" numFmtId="164" xfId="0" applyAlignment="1" applyFont="1" applyNumberFormat="1">
      <alignment readingOrder="0"/>
    </xf>
    <xf borderId="0" fillId="6" fontId="4" numFmtId="164" xfId="0" applyFont="1" applyNumberFormat="1"/>
    <xf borderId="0" fillId="0" fontId="1" numFmtId="164" xfId="0" applyAlignment="1" applyFont="1" applyNumberFormat="1">
      <alignment horizontal="center" vertical="center"/>
    </xf>
    <xf borderId="0" fillId="8" fontId="8" numFmtId="0" xfId="0" applyFill="1" applyFont="1"/>
    <xf borderId="0" fillId="8" fontId="6" numFmtId="0" xfId="0" applyFont="1"/>
    <xf borderId="0" fillId="8" fontId="4" numFmtId="0" xfId="0" applyFont="1"/>
    <xf borderId="0" fillId="8" fontId="6" numFmtId="0" xfId="0" applyAlignment="1" applyFont="1">
      <alignment horizontal="right" readingOrder="0" shrinkToFit="0" wrapText="0"/>
    </xf>
    <xf borderId="0" fillId="8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8" fontId="6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2" fontId="1" numFmtId="0" xfId="0" applyFont="1"/>
    <xf borderId="0" fillId="2" fontId="4" numFmtId="0" xfId="0" applyFont="1"/>
    <xf borderId="0" fillId="3" fontId="4" numFmtId="0" xfId="0" applyFont="1"/>
    <xf borderId="0" fillId="3" fontId="4" numFmtId="0" xfId="0" applyAlignment="1" applyFont="1">
      <alignment readingOrder="0"/>
    </xf>
    <xf borderId="0" fillId="0" fontId="10" numFmtId="0" xfId="0" applyAlignment="1" applyFont="1">
      <alignment readingOrder="0"/>
    </xf>
    <xf borderId="2" fillId="7" fontId="6" numFmtId="0" xfId="0" applyAlignment="1" applyBorder="1" applyFont="1">
      <alignment horizontal="right" readingOrder="0" shrinkToFit="0" wrapText="0"/>
    </xf>
    <xf borderId="3" fillId="7" fontId="6" numFmtId="0" xfId="0" applyAlignment="1" applyBorder="1" applyFont="1">
      <alignment horizontal="right" readingOrder="0" shrinkToFit="0" wrapText="0"/>
    </xf>
    <xf borderId="3" fillId="7" fontId="7" numFmtId="0" xfId="0" applyAlignment="1" applyBorder="1" applyFont="1">
      <alignment horizontal="right" readingOrder="0" shrinkToFit="0" wrapText="0"/>
    </xf>
    <xf borderId="4" fillId="8" fontId="6" numFmtId="0" xfId="0" applyBorder="1" applyFont="1"/>
    <xf borderId="0" fillId="0" fontId="8" numFmtId="0" xfId="0" applyFont="1"/>
    <xf borderId="0" fillId="0" fontId="11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NDMQzswoM71pa29yH2y-XlCEpAkT-IFhTj0O5aQpBWY/edit" TargetMode="External"/><Relationship Id="rId2" Type="http://schemas.openxmlformats.org/officeDocument/2006/relationships/hyperlink" Target="https://docs.google.com/document/u/0/d/10x0C2NG_kZw9DLsY7XzFGk6KPUpvoF_JPzVqDpIq1zY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5.75"/>
    <col customWidth="1" min="3" max="3" width="17.5"/>
    <col customWidth="1" min="4" max="4" width="21.75"/>
    <col customWidth="1" min="5" max="5" width="21.38"/>
    <col customWidth="1" min="6" max="6" width="22.0"/>
    <col customWidth="1" min="7" max="8" width="16.13"/>
    <col customWidth="1" min="10" max="10" width="8.88"/>
    <col customWidth="1" min="11" max="11" width="13.0"/>
    <col customWidth="1" min="12" max="12" width="13.38"/>
    <col customWidth="1" min="13" max="14" width="13.75"/>
    <col customWidth="1" min="15" max="15" width="33.5"/>
  </cols>
  <sheetData>
    <row r="1">
      <c r="A1" s="1" t="s">
        <v>0</v>
      </c>
      <c r="B1" s="1"/>
      <c r="F1" s="1"/>
      <c r="G1" s="1"/>
      <c r="H1" s="2"/>
      <c r="K1" s="3"/>
      <c r="L1" s="3"/>
      <c r="M1" s="4"/>
      <c r="N1" s="5"/>
      <c r="O1" s="5"/>
    </row>
    <row r="2">
      <c r="A2" s="1" t="s">
        <v>1</v>
      </c>
      <c r="B2" s="1" t="s">
        <v>2</v>
      </c>
      <c r="F2" s="6" t="s">
        <v>1</v>
      </c>
      <c r="G2" s="6" t="s">
        <v>3</v>
      </c>
      <c r="H2" s="7" t="s">
        <v>4</v>
      </c>
      <c r="K2" s="3" t="s">
        <v>5</v>
      </c>
      <c r="L2" s="3" t="s">
        <v>6</v>
      </c>
      <c r="M2" s="4" t="s">
        <v>7</v>
      </c>
      <c r="N2" s="5" t="s">
        <v>8</v>
      </c>
      <c r="O2" s="5" t="s">
        <v>9</v>
      </c>
    </row>
    <row r="3">
      <c r="A3" s="4" t="s">
        <v>10</v>
      </c>
      <c r="B3" s="8">
        <v>64.9</v>
      </c>
      <c r="D3" s="9" t="s">
        <v>11</v>
      </c>
      <c r="F3" s="10" t="s">
        <v>10</v>
      </c>
      <c r="G3" s="11">
        <v>0.1231</v>
      </c>
      <c r="H3" s="11">
        <v>0.07025172537599234</v>
      </c>
      <c r="I3" s="12"/>
      <c r="K3" s="13">
        <v>2.0</v>
      </c>
      <c r="L3" s="14">
        <f>SUM(M13:M16)</f>
        <v>721</v>
      </c>
      <c r="M3" s="14">
        <f>ROUND(L3/L8,4)</f>
        <v>0.299</v>
      </c>
      <c r="N3" s="4">
        <f>M12</f>
        <v>27460</v>
      </c>
      <c r="O3" s="14">
        <f t="shared" ref="O3:O7" si="1">ROUND(N3/N$8,4)</f>
        <v>0.2798</v>
      </c>
    </row>
    <row r="4">
      <c r="A4" s="4" t="s">
        <v>12</v>
      </c>
      <c r="B4" s="8">
        <v>117.46</v>
      </c>
      <c r="D4" s="9" t="s">
        <v>13</v>
      </c>
      <c r="F4" s="10" t="s">
        <v>12</v>
      </c>
      <c r="G4" s="11">
        <v>0.1087</v>
      </c>
      <c r="H4" s="11">
        <v>0.07424108221273855</v>
      </c>
      <c r="I4" s="12"/>
      <c r="K4" s="13">
        <v>3.0</v>
      </c>
      <c r="L4" s="15">
        <f>SUM(M18:M21)</f>
        <v>771</v>
      </c>
      <c r="M4" s="14">
        <f>ROUND(L4/L8,4)</f>
        <v>0.3198</v>
      </c>
      <c r="N4" s="4">
        <f>M17</f>
        <v>31143</v>
      </c>
      <c r="O4" s="14">
        <f t="shared" si="1"/>
        <v>0.3173</v>
      </c>
    </row>
    <row r="5">
      <c r="A5" s="4" t="s">
        <v>14</v>
      </c>
      <c r="B5" s="8">
        <v>153.62</v>
      </c>
      <c r="F5" s="10" t="s">
        <v>14</v>
      </c>
      <c r="G5" s="11">
        <v>0.0932</v>
      </c>
      <c r="H5" s="11">
        <v>0.0800587587219978</v>
      </c>
      <c r="I5" s="12"/>
      <c r="K5" s="13">
        <v>4.0</v>
      </c>
      <c r="L5" s="13">
        <f>SUM(M23:M26)</f>
        <v>697</v>
      </c>
      <c r="M5" s="14">
        <f>ROUND(L5/L8,4)</f>
        <v>0.2891</v>
      </c>
      <c r="N5" s="4">
        <f>M22</f>
        <v>33948</v>
      </c>
      <c r="O5" s="14">
        <f t="shared" si="1"/>
        <v>0.3459</v>
      </c>
    </row>
    <row r="6">
      <c r="A6" s="4" t="s">
        <v>15</v>
      </c>
      <c r="B6" s="8">
        <v>415.91</v>
      </c>
      <c r="F6" s="10" t="s">
        <v>15</v>
      </c>
      <c r="G6" s="11">
        <v>0.0749</v>
      </c>
      <c r="H6" s="11">
        <v>0.08629927286643704</v>
      </c>
      <c r="I6" s="12"/>
      <c r="K6" s="13">
        <v>5.0</v>
      </c>
      <c r="L6" s="13">
        <f>SUM(M28:M31)</f>
        <v>220</v>
      </c>
      <c r="M6" s="14">
        <f>ROUND(L6/L8,4)</f>
        <v>0.0912</v>
      </c>
      <c r="N6" s="4">
        <f>M27</f>
        <v>5546</v>
      </c>
      <c r="O6" s="14">
        <f t="shared" si="1"/>
        <v>0.0565</v>
      </c>
    </row>
    <row r="7">
      <c r="A7" s="4" t="s">
        <v>16</v>
      </c>
      <c r="F7" s="16" t="s">
        <v>17</v>
      </c>
      <c r="G7" s="11">
        <v>0.0737</v>
      </c>
      <c r="H7" s="11">
        <v>0.08641765386345622</v>
      </c>
      <c r="K7" s="13">
        <v>6.0</v>
      </c>
      <c r="L7" s="13">
        <f>SUM(M33:M34)</f>
        <v>2</v>
      </c>
      <c r="M7" s="14">
        <f>ROUND(L7/L8,4)</f>
        <v>0.0008</v>
      </c>
      <c r="N7" s="4">
        <f>M32</f>
        <v>43</v>
      </c>
      <c r="O7" s="14">
        <f t="shared" si="1"/>
        <v>0.0004</v>
      </c>
    </row>
    <row r="8">
      <c r="A8" s="4" t="s">
        <v>18</v>
      </c>
      <c r="B8" s="17">
        <f>AVERAGE(B3:B6)</f>
        <v>187.9725</v>
      </c>
      <c r="K8" s="1" t="s">
        <v>19</v>
      </c>
      <c r="L8" s="14">
        <f>SUM(L3:L7)</f>
        <v>2411</v>
      </c>
      <c r="N8" s="14">
        <f>SUM(N3:N7)</f>
        <v>98140</v>
      </c>
    </row>
    <row r="9">
      <c r="H9" s="12">
        <f>H7-H3</f>
        <v>0.01616592849</v>
      </c>
      <c r="T9" s="18"/>
    </row>
    <row r="10">
      <c r="H10" s="19">
        <v>1.0E-4</v>
      </c>
      <c r="P10" s="20" t="s">
        <v>20</v>
      </c>
      <c r="Q10" s="20" t="s">
        <v>21</v>
      </c>
      <c r="R10" s="20" t="s">
        <v>22</v>
      </c>
      <c r="S10" s="20" t="s">
        <v>23</v>
      </c>
      <c r="T10" s="20" t="s">
        <v>24</v>
      </c>
      <c r="U10" s="20" t="s">
        <v>25</v>
      </c>
    </row>
    <row r="11">
      <c r="A11" s="21" t="s">
        <v>1</v>
      </c>
      <c r="B11" s="21" t="s">
        <v>26</v>
      </c>
      <c r="C11" s="21" t="s">
        <v>27</v>
      </c>
      <c r="D11" s="21" t="s">
        <v>28</v>
      </c>
      <c r="F11" s="4" t="s">
        <v>29</v>
      </c>
      <c r="G11" s="4" t="s">
        <v>29</v>
      </c>
      <c r="H11" s="4" t="s">
        <v>30</v>
      </c>
      <c r="I11" s="22"/>
      <c r="J11" s="22"/>
      <c r="K11" s="22" t="s">
        <v>5</v>
      </c>
      <c r="L11" s="22" t="s">
        <v>31</v>
      </c>
      <c r="M11" s="22" t="s">
        <v>32</v>
      </c>
      <c r="N11" s="23"/>
      <c r="O11" s="24"/>
      <c r="P11" s="25" t="s">
        <v>33</v>
      </c>
      <c r="Q11" s="25" t="s">
        <v>34</v>
      </c>
      <c r="R11" s="25">
        <v>7.0</v>
      </c>
      <c r="S11" s="25">
        <v>556.0</v>
      </c>
      <c r="T11" s="26"/>
      <c r="U11" s="26"/>
    </row>
    <row r="12">
      <c r="A12" s="27" t="s">
        <v>10</v>
      </c>
      <c r="B12" s="27">
        <v>1225.0</v>
      </c>
      <c r="C12" s="28">
        <v>31540.0</v>
      </c>
      <c r="D12" s="29">
        <f t="shared" ref="D12:D16" si="2">C12/B12</f>
        <v>25.74693878</v>
      </c>
      <c r="E12" s="30">
        <f>((B12/D18)*D12)+((B13/D18)*D13)+((B14/D18)*D14)+((B15/D18)*D15)</f>
        <v>28.79386147</v>
      </c>
      <c r="F12" s="17">
        <f>D12/0.95</f>
        <v>27.10204082</v>
      </c>
      <c r="G12" s="17">
        <f>C12/0.95</f>
        <v>33200</v>
      </c>
      <c r="H12" s="17">
        <f t="shared" ref="H12:H15" si="3">G12-C12</f>
        <v>1660</v>
      </c>
      <c r="I12" s="30">
        <f>((B12/D18)*F12)+((B13/D18)*F13)+((B14/D18)*F14)+((B15/D18)*F15)</f>
        <v>32.25546786</v>
      </c>
      <c r="K12" s="4">
        <v>2.0</v>
      </c>
      <c r="L12" s="4" t="s">
        <v>35</v>
      </c>
      <c r="M12" s="4">
        <v>27460.0</v>
      </c>
      <c r="O12" s="31"/>
      <c r="P12" s="25" t="s">
        <v>33</v>
      </c>
      <c r="Q12" s="25" t="s">
        <v>36</v>
      </c>
      <c r="R12" s="25">
        <v>8.0</v>
      </c>
      <c r="S12" s="25">
        <v>597.0</v>
      </c>
      <c r="T12" s="25">
        <v>556.0</v>
      </c>
      <c r="U12" s="14">
        <v>0.0737</v>
      </c>
      <c r="V12" s="32"/>
    </row>
    <row r="13">
      <c r="A13" s="27" t="s">
        <v>12</v>
      </c>
      <c r="B13" s="27">
        <v>545.0</v>
      </c>
      <c r="C13" s="28">
        <v>16064.0</v>
      </c>
      <c r="D13" s="29">
        <f t="shared" si="2"/>
        <v>29.47522936</v>
      </c>
      <c r="F13" s="17">
        <f>D13/0.9</f>
        <v>32.75025484</v>
      </c>
      <c r="G13" s="17">
        <f>C13/0.9</f>
        <v>17848.88889</v>
      </c>
      <c r="H13" s="17">
        <f t="shared" si="3"/>
        <v>1784.888889</v>
      </c>
      <c r="K13" s="4">
        <v>2.0</v>
      </c>
      <c r="L13" s="4" t="s">
        <v>10</v>
      </c>
      <c r="M13" s="4">
        <v>407.0</v>
      </c>
      <c r="O13" s="33"/>
      <c r="P13" s="25" t="s">
        <v>33</v>
      </c>
      <c r="Q13" s="25" t="s">
        <v>37</v>
      </c>
      <c r="R13" s="25">
        <v>9.0</v>
      </c>
      <c r="S13" s="25">
        <v>613.0</v>
      </c>
      <c r="T13" s="25">
        <v>597.0</v>
      </c>
      <c r="U13" s="14">
        <v>0.0268</v>
      </c>
      <c r="V13" s="32"/>
    </row>
    <row r="14">
      <c r="A14" s="27" t="s">
        <v>14</v>
      </c>
      <c r="B14" s="27">
        <v>258.0</v>
      </c>
      <c r="C14" s="28">
        <v>7527.0</v>
      </c>
      <c r="D14" s="29">
        <f t="shared" si="2"/>
        <v>29.1744186</v>
      </c>
      <c r="F14" s="8">
        <f>D14/0.85</f>
        <v>34.32284542</v>
      </c>
      <c r="G14" s="17">
        <f>C14/0.85</f>
        <v>8855.294118</v>
      </c>
      <c r="H14" s="17">
        <f t="shared" si="3"/>
        <v>1328.294118</v>
      </c>
      <c r="K14" s="4">
        <v>2.0</v>
      </c>
      <c r="L14" s="4" t="s">
        <v>14</v>
      </c>
      <c r="M14" s="4">
        <v>64.0</v>
      </c>
      <c r="O14" s="34"/>
      <c r="P14" s="25" t="s">
        <v>33</v>
      </c>
      <c r="Q14" s="25" t="s">
        <v>38</v>
      </c>
      <c r="R14" s="25">
        <v>10.0</v>
      </c>
      <c r="S14" s="25">
        <v>415.0</v>
      </c>
      <c r="T14" s="25">
        <v>613.0</v>
      </c>
      <c r="U14" s="14">
        <v>-0.32299999999999995</v>
      </c>
      <c r="V14" s="32"/>
    </row>
    <row r="15">
      <c r="A15" s="27" t="s">
        <v>15</v>
      </c>
      <c r="B15" s="27">
        <v>383.0</v>
      </c>
      <c r="C15" s="28">
        <v>14291.0</v>
      </c>
      <c r="D15" s="29">
        <f t="shared" si="2"/>
        <v>37.31331593</v>
      </c>
      <c r="F15" s="17">
        <f>D15/0.8</f>
        <v>46.64164491</v>
      </c>
      <c r="G15" s="17">
        <f>C15/0.8</f>
        <v>17863.75</v>
      </c>
      <c r="H15" s="17">
        <f t="shared" si="3"/>
        <v>3572.75</v>
      </c>
      <c r="K15" s="4">
        <v>2.0</v>
      </c>
      <c r="L15" s="4" t="s">
        <v>15</v>
      </c>
      <c r="M15" s="4">
        <v>93.0</v>
      </c>
      <c r="O15" s="34"/>
      <c r="P15" s="25" t="s">
        <v>33</v>
      </c>
      <c r="Q15" s="25" t="s">
        <v>39</v>
      </c>
      <c r="R15" s="25">
        <v>11.0</v>
      </c>
      <c r="S15" s="25">
        <v>539.0</v>
      </c>
      <c r="T15" s="25">
        <v>415.0</v>
      </c>
      <c r="U15" s="14">
        <v>0.2988</v>
      </c>
      <c r="V15" s="32"/>
      <c r="W15" s="4">
        <v>100.0</v>
      </c>
    </row>
    <row r="16">
      <c r="A16" s="27" t="s">
        <v>16</v>
      </c>
      <c r="B16" s="27">
        <v>98140.0</v>
      </c>
      <c r="C16" s="28">
        <v>3069146.0</v>
      </c>
      <c r="D16" s="29">
        <f t="shared" si="2"/>
        <v>31.27314041</v>
      </c>
      <c r="K16" s="4">
        <v>2.0</v>
      </c>
      <c r="L16" s="4" t="s">
        <v>12</v>
      </c>
      <c r="M16" s="4">
        <v>157.0</v>
      </c>
      <c r="O16" s="34"/>
      <c r="P16" s="25" t="s">
        <v>33</v>
      </c>
      <c r="Q16" s="25" t="s">
        <v>40</v>
      </c>
      <c r="R16" s="25">
        <v>12.0</v>
      </c>
      <c r="S16" s="25">
        <v>532.0</v>
      </c>
      <c r="T16" s="25">
        <v>539.0</v>
      </c>
      <c r="U16" s="14">
        <v>-0.013000000000000001</v>
      </c>
      <c r="V16" s="32"/>
    </row>
    <row r="17">
      <c r="A17" s="4" t="s">
        <v>41</v>
      </c>
      <c r="B17" s="4" t="s">
        <v>42</v>
      </c>
      <c r="C17" s="35" t="s">
        <v>43</v>
      </c>
      <c r="E17" s="1"/>
      <c r="K17" s="4">
        <v>3.0</v>
      </c>
      <c r="L17" s="4" t="s">
        <v>35</v>
      </c>
      <c r="M17" s="4">
        <v>31143.0</v>
      </c>
      <c r="O17" s="34"/>
      <c r="P17" s="25" t="s">
        <v>15</v>
      </c>
      <c r="Q17" s="25" t="s">
        <v>34</v>
      </c>
      <c r="R17" s="25">
        <v>7.0</v>
      </c>
      <c r="S17" s="25">
        <v>116.0</v>
      </c>
      <c r="T17" s="26"/>
      <c r="U17" s="36"/>
      <c r="V17" s="37"/>
    </row>
    <row r="18">
      <c r="D18" s="14">
        <f>SUM(B12:B15)</f>
        <v>2411</v>
      </c>
      <c r="E18" s="17">
        <f>D16-E12</f>
        <v>2.479278943</v>
      </c>
      <c r="G18" s="4" t="s">
        <v>14</v>
      </c>
      <c r="H18" s="17">
        <f t="shared" ref="H18:H19" si="4">H14/B14</f>
        <v>5.148426813</v>
      </c>
      <c r="K18" s="4">
        <v>3.0</v>
      </c>
      <c r="L18" s="4" t="s">
        <v>10</v>
      </c>
      <c r="M18" s="4">
        <v>386.0</v>
      </c>
      <c r="O18" s="34"/>
      <c r="P18" s="25" t="s">
        <v>15</v>
      </c>
      <c r="Q18" s="25" t="s">
        <v>36</v>
      </c>
      <c r="R18" s="25">
        <v>8.0</v>
      </c>
      <c r="S18" s="25">
        <v>127.0</v>
      </c>
      <c r="T18" s="25">
        <v>116.0</v>
      </c>
      <c r="U18" s="14">
        <v>0.09480000000000001</v>
      </c>
      <c r="V18" s="32"/>
    </row>
    <row r="19">
      <c r="A19" s="38"/>
      <c r="B19" s="38"/>
      <c r="G19" s="4" t="s">
        <v>15</v>
      </c>
      <c r="H19" s="17">
        <f t="shared" si="4"/>
        <v>9.328328982</v>
      </c>
      <c r="K19" s="4">
        <v>3.0</v>
      </c>
      <c r="L19" s="4" t="s">
        <v>14</v>
      </c>
      <c r="M19" s="4">
        <v>85.0</v>
      </c>
      <c r="P19" s="25" t="s">
        <v>15</v>
      </c>
      <c r="Q19" s="25" t="s">
        <v>37</v>
      </c>
      <c r="R19" s="25">
        <v>9.0</v>
      </c>
      <c r="S19" s="25">
        <v>116.0</v>
      </c>
      <c r="T19" s="25">
        <v>127.0</v>
      </c>
      <c r="U19" s="14">
        <v>-0.0866</v>
      </c>
      <c r="V19" s="32"/>
    </row>
    <row r="20">
      <c r="A20" s="39"/>
      <c r="B20" s="40"/>
      <c r="K20" s="4">
        <v>3.0</v>
      </c>
      <c r="L20" s="4" t="s">
        <v>15</v>
      </c>
      <c r="M20" s="4">
        <v>129.0</v>
      </c>
      <c r="P20" s="25" t="s">
        <v>15</v>
      </c>
      <c r="Q20" s="25" t="s">
        <v>38</v>
      </c>
      <c r="R20" s="25">
        <v>10.0</v>
      </c>
      <c r="S20" s="25">
        <v>78.0</v>
      </c>
      <c r="T20" s="25">
        <v>116.0</v>
      </c>
      <c r="U20" s="14">
        <v>-0.3276</v>
      </c>
      <c r="V20" s="32"/>
    </row>
    <row r="21">
      <c r="A21" s="39"/>
      <c r="B21" s="40"/>
      <c r="K21" s="4">
        <v>3.0</v>
      </c>
      <c r="L21" s="4" t="s">
        <v>12</v>
      </c>
      <c r="M21" s="4">
        <v>171.0</v>
      </c>
      <c r="P21" s="25" t="s">
        <v>15</v>
      </c>
      <c r="Q21" s="25" t="s">
        <v>39</v>
      </c>
      <c r="R21" s="25">
        <v>11.0</v>
      </c>
      <c r="S21" s="25">
        <v>104.0</v>
      </c>
      <c r="T21" s="25">
        <v>78.0</v>
      </c>
      <c r="U21" s="14">
        <v>0.3333</v>
      </c>
      <c r="V21" s="32"/>
    </row>
    <row r="22">
      <c r="A22" s="39"/>
      <c r="B22" s="40"/>
      <c r="K22" s="4">
        <v>4.0</v>
      </c>
      <c r="L22" s="4" t="s">
        <v>35</v>
      </c>
      <c r="M22" s="4">
        <v>33948.0</v>
      </c>
      <c r="P22" s="25" t="s">
        <v>15</v>
      </c>
      <c r="Q22" s="25" t="s">
        <v>40</v>
      </c>
      <c r="R22" s="25">
        <v>12.0</v>
      </c>
      <c r="S22" s="25">
        <v>100.0</v>
      </c>
      <c r="T22" s="25">
        <v>104.0</v>
      </c>
      <c r="U22" s="14">
        <v>-0.0385</v>
      </c>
      <c r="V22" s="32"/>
    </row>
    <row r="23">
      <c r="K23" s="4">
        <v>4.0</v>
      </c>
      <c r="L23" s="4" t="s">
        <v>10</v>
      </c>
      <c r="M23" s="4">
        <v>332.0</v>
      </c>
      <c r="P23" s="25" t="s">
        <v>14</v>
      </c>
      <c r="Q23" s="25" t="s">
        <v>34</v>
      </c>
      <c r="R23" s="25">
        <v>7.0</v>
      </c>
      <c r="S23" s="25">
        <v>54.0</v>
      </c>
      <c r="T23" s="26"/>
      <c r="U23" s="36"/>
      <c r="V23" s="37"/>
    </row>
    <row r="24">
      <c r="K24" s="4">
        <v>4.0</v>
      </c>
      <c r="L24" s="4" t="s">
        <v>14</v>
      </c>
      <c r="M24" s="4">
        <v>88.0</v>
      </c>
      <c r="P24" s="25" t="s">
        <v>14</v>
      </c>
      <c r="Q24" s="25" t="s">
        <v>36</v>
      </c>
      <c r="R24" s="25">
        <v>8.0</v>
      </c>
      <c r="S24" s="25">
        <v>68.0</v>
      </c>
      <c r="T24" s="25">
        <v>54.0</v>
      </c>
      <c r="U24" s="14">
        <v>0.2593</v>
      </c>
      <c r="V24" s="32"/>
    </row>
    <row r="25">
      <c r="F25" s="6" t="s">
        <v>44</v>
      </c>
      <c r="G25" s="41"/>
      <c r="H25" s="42"/>
      <c r="K25" s="4">
        <v>4.0</v>
      </c>
      <c r="L25" s="4" t="s">
        <v>15</v>
      </c>
      <c r="M25" s="4">
        <v>113.0</v>
      </c>
      <c r="P25" s="25" t="s">
        <v>14</v>
      </c>
      <c r="Q25" s="25" t="s">
        <v>37</v>
      </c>
      <c r="R25" s="25">
        <v>9.0</v>
      </c>
      <c r="S25" s="25">
        <v>69.0</v>
      </c>
      <c r="T25" s="25">
        <v>68.0</v>
      </c>
      <c r="U25" s="14">
        <v>0.0147</v>
      </c>
      <c r="V25" s="32"/>
    </row>
    <row r="26">
      <c r="A26" s="22" t="s">
        <v>31</v>
      </c>
      <c r="B26" s="22" t="s">
        <v>45</v>
      </c>
      <c r="C26" s="22" t="s">
        <v>46</v>
      </c>
      <c r="D26" s="22" t="s">
        <v>47</v>
      </c>
      <c r="F26" s="6" t="s">
        <v>1</v>
      </c>
      <c r="G26" s="7" t="s">
        <v>4</v>
      </c>
      <c r="H26" s="6" t="s">
        <v>48</v>
      </c>
      <c r="K26" s="4">
        <v>4.0</v>
      </c>
      <c r="L26" s="4" t="s">
        <v>12</v>
      </c>
      <c r="M26" s="4">
        <v>164.0</v>
      </c>
      <c r="O26" s="34"/>
      <c r="P26" s="25" t="s">
        <v>14</v>
      </c>
      <c r="Q26" s="25" t="s">
        <v>38</v>
      </c>
      <c r="R26" s="25">
        <v>10.0</v>
      </c>
      <c r="S26" s="25">
        <v>51.0</v>
      </c>
      <c r="T26" s="25">
        <v>69.0</v>
      </c>
      <c r="U26" s="14">
        <v>-0.2609</v>
      </c>
      <c r="V26" s="32"/>
    </row>
    <row r="27">
      <c r="A27" s="4" t="s">
        <v>10</v>
      </c>
      <c r="B27" s="4">
        <v>11844.0</v>
      </c>
      <c r="C27" s="4">
        <v>1458.0</v>
      </c>
      <c r="D27" s="12">
        <f t="shared" ref="D27:D31" si="5">ROUND(C27/B27,4)</f>
        <v>0.1231</v>
      </c>
      <c r="F27" s="16" t="s">
        <v>10</v>
      </c>
      <c r="G27" s="43">
        <f t="shared" ref="G27:G31" si="6">H34/G34</f>
        <v>0.07025172538</v>
      </c>
      <c r="H27" s="11">
        <v>0.07025172537599234</v>
      </c>
      <c r="K27" s="4">
        <v>5.0</v>
      </c>
      <c r="L27" s="4" t="s">
        <v>35</v>
      </c>
      <c r="M27" s="4">
        <v>5546.0</v>
      </c>
      <c r="O27" s="33"/>
      <c r="P27" s="25" t="s">
        <v>14</v>
      </c>
      <c r="Q27" s="25" t="s">
        <v>39</v>
      </c>
      <c r="R27" s="25">
        <v>11.0</v>
      </c>
      <c r="S27" s="25">
        <v>56.0</v>
      </c>
      <c r="T27" s="25">
        <v>51.0</v>
      </c>
      <c r="U27" s="14">
        <v>0.098</v>
      </c>
      <c r="V27" s="32"/>
    </row>
    <row r="28">
      <c r="A28" s="4" t="s">
        <v>12</v>
      </c>
      <c r="B28" s="4">
        <v>6919.0</v>
      </c>
      <c r="C28" s="4">
        <v>752.0</v>
      </c>
      <c r="D28" s="12">
        <f t="shared" si="5"/>
        <v>0.1087</v>
      </c>
      <c r="F28" s="16" t="s">
        <v>12</v>
      </c>
      <c r="G28" s="43">
        <f t="shared" si="6"/>
        <v>0.07424108221</v>
      </c>
      <c r="H28" s="11">
        <v>0.07424108221273855</v>
      </c>
      <c r="K28" s="4">
        <v>5.0</v>
      </c>
      <c r="L28" s="4" t="s">
        <v>10</v>
      </c>
      <c r="M28" s="4">
        <v>100.0</v>
      </c>
      <c r="O28" s="33"/>
      <c r="P28" s="25" t="s">
        <v>14</v>
      </c>
      <c r="Q28" s="25" t="s">
        <v>40</v>
      </c>
      <c r="R28" s="25">
        <v>12.0</v>
      </c>
      <c r="S28" s="25">
        <v>55.0</v>
      </c>
      <c r="T28" s="25">
        <v>56.0</v>
      </c>
      <c r="U28" s="14">
        <v>-0.0179</v>
      </c>
      <c r="V28" s="32"/>
    </row>
    <row r="29">
      <c r="A29" s="4" t="s">
        <v>14</v>
      </c>
      <c r="B29" s="4">
        <v>3777.0</v>
      </c>
      <c r="C29" s="4">
        <v>352.0</v>
      </c>
      <c r="D29" s="12">
        <f t="shared" si="5"/>
        <v>0.0932</v>
      </c>
      <c r="F29" s="16" t="s">
        <v>14</v>
      </c>
      <c r="G29" s="43">
        <f t="shared" si="6"/>
        <v>0.08005875872</v>
      </c>
      <c r="H29" s="11">
        <v>0.0800587587219978</v>
      </c>
      <c r="K29" s="4">
        <v>5.0</v>
      </c>
      <c r="L29" s="4" t="s">
        <v>14</v>
      </c>
      <c r="M29" s="4">
        <v>21.0</v>
      </c>
      <c r="O29" s="34"/>
      <c r="P29" s="25" t="s">
        <v>12</v>
      </c>
      <c r="Q29" s="25" t="s">
        <v>34</v>
      </c>
      <c r="R29" s="25">
        <v>7.0</v>
      </c>
      <c r="S29" s="25">
        <v>133.0</v>
      </c>
      <c r="T29" s="26"/>
      <c r="U29" s="36"/>
      <c r="V29" s="37"/>
    </row>
    <row r="30">
      <c r="A30" s="4" t="s">
        <v>15</v>
      </c>
      <c r="B30" s="4">
        <v>9196.0</v>
      </c>
      <c r="C30" s="4">
        <v>689.0</v>
      </c>
      <c r="D30" s="12">
        <f t="shared" si="5"/>
        <v>0.0749</v>
      </c>
      <c r="F30" s="16" t="s">
        <v>15</v>
      </c>
      <c r="G30" s="43">
        <f t="shared" si="6"/>
        <v>0.08629927287</v>
      </c>
      <c r="H30" s="11">
        <v>0.08629927286643704</v>
      </c>
      <c r="K30" s="4">
        <v>5.0</v>
      </c>
      <c r="L30" s="4" t="s">
        <v>15</v>
      </c>
      <c r="M30" s="4">
        <v>47.0</v>
      </c>
      <c r="O30" s="34"/>
      <c r="P30" s="25" t="s">
        <v>12</v>
      </c>
      <c r="Q30" s="25" t="s">
        <v>36</v>
      </c>
      <c r="R30" s="25">
        <v>8.0</v>
      </c>
      <c r="S30" s="25">
        <v>134.0</v>
      </c>
      <c r="T30" s="25">
        <v>133.0</v>
      </c>
      <c r="U30" s="14">
        <v>0.0075</v>
      </c>
      <c r="V30" s="32"/>
    </row>
    <row r="31">
      <c r="A31" s="4" t="s">
        <v>35</v>
      </c>
      <c r="B31" s="4">
        <v>480125.0</v>
      </c>
      <c r="C31" s="4">
        <v>35393.0</v>
      </c>
      <c r="D31" s="12">
        <f t="shared" si="5"/>
        <v>0.0737</v>
      </c>
      <c r="F31" s="16" t="s">
        <v>16</v>
      </c>
      <c r="G31" s="43">
        <f t="shared" si="6"/>
        <v>0.08641765386</v>
      </c>
      <c r="H31" s="11">
        <v>0.08641765386345622</v>
      </c>
      <c r="K31" s="4">
        <v>5.0</v>
      </c>
      <c r="L31" s="4" t="s">
        <v>12</v>
      </c>
      <c r="M31" s="4">
        <v>52.0</v>
      </c>
      <c r="O31" s="34"/>
      <c r="P31" s="25" t="s">
        <v>12</v>
      </c>
      <c r="Q31" s="25" t="s">
        <v>37</v>
      </c>
      <c r="R31" s="25">
        <v>9.0</v>
      </c>
      <c r="S31" s="25">
        <v>150.0</v>
      </c>
      <c r="T31" s="25">
        <v>134.0</v>
      </c>
      <c r="U31" s="14">
        <v>0.11939999999999999</v>
      </c>
      <c r="V31" s="32"/>
    </row>
    <row r="32">
      <c r="F32" s="43"/>
      <c r="G32" s="43"/>
      <c r="H32" s="43"/>
      <c r="K32" s="4">
        <v>6.0</v>
      </c>
      <c r="L32" s="4" t="s">
        <v>35</v>
      </c>
      <c r="M32" s="4">
        <v>43.0</v>
      </c>
      <c r="O32" s="34"/>
      <c r="P32" s="25" t="s">
        <v>12</v>
      </c>
      <c r="Q32" s="25" t="s">
        <v>38</v>
      </c>
      <c r="R32" s="25">
        <v>10.0</v>
      </c>
      <c r="S32" s="25">
        <v>90.0</v>
      </c>
      <c r="T32" s="25">
        <v>150.0</v>
      </c>
      <c r="U32" s="14">
        <v>-0.4</v>
      </c>
      <c r="V32" s="32"/>
    </row>
    <row r="33">
      <c r="F33" s="6" t="s">
        <v>1</v>
      </c>
      <c r="G33" s="6" t="s">
        <v>49</v>
      </c>
      <c r="H33" s="6" t="s">
        <v>50</v>
      </c>
      <c r="K33" s="4">
        <v>6.0</v>
      </c>
      <c r="L33" s="4" t="s">
        <v>15</v>
      </c>
      <c r="M33" s="4">
        <v>1.0</v>
      </c>
      <c r="O33" s="34"/>
      <c r="P33" s="25" t="s">
        <v>12</v>
      </c>
      <c r="Q33" s="25" t="s">
        <v>39</v>
      </c>
      <c r="R33" s="25">
        <v>11.0</v>
      </c>
      <c r="S33" s="25">
        <v>108.0</v>
      </c>
      <c r="T33" s="25">
        <v>90.0</v>
      </c>
      <c r="U33" s="14">
        <v>0.2</v>
      </c>
      <c r="V33" s="32"/>
    </row>
    <row r="34">
      <c r="A34" s="22"/>
      <c r="F34" s="16" t="s">
        <v>10</v>
      </c>
      <c r="G34" s="16">
        <v>25067.0</v>
      </c>
      <c r="H34" s="16">
        <v>1761.0</v>
      </c>
      <c r="I34" s="14">
        <f>sum(H34:H37)</f>
        <v>4021</v>
      </c>
      <c r="K34" s="4">
        <v>6.0</v>
      </c>
      <c r="L34" s="4" t="s">
        <v>12</v>
      </c>
      <c r="M34" s="4">
        <v>1.0</v>
      </c>
      <c r="O34" s="34"/>
      <c r="P34" s="25" t="s">
        <v>12</v>
      </c>
      <c r="Q34" s="25" t="s">
        <v>40</v>
      </c>
      <c r="R34" s="25">
        <v>12.0</v>
      </c>
      <c r="S34" s="25">
        <v>131.0</v>
      </c>
      <c r="T34" s="25">
        <v>108.0</v>
      </c>
      <c r="U34" s="14">
        <v>0.213</v>
      </c>
      <c r="V34" s="32"/>
    </row>
    <row r="35">
      <c r="A35" s="1" t="s">
        <v>51</v>
      </c>
      <c r="F35" s="16" t="s">
        <v>12</v>
      </c>
      <c r="G35" s="16">
        <v>12419.0</v>
      </c>
      <c r="H35" s="16">
        <v>922.0</v>
      </c>
      <c r="P35" s="25" t="s">
        <v>10</v>
      </c>
      <c r="Q35" s="25" t="s">
        <v>34</v>
      </c>
      <c r="R35" s="25">
        <v>7.0</v>
      </c>
      <c r="S35" s="25">
        <v>253.0</v>
      </c>
      <c r="T35" s="26"/>
      <c r="V35" s="32"/>
    </row>
    <row r="36">
      <c r="A36" s="4" t="s">
        <v>52</v>
      </c>
      <c r="B36" s="4">
        <v>186674.0</v>
      </c>
      <c r="F36" s="16" t="s">
        <v>14</v>
      </c>
      <c r="G36" s="16">
        <v>5446.0</v>
      </c>
      <c r="H36" s="16">
        <v>436.0</v>
      </c>
      <c r="O36" s="33"/>
      <c r="P36" s="25" t="s">
        <v>10</v>
      </c>
      <c r="Q36" s="25" t="s">
        <v>36</v>
      </c>
      <c r="R36" s="25">
        <v>8.0</v>
      </c>
      <c r="S36" s="25">
        <v>268.0</v>
      </c>
      <c r="T36" s="25">
        <v>253.0</v>
      </c>
      <c r="U36" s="14">
        <v>0.0593</v>
      </c>
      <c r="V36" s="32"/>
    </row>
    <row r="37">
      <c r="A37" s="4" t="s">
        <v>53</v>
      </c>
      <c r="B37" s="4">
        <v>1.15</v>
      </c>
      <c r="F37" s="16" t="s">
        <v>15</v>
      </c>
      <c r="G37" s="16">
        <v>10452.0</v>
      </c>
      <c r="H37" s="16">
        <v>902.0</v>
      </c>
      <c r="O37" s="34"/>
      <c r="P37" s="25" t="s">
        <v>10</v>
      </c>
      <c r="Q37" s="25" t="s">
        <v>37</v>
      </c>
      <c r="R37" s="25">
        <v>9.0</v>
      </c>
      <c r="S37" s="25">
        <v>278.0</v>
      </c>
      <c r="T37" s="25">
        <v>268.0</v>
      </c>
      <c r="U37" s="14">
        <v>0.0373</v>
      </c>
      <c r="V37" s="32"/>
    </row>
    <row r="38">
      <c r="A38" s="4" t="s">
        <v>54</v>
      </c>
      <c r="B38" s="4">
        <v>0.5</v>
      </c>
      <c r="C38" s="4">
        <v>2.5</v>
      </c>
      <c r="F38" s="16" t="s">
        <v>16</v>
      </c>
      <c r="G38" s="44">
        <v>1493792.0</v>
      </c>
      <c r="H38" s="44">
        <v>129090.0</v>
      </c>
      <c r="O38" s="34"/>
      <c r="P38" s="25" t="s">
        <v>10</v>
      </c>
      <c r="Q38" s="25" t="s">
        <v>38</v>
      </c>
      <c r="R38" s="25">
        <v>10.0</v>
      </c>
      <c r="S38" s="25">
        <v>196.0</v>
      </c>
      <c r="T38" s="25">
        <v>278.0</v>
      </c>
      <c r="U38" s="14">
        <v>-0.295</v>
      </c>
      <c r="V38" s="32"/>
    </row>
    <row r="39">
      <c r="A39" s="4" t="s">
        <v>55</v>
      </c>
      <c r="B39" s="4">
        <v>0.3</v>
      </c>
      <c r="J39" s="45"/>
      <c r="O39" s="34"/>
      <c r="P39" s="25" t="s">
        <v>10</v>
      </c>
      <c r="Q39" s="25" t="s">
        <v>39</v>
      </c>
      <c r="R39" s="25">
        <v>11.0</v>
      </c>
      <c r="S39" s="25">
        <v>271.0</v>
      </c>
      <c r="T39" s="25">
        <v>196.0</v>
      </c>
      <c r="U39" s="14">
        <v>0.38270000000000004</v>
      </c>
      <c r="V39" s="32"/>
    </row>
    <row r="40">
      <c r="B40" s="4" t="s">
        <v>56</v>
      </c>
      <c r="C40" s="4" t="s">
        <v>57</v>
      </c>
      <c r="F40" s="4" t="s">
        <v>58</v>
      </c>
      <c r="O40" s="34"/>
      <c r="P40" s="25" t="s">
        <v>10</v>
      </c>
      <c r="Q40" s="25" t="s">
        <v>40</v>
      </c>
      <c r="R40" s="25">
        <v>12.0</v>
      </c>
      <c r="S40" s="25">
        <v>246.0</v>
      </c>
      <c r="T40" s="25">
        <v>271.0</v>
      </c>
      <c r="U40" s="14">
        <v>-0.09230000000000001</v>
      </c>
      <c r="V40" s="32"/>
    </row>
    <row r="41">
      <c r="A41" s="4" t="s">
        <v>59</v>
      </c>
      <c r="B41" s="17">
        <f>B36*B37*B38*B39</f>
        <v>32201.265</v>
      </c>
      <c r="C41" s="17">
        <f>B36*B37*C38*B39</f>
        <v>161006.325</v>
      </c>
      <c r="F41" s="4" t="s">
        <v>60</v>
      </c>
      <c r="O41" s="34"/>
      <c r="P41" s="46" t="s">
        <v>61</v>
      </c>
      <c r="Q41" s="47" t="s">
        <v>34</v>
      </c>
      <c r="R41" s="47">
        <v>7.0</v>
      </c>
      <c r="S41" s="47">
        <v>14244.0</v>
      </c>
      <c r="T41" s="48"/>
      <c r="V41" s="32"/>
    </row>
    <row r="42">
      <c r="A42" s="4" t="s">
        <v>62</v>
      </c>
      <c r="B42" s="17">
        <f>B36*B37*B37*B38*B39</f>
        <v>37031.45475</v>
      </c>
      <c r="C42" s="17">
        <f>B36*B37*B37*C38*B39</f>
        <v>185157.2738</v>
      </c>
      <c r="O42" s="24"/>
      <c r="P42" s="46" t="s">
        <v>61</v>
      </c>
      <c r="Q42" s="47" t="s">
        <v>36</v>
      </c>
      <c r="R42" s="47">
        <v>8.0</v>
      </c>
      <c r="S42" s="47">
        <v>16096.0</v>
      </c>
      <c r="T42" s="47">
        <v>14244.0</v>
      </c>
      <c r="U42" s="14">
        <v>0.13</v>
      </c>
      <c r="V42" s="32"/>
    </row>
    <row r="43">
      <c r="A43" s="4" t="s">
        <v>63</v>
      </c>
      <c r="B43" s="17">
        <f>B36*B37*B37*B37*B38*B39</f>
        <v>42586.17296</v>
      </c>
      <c r="C43" s="17">
        <f>B36*B37*B37*B37*C38*B39</f>
        <v>212930.8648</v>
      </c>
      <c r="P43" s="46" t="s">
        <v>61</v>
      </c>
      <c r="Q43" s="47" t="s">
        <v>37</v>
      </c>
      <c r="R43" s="47">
        <v>9.0</v>
      </c>
      <c r="S43" s="47">
        <v>16302.0</v>
      </c>
      <c r="T43" s="47">
        <v>16096.0</v>
      </c>
      <c r="U43" s="14">
        <v>0.0128</v>
      </c>
      <c r="V43" s="32"/>
    </row>
    <row r="44">
      <c r="A44" s="4" t="s">
        <v>64</v>
      </c>
      <c r="B44" s="17">
        <f t="shared" ref="B44:C44" si="7">SUM(B41:B43)</f>
        <v>111818.8927</v>
      </c>
      <c r="C44" s="17">
        <f t="shared" si="7"/>
        <v>559094.4636</v>
      </c>
      <c r="D44" s="18"/>
      <c r="F44" s="1" t="s">
        <v>65</v>
      </c>
      <c r="I44" s="22"/>
      <c r="P44" s="46" t="s">
        <v>61</v>
      </c>
      <c r="Q44" s="47" t="s">
        <v>38</v>
      </c>
      <c r="R44" s="47">
        <v>10.0</v>
      </c>
      <c r="S44" s="47">
        <v>14025.0</v>
      </c>
      <c r="T44" s="47">
        <v>16302.0</v>
      </c>
      <c r="U44" s="14">
        <v>-0.13970000000000002</v>
      </c>
      <c r="V44" s="32"/>
    </row>
    <row r="45">
      <c r="F45" s="22" t="s">
        <v>66</v>
      </c>
      <c r="G45" s="22"/>
      <c r="H45" s="22"/>
      <c r="I45" s="22"/>
      <c r="J45" s="22"/>
      <c r="K45" s="23"/>
      <c r="P45" s="46" t="s">
        <v>61</v>
      </c>
      <c r="Q45" s="47" t="s">
        <v>39</v>
      </c>
      <c r="R45" s="47">
        <v>11.0</v>
      </c>
      <c r="S45" s="47">
        <v>22655.0</v>
      </c>
      <c r="T45" s="47">
        <v>14025.0</v>
      </c>
      <c r="U45" s="14">
        <v>0.6153</v>
      </c>
      <c r="V45" s="32"/>
    </row>
    <row r="46">
      <c r="F46" s="4"/>
      <c r="G46" s="4"/>
      <c r="H46" s="4"/>
      <c r="J46" s="12"/>
      <c r="P46" s="46" t="s">
        <v>61</v>
      </c>
      <c r="Q46" s="47" t="s">
        <v>40</v>
      </c>
      <c r="R46" s="47">
        <v>12.0</v>
      </c>
      <c r="S46" s="47">
        <v>26683.0</v>
      </c>
      <c r="T46" s="47">
        <v>22655.0</v>
      </c>
      <c r="U46" s="14">
        <v>0.1778</v>
      </c>
      <c r="V46" s="32"/>
    </row>
    <row r="47">
      <c r="F47" s="4"/>
      <c r="G47" s="4"/>
      <c r="H47" s="4"/>
      <c r="J47" s="12"/>
      <c r="V47" s="49"/>
    </row>
    <row r="48">
      <c r="F48" s="4"/>
      <c r="G48" s="4"/>
      <c r="H48" s="4"/>
      <c r="J48" s="12"/>
      <c r="V48" s="49"/>
    </row>
    <row r="49">
      <c r="F49" s="4"/>
      <c r="G49" s="4"/>
      <c r="H49" s="4"/>
      <c r="J49" s="12"/>
      <c r="V49" s="49"/>
    </row>
    <row r="50">
      <c r="F50" s="4"/>
      <c r="G50" s="4"/>
      <c r="H50" s="4"/>
      <c r="J50" s="12"/>
      <c r="V50" s="49"/>
    </row>
    <row r="51">
      <c r="V51" s="49"/>
    </row>
    <row r="52">
      <c r="T52" s="14">
        <v>0.0737</v>
      </c>
      <c r="V52" s="49"/>
    </row>
    <row r="53">
      <c r="O53" s="50"/>
      <c r="P53" s="51"/>
      <c r="T53" s="14">
        <v>0.0268</v>
      </c>
    </row>
    <row r="54">
      <c r="O54" s="52">
        <v>2022.0</v>
      </c>
      <c r="P54" s="53"/>
      <c r="T54" s="14">
        <v>-0.32299999999999995</v>
      </c>
    </row>
    <row r="55">
      <c r="O55" s="52">
        <v>8.0</v>
      </c>
      <c r="P55" s="54"/>
      <c r="T55" s="14">
        <v>0.2988</v>
      </c>
    </row>
    <row r="56">
      <c r="O56" s="52">
        <v>268.0</v>
      </c>
      <c r="T56" s="14">
        <v>-0.013000000000000001</v>
      </c>
    </row>
    <row r="57">
      <c r="O57" s="52">
        <v>253.0</v>
      </c>
      <c r="T57" s="36"/>
    </row>
    <row r="58">
      <c r="O58" s="52">
        <v>5.93</v>
      </c>
      <c r="T58" s="14">
        <v>0.09480000000000001</v>
      </c>
    </row>
    <row r="59">
      <c r="O59" s="52">
        <v>3.0</v>
      </c>
      <c r="T59" s="14">
        <v>-0.0866</v>
      </c>
    </row>
    <row r="60">
      <c r="O60" s="52">
        <v>2022.0</v>
      </c>
      <c r="T60" s="14">
        <v>-0.3276</v>
      </c>
    </row>
    <row r="61">
      <c r="O61" s="52">
        <v>9.0</v>
      </c>
      <c r="T61" s="14">
        <v>0.3333</v>
      </c>
    </row>
    <row r="62">
      <c r="O62" s="52">
        <v>278.0</v>
      </c>
      <c r="T62" s="14">
        <v>-0.0385</v>
      </c>
    </row>
    <row r="63">
      <c r="O63" s="52">
        <v>268.0</v>
      </c>
      <c r="T63" s="36"/>
    </row>
    <row r="64">
      <c r="O64" s="52">
        <v>3.73</v>
      </c>
      <c r="T64" s="14">
        <v>0.2593</v>
      </c>
    </row>
    <row r="65">
      <c r="O65" s="52">
        <v>4.0</v>
      </c>
      <c r="T65" s="14">
        <v>0.0147</v>
      </c>
    </row>
    <row r="66">
      <c r="O66" s="52">
        <v>2022.0</v>
      </c>
      <c r="T66" s="14">
        <v>-0.2609</v>
      </c>
    </row>
    <row r="67">
      <c r="O67" s="52">
        <v>10.0</v>
      </c>
      <c r="T67" s="14">
        <v>0.098</v>
      </c>
    </row>
    <row r="68">
      <c r="O68" s="52">
        <v>196.0</v>
      </c>
      <c r="T68" s="14">
        <v>-0.0179</v>
      </c>
    </row>
    <row r="69">
      <c r="O69" s="52">
        <v>278.0</v>
      </c>
      <c r="T69" s="36"/>
    </row>
    <row r="70">
      <c r="O70" s="52">
        <v>-29.5</v>
      </c>
      <c r="T70" s="14">
        <v>0.0075</v>
      </c>
    </row>
    <row r="71">
      <c r="O71" s="52">
        <v>5.0</v>
      </c>
      <c r="T71" s="14">
        <v>0.11939999999999999</v>
      </c>
    </row>
    <row r="72">
      <c r="O72" s="52">
        <v>2022.0</v>
      </c>
      <c r="T72" s="14">
        <v>-0.4</v>
      </c>
    </row>
    <row r="73">
      <c r="O73" s="52">
        <v>11.0</v>
      </c>
      <c r="T73" s="14">
        <v>0.2</v>
      </c>
    </row>
    <row r="74">
      <c r="O74" s="52">
        <v>271.0</v>
      </c>
      <c r="T74" s="14">
        <v>0.213</v>
      </c>
    </row>
    <row r="75">
      <c r="O75" s="52">
        <v>196.0</v>
      </c>
    </row>
    <row r="76">
      <c r="O76" s="52">
        <v>38.27</v>
      </c>
      <c r="T76" s="14">
        <v>0.0593</v>
      </c>
    </row>
    <row r="77">
      <c r="O77" s="52">
        <v>6.0</v>
      </c>
      <c r="T77" s="14">
        <v>0.0373</v>
      </c>
    </row>
    <row r="78">
      <c r="O78" s="52">
        <v>2022.0</v>
      </c>
      <c r="T78" s="14">
        <v>-0.295</v>
      </c>
    </row>
    <row r="79">
      <c r="O79" s="52">
        <v>12.0</v>
      </c>
      <c r="T79" s="14">
        <v>0.38270000000000004</v>
      </c>
    </row>
    <row r="80">
      <c r="O80" s="52">
        <v>246.0</v>
      </c>
      <c r="T80" s="14">
        <v>-0.09230000000000001</v>
      </c>
    </row>
    <row r="81">
      <c r="O81" s="52">
        <v>271.0</v>
      </c>
    </row>
    <row r="82">
      <c r="O82" s="52">
        <v>-9.23</v>
      </c>
      <c r="T82" s="14">
        <v>0.13</v>
      </c>
    </row>
    <row r="83">
      <c r="T83" s="14">
        <v>0.0128</v>
      </c>
    </row>
    <row r="84">
      <c r="T84" s="14">
        <v>-0.13970000000000002</v>
      </c>
    </row>
    <row r="85">
      <c r="T85" s="14">
        <v>0.6153</v>
      </c>
    </row>
    <row r="86">
      <c r="T86" s="14">
        <v>0.1778</v>
      </c>
    </row>
  </sheetData>
  <mergeCells count="3">
    <mergeCell ref="E12:E15"/>
    <mergeCell ref="I12:I15"/>
    <mergeCell ref="I44:J44"/>
  </mergeCells>
  <conditionalFormatting sqref="D12:D16">
    <cfRule type="colorScale" priority="1">
      <colorScale>
        <cfvo type="min"/>
        <cfvo type="max"/>
        <color rgb="FFD9EAD3"/>
        <color rgb="FF6AA84F"/>
      </colorScale>
    </cfRule>
  </conditionalFormatting>
  <hyperlinks>
    <hyperlink r:id="rId1" ref="D3"/>
    <hyperlink r:id="rId2" ref="D4"/>
  </hyperlinks>
  <drawing r:id="rId3"/>
</worksheet>
</file>