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tbgroup-my.sharepoint.com/personal/marin_pellan_cstb_fr/Documents/Thèse stratégie carbone/Articles/Journal_papers/2nd article/Gitlab/CALIBRATION/pivot_tables/"/>
    </mc:Choice>
  </mc:AlternateContent>
  <xr:revisionPtr revIDLastSave="277" documentId="13_ncr:40009_{D881D815-B181-417B-A7E4-7A120A7FE7A9}" xr6:coauthVersionLast="47" xr6:coauthVersionMax="47" xr10:uidLastSave="{3AAAFFF8-76FC-4994-B4B1-29241EC7DAB7}"/>
  <bookViews>
    <workbookView xWindow="-108" yWindow="-108" windowWidth="23256" windowHeight="14016" xr2:uid="{00000000-000D-0000-FFFF-FFFF00000000}"/>
  </bookViews>
  <sheets>
    <sheet name="LEGEND" sheetId="14" r:id="rId1"/>
    <sheet name="gisement_surface_AB" sheetId="9" state="hidden" r:id="rId2"/>
    <sheet name="gisement_surface_AB_C2" sheetId="13" state="hidden" r:id="rId3"/>
    <sheet name="gisement_surface_ABC" sheetId="2" state="hidden" r:id="rId4"/>
    <sheet name="pt_logement" sheetId="3" r:id="rId5"/>
    <sheet name="Feuil1" sheetId="19" r:id="rId6"/>
    <sheet name="pt_surface" sheetId="1" r:id="rId7"/>
    <sheet name="gisement_reno_surface" sheetId="15" r:id="rId8"/>
    <sheet name="gisement_reno_logement" sheetId="17" r:id="rId9"/>
    <sheet name="gisement_dem_surface" sheetId="16" r:id="rId10"/>
    <sheet name="gisement_dem_logement" sheetId="18" r:id="rId11"/>
    <sheet name="gisement_logement_AB" sheetId="10" state="hidden" r:id="rId12"/>
    <sheet name="gisement_logement_AB_C2" sheetId="12" state="hidden" r:id="rId13"/>
    <sheet name="gisement_logement_ABC" sheetId="4" state="hidden" r:id="rId14"/>
    <sheet name="scenarios_ADEME" sheetId="7" state="hidden" r:id="rId15"/>
    <sheet name="taille_mediane_par_dpe" sheetId="5" state="hidden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5" l="1"/>
  <c r="C7" i="18" l="1"/>
  <c r="B7" i="18"/>
  <c r="C3" i="18"/>
  <c r="B3" i="18"/>
  <c r="C2" i="18"/>
  <c r="B2" i="18"/>
  <c r="C4" i="18"/>
  <c r="B4" i="18"/>
  <c r="B2" i="16"/>
  <c r="C8" i="16"/>
  <c r="C7" i="16"/>
  <c r="C6" i="16"/>
  <c r="C4" i="16"/>
  <c r="C3" i="16"/>
  <c r="C2" i="16"/>
  <c r="B4" i="16"/>
  <c r="B7" i="16" s="1"/>
  <c r="B3" i="16"/>
  <c r="C3" i="17"/>
  <c r="B3" i="17"/>
  <c r="C2" i="17"/>
  <c r="B2" i="17"/>
  <c r="C4" i="17"/>
  <c r="C7" i="17" s="1"/>
  <c r="B4" i="17"/>
  <c r="B7" i="17" s="1"/>
  <c r="C8" i="15"/>
  <c r="C7" i="15"/>
  <c r="C6" i="15"/>
  <c r="C4" i="15"/>
  <c r="C3" i="15"/>
  <c r="C2" i="15"/>
  <c r="B2" i="15"/>
  <c r="B4" i="15"/>
  <c r="B7" i="15" s="1"/>
  <c r="J23" i="3"/>
  <c r="J25" i="3" s="1"/>
  <c r="K23" i="3"/>
  <c r="L23" i="3"/>
  <c r="M23" i="3"/>
  <c r="J24" i="3"/>
  <c r="K24" i="3"/>
  <c r="L24" i="3"/>
  <c r="M24" i="3"/>
  <c r="K25" i="3"/>
  <c r="C31" i="3"/>
  <c r="C30" i="3"/>
  <c r="C29" i="3"/>
  <c r="C23" i="3"/>
  <c r="F23" i="3" s="1"/>
  <c r="M37" i="3"/>
  <c r="M36" i="3"/>
  <c r="M35" i="3"/>
  <c r="L37" i="3"/>
  <c r="L36" i="3"/>
  <c r="L35" i="3"/>
  <c r="K36" i="3"/>
  <c r="K37" i="3"/>
  <c r="J37" i="3"/>
  <c r="K35" i="3"/>
  <c r="J36" i="3"/>
  <c r="J35" i="3"/>
  <c r="K30" i="3"/>
  <c r="K31" i="3"/>
  <c r="K29" i="3"/>
  <c r="J30" i="3"/>
  <c r="M30" i="3" s="1"/>
  <c r="J29" i="3"/>
  <c r="M29" i="3" s="1"/>
  <c r="D31" i="3"/>
  <c r="D30" i="3"/>
  <c r="D29" i="3"/>
  <c r="F24" i="3"/>
  <c r="E24" i="3"/>
  <c r="D25" i="3"/>
  <c r="D24" i="3"/>
  <c r="D23" i="3"/>
  <c r="C24" i="3"/>
  <c r="C8" i="9"/>
  <c r="C20" i="9"/>
  <c r="C3" i="9"/>
  <c r="B6" i="15" l="1"/>
  <c r="B8" i="15" s="1"/>
  <c r="C6" i="18"/>
  <c r="C8" i="18" s="1"/>
  <c r="B6" i="18"/>
  <c r="B8" i="18" s="1"/>
  <c r="B6" i="16"/>
  <c r="B8" i="16" s="1"/>
  <c r="B6" i="17"/>
  <c r="B8" i="17" s="1"/>
  <c r="C6" i="17"/>
  <c r="C8" i="17" s="1"/>
  <c r="L25" i="3"/>
  <c r="M25" i="3"/>
  <c r="J31" i="3"/>
  <c r="L30" i="3"/>
  <c r="L29" i="3"/>
  <c r="E23" i="3"/>
  <c r="F30" i="3"/>
  <c r="E29" i="3"/>
  <c r="F29" i="3"/>
  <c r="E30" i="3"/>
  <c r="C25" i="3"/>
  <c r="M31" i="3" l="1"/>
  <c r="L31" i="3"/>
  <c r="F31" i="3"/>
  <c r="E31" i="3"/>
  <c r="C19" i="10"/>
  <c r="F25" i="3"/>
  <c r="E25" i="3"/>
  <c r="F11" i="13" l="1"/>
  <c r="F4" i="13"/>
  <c r="F15" i="13"/>
  <c r="C15" i="13"/>
  <c r="F14" i="13"/>
  <c r="C14" i="13"/>
  <c r="F13" i="13"/>
  <c r="C13" i="13"/>
  <c r="E13" i="13" s="1"/>
  <c r="F12" i="13"/>
  <c r="H15" i="13" s="1"/>
  <c r="C12" i="13"/>
  <c r="C11" i="13"/>
  <c r="E11" i="13" s="1"/>
  <c r="E10" i="13"/>
  <c r="C10" i="13"/>
  <c r="F8" i="13"/>
  <c r="C8" i="13"/>
  <c r="F7" i="13"/>
  <c r="C7" i="13"/>
  <c r="F6" i="13"/>
  <c r="C6" i="13"/>
  <c r="F5" i="13"/>
  <c r="H5" i="13" s="1"/>
  <c r="C5" i="13"/>
  <c r="C4" i="13"/>
  <c r="C3" i="13"/>
  <c r="E3" i="13" s="1"/>
  <c r="F11" i="12"/>
  <c r="F4" i="12"/>
  <c r="F15" i="12"/>
  <c r="H15" i="12" s="1"/>
  <c r="E15" i="12"/>
  <c r="C15" i="12"/>
  <c r="F14" i="12"/>
  <c r="H14" i="12" s="1"/>
  <c r="C14" i="12"/>
  <c r="E14" i="12" s="1"/>
  <c r="F13" i="12"/>
  <c r="H10" i="12" s="1"/>
  <c r="C13" i="12"/>
  <c r="E13" i="12" s="1"/>
  <c r="F12" i="12"/>
  <c r="C12" i="12"/>
  <c r="E12" i="12" s="1"/>
  <c r="H11" i="12"/>
  <c r="C11" i="12"/>
  <c r="C10" i="12"/>
  <c r="E9" i="12" s="1"/>
  <c r="H9" i="12"/>
  <c r="F8" i="12"/>
  <c r="C8" i="12"/>
  <c r="F7" i="12"/>
  <c r="H7" i="12" s="1"/>
  <c r="C7" i="12"/>
  <c r="H6" i="12"/>
  <c r="F6" i="12"/>
  <c r="C6" i="12"/>
  <c r="F5" i="12"/>
  <c r="H5" i="12" s="1"/>
  <c r="C5" i="12"/>
  <c r="H17" i="12"/>
  <c r="H24" i="12" s="1"/>
  <c r="C4" i="12"/>
  <c r="E4" i="12" s="1"/>
  <c r="C3" i="12"/>
  <c r="H17" i="4"/>
  <c r="H24" i="4" s="1"/>
  <c r="F17" i="4"/>
  <c r="F24" i="4" s="1"/>
  <c r="J17" i="2"/>
  <c r="K17" i="2" s="1"/>
  <c r="K24" i="2" s="1"/>
  <c r="F11" i="10"/>
  <c r="J17" i="10" s="1"/>
  <c r="J24" i="10" s="1"/>
  <c r="F4" i="10"/>
  <c r="F17" i="10" s="1"/>
  <c r="F15" i="10"/>
  <c r="C15" i="10"/>
  <c r="F14" i="10"/>
  <c r="H14" i="10" s="1"/>
  <c r="C14" i="10"/>
  <c r="F13" i="10"/>
  <c r="C13" i="10"/>
  <c r="F12" i="10"/>
  <c r="C12" i="10"/>
  <c r="C11" i="10"/>
  <c r="C10" i="10"/>
  <c r="E10" i="10" s="1"/>
  <c r="F8" i="10"/>
  <c r="H8" i="10" s="1"/>
  <c r="C8" i="10"/>
  <c r="F7" i="10"/>
  <c r="H7" i="10" s="1"/>
  <c r="C7" i="10"/>
  <c r="F6" i="10"/>
  <c r="C6" i="10"/>
  <c r="F5" i="10"/>
  <c r="C5" i="10"/>
  <c r="C4" i="10"/>
  <c r="C3" i="10"/>
  <c r="F11" i="9"/>
  <c r="C4" i="9"/>
  <c r="F4" i="9"/>
  <c r="F15" i="9"/>
  <c r="C15" i="9"/>
  <c r="F14" i="9"/>
  <c r="H14" i="9" s="1"/>
  <c r="C14" i="9"/>
  <c r="F13" i="9"/>
  <c r="C13" i="9"/>
  <c r="F12" i="9"/>
  <c r="J17" i="9" s="1"/>
  <c r="J24" i="9" s="1"/>
  <c r="C12" i="9"/>
  <c r="C11" i="9"/>
  <c r="C10" i="9"/>
  <c r="F8" i="9"/>
  <c r="F7" i="9"/>
  <c r="C7" i="9"/>
  <c r="F6" i="9"/>
  <c r="C6" i="9"/>
  <c r="F5" i="9"/>
  <c r="C5" i="9"/>
  <c r="E4" i="9"/>
  <c r="C4" i="4"/>
  <c r="C3" i="7"/>
  <c r="C4" i="7"/>
  <c r="I3" i="7"/>
  <c r="I2" i="7"/>
  <c r="C5" i="7" s="1"/>
  <c r="F15" i="4"/>
  <c r="C15" i="4"/>
  <c r="F14" i="4"/>
  <c r="C14" i="4"/>
  <c r="F13" i="4"/>
  <c r="C13" i="4"/>
  <c r="F12" i="4"/>
  <c r="J17" i="4" s="1"/>
  <c r="J24" i="4" s="1"/>
  <c r="C12" i="4"/>
  <c r="C11" i="4"/>
  <c r="C10" i="4"/>
  <c r="F8" i="4"/>
  <c r="C8" i="4"/>
  <c r="F7" i="4"/>
  <c r="C7" i="4"/>
  <c r="F6" i="4"/>
  <c r="C6" i="4"/>
  <c r="F5" i="4"/>
  <c r="C5" i="4"/>
  <c r="C3" i="4"/>
  <c r="F15" i="2"/>
  <c r="F14" i="2"/>
  <c r="F13" i="2"/>
  <c r="H13" i="2" s="1"/>
  <c r="F12" i="2"/>
  <c r="H10" i="2" s="1"/>
  <c r="F8" i="2"/>
  <c r="F7" i="2"/>
  <c r="F6" i="2"/>
  <c r="F5" i="2"/>
  <c r="F17" i="2" s="1"/>
  <c r="C8" i="2"/>
  <c r="C7" i="2"/>
  <c r="C6" i="2"/>
  <c r="E6" i="2" s="1"/>
  <c r="C5" i="2"/>
  <c r="C4" i="2"/>
  <c r="C3" i="2"/>
  <c r="C10" i="2"/>
  <c r="C11" i="2"/>
  <c r="C12" i="2"/>
  <c r="C13" i="2"/>
  <c r="E13" i="2" s="1"/>
  <c r="C14" i="2"/>
  <c r="E14" i="2" s="1"/>
  <c r="C15" i="2"/>
  <c r="E15" i="2" s="1"/>
  <c r="E4" i="13" l="1"/>
  <c r="H3" i="13"/>
  <c r="E7" i="2"/>
  <c r="H3" i="2"/>
  <c r="H17" i="2"/>
  <c r="H4" i="13"/>
  <c r="E5" i="13"/>
  <c r="H8" i="2"/>
  <c r="E6" i="13"/>
  <c r="F17" i="9"/>
  <c r="G5" i="9" s="1"/>
  <c r="E8" i="2"/>
  <c r="E13" i="9"/>
  <c r="H15" i="2"/>
  <c r="E9" i="2"/>
  <c r="E7" i="13"/>
  <c r="E14" i="13"/>
  <c r="C17" i="2"/>
  <c r="E12" i="2"/>
  <c r="H14" i="2"/>
  <c r="E3" i="2"/>
  <c r="C17" i="13"/>
  <c r="D9" i="13" s="1"/>
  <c r="E11" i="2"/>
  <c r="E10" i="2"/>
  <c r="E4" i="2"/>
  <c r="E12" i="13"/>
  <c r="D15" i="2"/>
  <c r="H12" i="2"/>
  <c r="E9" i="13"/>
  <c r="H10" i="13"/>
  <c r="E3" i="12"/>
  <c r="E8" i="12"/>
  <c r="E7" i="10"/>
  <c r="E6" i="12"/>
  <c r="E7" i="12"/>
  <c r="H11" i="13"/>
  <c r="H12" i="13"/>
  <c r="H13" i="13"/>
  <c r="H14" i="13"/>
  <c r="F17" i="13"/>
  <c r="G6" i="13" s="1"/>
  <c r="H8" i="13"/>
  <c r="G3" i="13"/>
  <c r="F24" i="13"/>
  <c r="G24" i="13" s="1"/>
  <c r="G2" i="13"/>
  <c r="G17" i="13"/>
  <c r="G9" i="13"/>
  <c r="H2" i="13"/>
  <c r="E8" i="13"/>
  <c r="D15" i="13"/>
  <c r="H6" i="13"/>
  <c r="H9" i="13"/>
  <c r="G12" i="13"/>
  <c r="E15" i="13"/>
  <c r="H7" i="13"/>
  <c r="E2" i="13"/>
  <c r="H17" i="13"/>
  <c r="H24" i="13" s="1"/>
  <c r="G5" i="13"/>
  <c r="J17" i="13"/>
  <c r="J24" i="13" s="1"/>
  <c r="G11" i="13"/>
  <c r="C24" i="13"/>
  <c r="D24" i="13" s="1"/>
  <c r="G8" i="13"/>
  <c r="D6" i="13"/>
  <c r="G14" i="13"/>
  <c r="D12" i="13"/>
  <c r="C17" i="12"/>
  <c r="D5" i="12" s="1"/>
  <c r="F17" i="12"/>
  <c r="G4" i="12" s="1"/>
  <c r="E5" i="12"/>
  <c r="E11" i="12"/>
  <c r="H2" i="12"/>
  <c r="J17" i="12"/>
  <c r="J24" i="12" s="1"/>
  <c r="H13" i="12"/>
  <c r="H12" i="12"/>
  <c r="E10" i="12"/>
  <c r="H4" i="12"/>
  <c r="E2" i="12"/>
  <c r="H8" i="12"/>
  <c r="H3" i="12"/>
  <c r="I17" i="2"/>
  <c r="I24" i="2" s="1"/>
  <c r="H24" i="2"/>
  <c r="D2" i="2"/>
  <c r="D17" i="2"/>
  <c r="C24" i="2"/>
  <c r="D24" i="2" s="1"/>
  <c r="G2" i="2"/>
  <c r="G5" i="2"/>
  <c r="G17" i="2"/>
  <c r="F24" i="2"/>
  <c r="G24" i="2" s="1"/>
  <c r="F24" i="10"/>
  <c r="G24" i="10" s="1"/>
  <c r="G17" i="10"/>
  <c r="H8" i="9"/>
  <c r="H17" i="9"/>
  <c r="H24" i="9" s="1"/>
  <c r="D3" i="2"/>
  <c r="H7" i="2"/>
  <c r="H10" i="10"/>
  <c r="H6" i="2"/>
  <c r="E13" i="10"/>
  <c r="H11" i="2"/>
  <c r="H2" i="2"/>
  <c r="E9" i="10"/>
  <c r="H5" i="2"/>
  <c r="E2" i="2"/>
  <c r="E3" i="10"/>
  <c r="H13" i="10"/>
  <c r="E4" i="10"/>
  <c r="E10" i="9"/>
  <c r="E14" i="9"/>
  <c r="E5" i="2"/>
  <c r="H9" i="2"/>
  <c r="C2" i="7"/>
  <c r="H17" i="10"/>
  <c r="H24" i="10" s="1"/>
  <c r="J24" i="2"/>
  <c r="E6" i="9"/>
  <c r="H3" i="9"/>
  <c r="H4" i="2"/>
  <c r="E14" i="10"/>
  <c r="E6" i="10"/>
  <c r="H13" i="9"/>
  <c r="H6" i="10"/>
  <c r="H15" i="10"/>
  <c r="G17" i="4"/>
  <c r="H9" i="4"/>
  <c r="E8" i="4"/>
  <c r="E13" i="4"/>
  <c r="H10" i="4"/>
  <c r="E5" i="4"/>
  <c r="H8" i="4"/>
  <c r="G8" i="10"/>
  <c r="G10" i="10"/>
  <c r="G14" i="10"/>
  <c r="G4" i="10"/>
  <c r="G9" i="10"/>
  <c r="G11" i="10"/>
  <c r="G2" i="10"/>
  <c r="G3" i="10"/>
  <c r="E12" i="10"/>
  <c r="E15" i="10"/>
  <c r="E5" i="10"/>
  <c r="E2" i="10"/>
  <c r="E11" i="10"/>
  <c r="G5" i="10"/>
  <c r="E8" i="10"/>
  <c r="H2" i="10"/>
  <c r="H5" i="10"/>
  <c r="H11" i="10"/>
  <c r="H3" i="10"/>
  <c r="G6" i="10"/>
  <c r="G12" i="10"/>
  <c r="H9" i="10"/>
  <c r="H12" i="10"/>
  <c r="G15" i="10"/>
  <c r="C17" i="10"/>
  <c r="D8" i="10" s="1"/>
  <c r="D6" i="10"/>
  <c r="H4" i="10"/>
  <c r="G7" i="10"/>
  <c r="G13" i="10"/>
  <c r="E7" i="9"/>
  <c r="G2" i="9"/>
  <c r="G8" i="9"/>
  <c r="E3" i="9"/>
  <c r="E15" i="9"/>
  <c r="E2" i="9"/>
  <c r="E11" i="9"/>
  <c r="H9" i="9"/>
  <c r="H7" i="9"/>
  <c r="E8" i="9"/>
  <c r="E12" i="9"/>
  <c r="H6" i="9"/>
  <c r="E5" i="9"/>
  <c r="H2" i="9"/>
  <c r="H5" i="9"/>
  <c r="H11" i="9"/>
  <c r="E9" i="9"/>
  <c r="G6" i="9"/>
  <c r="H15" i="9"/>
  <c r="G12" i="9"/>
  <c r="H12" i="9"/>
  <c r="G15" i="9"/>
  <c r="C17" i="9"/>
  <c r="H4" i="9"/>
  <c r="H10" i="9"/>
  <c r="E2" i="4"/>
  <c r="H6" i="4"/>
  <c r="C17" i="4"/>
  <c r="D3" i="4" s="1"/>
  <c r="E10" i="4"/>
  <c r="E11" i="4"/>
  <c r="E15" i="4"/>
  <c r="E9" i="4"/>
  <c r="E14" i="4"/>
  <c r="E7" i="4"/>
  <c r="H11" i="4"/>
  <c r="H14" i="4"/>
  <c r="E12" i="4"/>
  <c r="H12" i="4"/>
  <c r="H15" i="4"/>
  <c r="H7" i="4"/>
  <c r="H13" i="4"/>
  <c r="E4" i="4"/>
  <c r="H4" i="4"/>
  <c r="E3" i="4"/>
  <c r="H3" i="4"/>
  <c r="H5" i="4"/>
  <c r="H2" i="4"/>
  <c r="E6" i="4"/>
  <c r="D10" i="2"/>
  <c r="D7" i="2"/>
  <c r="D6" i="2"/>
  <c r="D4" i="2"/>
  <c r="G4" i="2"/>
  <c r="G3" i="2"/>
  <c r="D5" i="2"/>
  <c r="G15" i="2"/>
  <c r="G14" i="2"/>
  <c r="G10" i="2"/>
  <c r="D14" i="2"/>
  <c r="G11" i="2"/>
  <c r="D13" i="2"/>
  <c r="D12" i="2"/>
  <c r="G9" i="2"/>
  <c r="G13" i="2"/>
  <c r="D11" i="2"/>
  <c r="G8" i="2"/>
  <c r="G12" i="2"/>
  <c r="G7" i="2"/>
  <c r="D9" i="2"/>
  <c r="G6" i="2"/>
  <c r="D8" i="2"/>
  <c r="D12" i="12" l="1"/>
  <c r="D6" i="12"/>
  <c r="D14" i="12"/>
  <c r="D8" i="12"/>
  <c r="D3" i="13"/>
  <c r="D4" i="13"/>
  <c r="D7" i="13"/>
  <c r="G3" i="9"/>
  <c r="D14" i="13"/>
  <c r="G9" i="9"/>
  <c r="G13" i="13"/>
  <c r="D8" i="13"/>
  <c r="D13" i="13"/>
  <c r="D5" i="13"/>
  <c r="G4" i="9"/>
  <c r="F24" i="9"/>
  <c r="G24" i="9" s="1"/>
  <c r="G7" i="13"/>
  <c r="G11" i="9"/>
  <c r="G14" i="9"/>
  <c r="D11" i="13"/>
  <c r="G10" i="9"/>
  <c r="G17" i="9"/>
  <c r="G15" i="13"/>
  <c r="G7" i="9"/>
  <c r="D2" i="13"/>
  <c r="G4" i="13"/>
  <c r="G13" i="9"/>
  <c r="D17" i="13"/>
  <c r="G10" i="13"/>
  <c r="D10" i="13"/>
  <c r="D15" i="10"/>
  <c r="D3" i="10"/>
  <c r="G14" i="12"/>
  <c r="G5" i="12"/>
  <c r="G15" i="12"/>
  <c r="G13" i="12"/>
  <c r="G9" i="12"/>
  <c r="G3" i="12"/>
  <c r="F24" i="12"/>
  <c r="G24" i="12" s="1"/>
  <c r="G8" i="12"/>
  <c r="G2" i="12"/>
  <c r="G12" i="12"/>
  <c r="G17" i="12"/>
  <c r="G10" i="12"/>
  <c r="D3" i="12"/>
  <c r="D9" i="12"/>
  <c r="D17" i="12"/>
  <c r="D4" i="12"/>
  <c r="C24" i="12"/>
  <c r="D24" i="12" s="1"/>
  <c r="D2" i="12"/>
  <c r="D7" i="12"/>
  <c r="G6" i="12"/>
  <c r="G7" i="12"/>
  <c r="D13" i="12"/>
  <c r="D10" i="12"/>
  <c r="D15" i="12"/>
  <c r="G11" i="12"/>
  <c r="D11" i="12"/>
  <c r="D7" i="10"/>
  <c r="C24" i="10"/>
  <c r="D24" i="10" s="1"/>
  <c r="D12" i="10"/>
  <c r="D6" i="9"/>
  <c r="C24" i="9"/>
  <c r="D24" i="9" s="1"/>
  <c r="D17" i="9"/>
  <c r="G14" i="4"/>
  <c r="G8" i="4"/>
  <c r="G15" i="4"/>
  <c r="G13" i="4"/>
  <c r="G7" i="4"/>
  <c r="G24" i="4"/>
  <c r="C24" i="4"/>
  <c r="D24" i="4" s="1"/>
  <c r="D17" i="4"/>
  <c r="B6" i="7" s="1"/>
  <c r="C6" i="7" s="1"/>
  <c r="D6" i="4"/>
  <c r="D15" i="4"/>
  <c r="D10" i="10"/>
  <c r="D17" i="10"/>
  <c r="D9" i="10"/>
  <c r="D11" i="10"/>
  <c r="D2" i="10"/>
  <c r="D13" i="10"/>
  <c r="D14" i="10"/>
  <c r="D4" i="10"/>
  <c r="D5" i="10"/>
  <c r="D11" i="9"/>
  <c r="D9" i="9"/>
  <c r="D2" i="9"/>
  <c r="D5" i="9"/>
  <c r="D12" i="9"/>
  <c r="D10" i="9"/>
  <c r="D14" i="9"/>
  <c r="D13" i="9"/>
  <c r="D15" i="9"/>
  <c r="D7" i="9"/>
  <c r="D4" i="9"/>
  <c r="D8" i="9"/>
  <c r="D3" i="9"/>
  <c r="D11" i="4"/>
  <c r="D13" i="4"/>
  <c r="D7" i="4"/>
  <c r="D9" i="4"/>
  <c r="D12" i="4"/>
  <c r="D2" i="4"/>
  <c r="D4" i="4"/>
  <c r="D10" i="4"/>
  <c r="D5" i="4"/>
  <c r="D8" i="4"/>
  <c r="D14" i="4"/>
  <c r="G12" i="4"/>
  <c r="G9" i="4"/>
  <c r="G6" i="4"/>
  <c r="G3" i="4"/>
  <c r="G5" i="4"/>
  <c r="G4" i="4"/>
  <c r="G11" i="4"/>
  <c r="G2" i="4"/>
  <c r="G10" i="4"/>
</calcChain>
</file>

<file path=xl/sharedStrings.xml><?xml version="1.0" encoding="utf-8"?>
<sst xmlns="http://schemas.openxmlformats.org/spreadsheetml/2006/main" count="590" uniqueCount="93">
  <si>
    <t>Collective_housing</t>
  </si>
  <si>
    <t>Individual_housing</t>
  </si>
  <si>
    <t>A</t>
  </si>
  <si>
    <t>B</t>
  </si>
  <si>
    <t>C</t>
  </si>
  <si>
    <t>D</t>
  </si>
  <si>
    <t>E</t>
  </si>
  <si>
    <t>F</t>
  </si>
  <si>
    <t>G</t>
  </si>
  <si>
    <t>Gisement en m2 de réno</t>
  </si>
  <si>
    <t>Gisement en m2 de démolition</t>
  </si>
  <si>
    <t>% total gisement réno</t>
  </si>
  <si>
    <t xml:space="preserve">% MI / LC gisement réno </t>
  </si>
  <si>
    <t>% total gisement dem</t>
  </si>
  <si>
    <t>% MI / LC gisement dem</t>
  </si>
  <si>
    <t>ffo_bat_usage_niveau_1_txt</t>
  </si>
  <si>
    <t>dpe_ges</t>
  </si>
  <si>
    <t>nb_bat</t>
  </si>
  <si>
    <t>nb_log</t>
  </si>
  <si>
    <t>sum_slog</t>
  </si>
  <si>
    <t>sum_sloc</t>
  </si>
  <si>
    <t>shab/logement</t>
  </si>
  <si>
    <t>58.3458190755463</t>
  </si>
  <si>
    <t>54.8409207503564</t>
  </si>
  <si>
    <t>58.5284899650076</t>
  </si>
  <si>
    <t>61.5984947940527</t>
  </si>
  <si>
    <t>61.1064053473984</t>
  </si>
  <si>
    <t>57.7496789422658</t>
  </si>
  <si>
    <t>56.4666066558289</t>
  </si>
  <si>
    <t>112.902874368979</t>
  </si>
  <si>
    <t>110.603003753045</t>
  </si>
  <si>
    <t>108.307936593546</t>
  </si>
  <si>
    <t>95.0732031386133</t>
  </si>
  <si>
    <t>86.368814928343</t>
  </si>
  <si>
    <t>91.1017135392016</t>
  </si>
  <si>
    <t>91.1616398801869</t>
  </si>
  <si>
    <t>Gisement total</t>
  </si>
  <si>
    <t>Gisement en nbre de logement rénové</t>
  </si>
  <si>
    <t>Gisement en nbre de logement démoli</t>
  </si>
  <si>
    <t>Divisé par 30 ans</t>
  </si>
  <si>
    <t>Cumulé</t>
  </si>
  <si>
    <t>ADEME_S1</t>
  </si>
  <si>
    <t>Nbre de logements BDNB</t>
  </si>
  <si>
    <t>Surface BDNB</t>
  </si>
  <si>
    <t>ADEME_S2</t>
  </si>
  <si>
    <t>ADEME_S3</t>
  </si>
  <si>
    <t>ADEME_S4</t>
  </si>
  <si>
    <t>% rénové BBC en 2050</t>
  </si>
  <si>
    <t>BDNB_C</t>
  </si>
  <si>
    <t>BDNB_B</t>
  </si>
  <si>
    <t>Nbre de logements</t>
  </si>
  <si>
    <t>Surface</t>
  </si>
  <si>
    <t>% du parc actuel</t>
  </si>
  <si>
    <t>ALL</t>
  </si>
  <si>
    <t>LC</t>
  </si>
  <si>
    <t>MI</t>
  </si>
  <si>
    <t>% du parc LC actuel</t>
  </si>
  <si>
    <t>% du parc MI actuel</t>
  </si>
  <si>
    <t>CH</t>
  </si>
  <si>
    <t>IH</t>
  </si>
  <si>
    <t>Gisement fort</t>
  </si>
  <si>
    <t xml:space="preserve">Scenario forte </t>
  </si>
  <si>
    <t>total</t>
  </si>
  <si>
    <t>parc</t>
  </si>
  <si>
    <t>réno en % du parc actuel</t>
  </si>
  <si>
    <t>par an constant</t>
  </si>
  <si>
    <t xml:space="preserve">Scenario moins fort </t>
  </si>
  <si>
    <t>RENO</t>
  </si>
  <si>
    <t>DEMO</t>
  </si>
  <si>
    <t>démo en % du parc actuel</t>
  </si>
  <si>
    <t xml:space="preserve">Scenario très faible </t>
  </si>
  <si>
    <t>Scenario moyen</t>
  </si>
  <si>
    <t>Scenario forte</t>
  </si>
  <si>
    <t>Dans tous les cas rénovés</t>
  </si>
  <si>
    <t>Rénovés dans le cas du scenario fort</t>
  </si>
  <si>
    <t>On touche jamais</t>
  </si>
  <si>
    <t xml:space="preserve">Démoli partiellement ou entier </t>
  </si>
  <si>
    <t>Dans tous les cas démoli</t>
  </si>
  <si>
    <t>High_renovation_scenario</t>
  </si>
  <si>
    <t>Medium_renovation_scenarios</t>
  </si>
  <si>
    <t>High_demolition_scenario</t>
  </si>
  <si>
    <t>Medium_demolition_scenarios</t>
  </si>
  <si>
    <t>ALL / 31</t>
  </si>
  <si>
    <t>% réno annuel</t>
  </si>
  <si>
    <t>% démo annuel</t>
  </si>
  <si>
    <t>Renovated in all scenarios</t>
  </si>
  <si>
    <t>Only renovated in HRS</t>
  </si>
  <si>
    <t>Never renovated nor demolished</t>
  </si>
  <si>
    <t>Demolished in all scenarios</t>
  </si>
  <si>
    <t>Demolished partially (MDS) or entirely (HDS)</t>
  </si>
  <si>
    <t xml:space="preserve">We need to create 8 pivot_tables </t>
  </si>
  <si>
    <t>COL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</si>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</sst>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0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2">
    <xf numFmtId="0" fontId="0" fillId="0" borderId="0" xfId="0"/>
    <xf numFmtId="0" fontId="0" fillId="33" borderId="0" xfId="0" applyFill="1"/>
    <xf numFmtId="0" fontId="0" fillId="34" borderId="0" xfId="0" applyFill="1"/>
    <xf numFmtId="9" fontId="0" fillId="0" borderId="0" xfId="2" applyFont="1"/>
    <xf numFmtId="0" fontId="16" fillId="0" borderId="0" xfId="0" applyFont="1"/>
    <xf numFmtId="0" fontId="18" fillId="35" borderId="10" xfId="0" applyFont="1" applyFill="1" applyBorder="1" applyAlignment="1">
      <alignment horizontal="center" vertical="top"/>
    </xf>
    <xf numFmtId="9" fontId="18" fillId="35" borderId="10" xfId="2" applyFont="1" applyFill="1" applyBorder="1" applyAlignment="1">
      <alignment horizontal="center" vertical="top"/>
    </xf>
    <xf numFmtId="164" fontId="16" fillId="0" borderId="0" xfId="1" applyNumberFormat="1" applyFont="1"/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18" fillId="36" borderId="10" xfId="0" applyFont="1" applyFill="1" applyBorder="1" applyAlignment="1">
      <alignment horizontal="center" vertical="top"/>
    </xf>
    <xf numFmtId="0" fontId="18" fillId="37" borderId="10" xfId="0" applyFont="1" applyFill="1" applyBorder="1" applyAlignment="1">
      <alignment horizontal="center" vertical="top"/>
    </xf>
    <xf numFmtId="0" fontId="18" fillId="38" borderId="10" xfId="0" applyFont="1" applyFill="1" applyBorder="1" applyAlignment="1">
      <alignment horizontal="center" vertical="top"/>
    </xf>
    <xf numFmtId="0" fontId="18" fillId="39" borderId="10" xfId="0" applyFont="1" applyFill="1" applyBorder="1" applyAlignment="1">
      <alignment horizontal="center" vertical="top"/>
    </xf>
    <xf numFmtId="0" fontId="18" fillId="40" borderId="10" xfId="0" applyFont="1" applyFill="1" applyBorder="1" applyAlignment="1">
      <alignment horizontal="center" vertical="top"/>
    </xf>
    <xf numFmtId="0" fontId="18" fillId="41" borderId="10" xfId="0" applyFont="1" applyFill="1" applyBorder="1" applyAlignment="1">
      <alignment horizontal="center" vertical="top"/>
    </xf>
    <xf numFmtId="9" fontId="18" fillId="37" borderId="10" xfId="2" applyFont="1" applyFill="1" applyBorder="1" applyAlignment="1">
      <alignment horizontal="center" vertical="top"/>
    </xf>
    <xf numFmtId="9" fontId="18" fillId="36" borderId="10" xfId="2" applyFont="1" applyFill="1" applyBorder="1" applyAlignment="1">
      <alignment horizontal="center" vertical="top"/>
    </xf>
    <xf numFmtId="9" fontId="18" fillId="38" borderId="10" xfId="2" applyFont="1" applyFill="1" applyBorder="1" applyAlignment="1">
      <alignment horizontal="center" vertical="top"/>
    </xf>
    <xf numFmtId="9" fontId="18" fillId="39" borderId="10" xfId="2" applyFont="1" applyFill="1" applyBorder="1" applyAlignment="1">
      <alignment horizontal="center" vertical="top"/>
    </xf>
    <xf numFmtId="9" fontId="18" fillId="40" borderId="10" xfId="2" applyFont="1" applyFill="1" applyBorder="1" applyAlignment="1">
      <alignment horizontal="center" vertical="top"/>
    </xf>
    <xf numFmtId="9" fontId="18" fillId="41" borderId="10" xfId="2" applyFont="1" applyFill="1" applyBorder="1" applyAlignment="1">
      <alignment horizontal="center" vertical="top"/>
    </xf>
    <xf numFmtId="9" fontId="0" fillId="0" borderId="0" xfId="0" applyNumberFormat="1"/>
    <xf numFmtId="0" fontId="0" fillId="42" borderId="0" xfId="0" applyFill="1"/>
    <xf numFmtId="0" fontId="20" fillId="0" borderId="0" xfId="0" applyFont="1"/>
    <xf numFmtId="9" fontId="20" fillId="0" borderId="0" xfId="2" applyFont="1"/>
    <xf numFmtId="165" fontId="20" fillId="0" borderId="0" xfId="2" applyNumberFormat="1" applyFont="1"/>
    <xf numFmtId="10" fontId="20" fillId="0" borderId="0" xfId="2" applyNumberFormat="1" applyFont="1"/>
    <xf numFmtId="10" fontId="0" fillId="0" borderId="0" xfId="0" applyNumberFormat="1"/>
    <xf numFmtId="9" fontId="16" fillId="0" borderId="0" xfId="2" applyNumberFormat="1" applyFont="1"/>
    <xf numFmtId="166" fontId="20" fillId="0" borderId="0" xfId="2" applyNumberFormat="1" applyFont="1"/>
    <xf numFmtId="0" fontId="0" fillId="0" borderId="0" xfId="0" applyFill="1"/>
    <xf numFmtId="10" fontId="0" fillId="0" borderId="0" xfId="2" applyNumberFormat="1" applyFont="1"/>
    <xf numFmtId="1" fontId="0" fillId="0" borderId="0" xfId="0" applyNumberFormat="1"/>
    <xf numFmtId="1" fontId="0" fillId="0" borderId="0" xfId="1" applyNumberFormat="1" applyFont="1"/>
    <xf numFmtId="1" fontId="20" fillId="0" borderId="0" xfId="1" applyNumberFormat="1" applyFont="1"/>
    <xf numFmtId="0" fontId="0" fillId="43" borderId="0" xfId="0" applyFill="1"/>
    <xf numFmtId="0" fontId="16" fillId="43" borderId="0" xfId="0" applyFont="1" applyFill="1"/>
    <xf numFmtId="165" fontId="0" fillId="0" borderId="0" xfId="2" applyNumberFormat="1" applyFont="1"/>
    <xf numFmtId="166" fontId="0" fillId="0" borderId="0" xfId="2" applyNumberFormat="1" applyFont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21" fillId="44" borderId="0" xfId="0" applyFont="1" applyFill="1"/>
    <xf numFmtId="0" fontId="21" fillId="43" borderId="0" xfId="0" applyFont="1" applyFill="1"/>
    <xf numFmtId="0" fontId="21" fillId="45" borderId="0" xfId="0" applyFont="1" applyFill="1"/>
    <xf numFmtId="0" fontId="21" fillId="46" borderId="0" xfId="0" applyFont="1" applyFill="1"/>
    <xf numFmtId="0" fontId="21" fillId="34" borderId="0" xfId="0" applyFont="1" applyFill="1"/>
    <xf numFmtId="0" fontId="21" fillId="0" borderId="0" xfId="0" applyFont="1"/>
  </cellXfs>
  <cellStyles count="44">
    <cellStyle name="20 % - Accent1" xfId="21" builtinId="30" customBuiltin="1"/>
    <cellStyle name="20 % - Accent2" xfId="25" builtinId="34" customBuiltin="1"/>
    <cellStyle name="20 % - Accent3" xfId="29" builtinId="38" customBuiltin="1"/>
    <cellStyle name="20 % - Accent4" xfId="33" builtinId="42" customBuiltin="1"/>
    <cellStyle name="20 % - Accent5" xfId="37" builtinId="46" customBuiltin="1"/>
    <cellStyle name="20 % - Accent6" xfId="41" builtinId="50" customBuiltin="1"/>
    <cellStyle name="40 % - Accent1" xfId="22" builtinId="31" customBuiltin="1"/>
    <cellStyle name="40 % - Accent2" xfId="26" builtinId="35" customBuiltin="1"/>
    <cellStyle name="40 % - Accent3" xfId="30" builtinId="39" customBuiltin="1"/>
    <cellStyle name="40 % - Accent4" xfId="34" builtinId="43" customBuiltin="1"/>
    <cellStyle name="40 % - Accent5" xfId="38" builtinId="47" customBuiltin="1"/>
    <cellStyle name="40 % - Accent6" xfId="42" builtinId="51" customBuiltin="1"/>
    <cellStyle name="60 % - Accent1" xfId="23" builtinId="32" customBuiltin="1"/>
    <cellStyle name="60 % - Accent2" xfId="27" builtinId="36" customBuiltin="1"/>
    <cellStyle name="60 % - Accent3" xfId="31" builtinId="40" customBuiltin="1"/>
    <cellStyle name="60 % - Accent4" xfId="35" builtinId="44" customBuiltin="1"/>
    <cellStyle name="60 % - Accent5" xfId="39" builtinId="48" customBuiltin="1"/>
    <cellStyle name="60 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Avertissement" xfId="16" builtinId="11" customBuiltin="1"/>
    <cellStyle name="Calcul" xfId="13" builtinId="22" customBuiltin="1"/>
    <cellStyle name="Cellule liée" xfId="14" builtinId="24" customBuiltin="1"/>
    <cellStyle name="Entrée" xfId="11" builtinId="20" customBuiltin="1"/>
    <cellStyle name="Insatisfaisant" xfId="9" builtinId="27" customBuiltin="1"/>
    <cellStyle name="Milliers" xfId="1" builtinId="3"/>
    <cellStyle name="Neutre" xfId="10" builtinId="28" customBuiltin="1"/>
    <cellStyle name="Normal" xfId="0" builtinId="0"/>
    <cellStyle name="Note" xfId="17" builtinId="10" customBuiltin="1"/>
    <cellStyle name="Pourcentage" xfId="2" builtinId="5"/>
    <cellStyle name="Satisfaisant" xfId="8" builtinId="26" customBuiltin="1"/>
    <cellStyle name="Sortie" xfId="12" builtinId="21" customBuiltin="1"/>
    <cellStyle name="Texte explicatif" xfId="18" builtinId="53" customBuiltin="1"/>
    <cellStyle name="Titre" xfId="3" builtinId="15" customBuiltin="1"/>
    <cellStyle name="Titre 1" xfId="4" builtinId="16" customBuiltin="1"/>
    <cellStyle name="Titre 2" xfId="5" builtinId="17" customBuiltin="1"/>
    <cellStyle name="Titre 3" xfId="6" builtinId="18" customBuiltin="1"/>
    <cellStyle name="Titre 4" xfId="7" builtinId="19" customBuiltin="1"/>
    <cellStyle name="Total" xfId="19" builtinId="25" customBuiltin="1"/>
    <cellStyle name="Vérification" xfId="15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4C8ED-896C-47D4-B231-8DB8E12CC5DB}">
  <dimension ref="A1:A8"/>
  <sheetViews>
    <sheetView tabSelected="1" workbookViewId="0">
      <selection activeCell="A10" sqref="A10"/>
    </sheetView>
  </sheetViews>
  <sheetFormatPr baseColWidth="10" defaultRowHeight="25.8" x14ac:dyDescent="0.5"/>
  <cols>
    <col min="1" max="1" width="70.109375" style="51" bestFit="1" customWidth="1"/>
  </cols>
  <sheetData>
    <row r="1" spans="1:1" x14ac:dyDescent="0.5">
      <c r="A1" s="46" t="s">
        <v>85</v>
      </c>
    </row>
    <row r="2" spans="1:1" x14ac:dyDescent="0.5">
      <c r="A2" s="47" t="s">
        <v>86</v>
      </c>
    </row>
    <row r="3" spans="1:1" x14ac:dyDescent="0.5">
      <c r="A3" s="48" t="s">
        <v>87</v>
      </c>
    </row>
    <row r="4" spans="1:1" x14ac:dyDescent="0.5">
      <c r="A4" s="49" t="s">
        <v>89</v>
      </c>
    </row>
    <row r="5" spans="1:1" x14ac:dyDescent="0.5">
      <c r="A5" s="50" t="s">
        <v>88</v>
      </c>
    </row>
    <row r="8" spans="1:1" x14ac:dyDescent="0.5">
      <c r="A8" s="51" t="s">
        <v>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200FC-1B1B-4FB0-B5EC-3BED4BB273F4}">
  <dimension ref="A1:C8"/>
  <sheetViews>
    <sheetView workbookViewId="0">
      <selection activeCell="C14" sqref="C14"/>
    </sheetView>
  </sheetViews>
  <sheetFormatPr baseColWidth="10" defaultRowHeight="14.4" x14ac:dyDescent="0.3"/>
  <cols>
    <col min="1" max="1" width="17.44140625" bestFit="1" customWidth="1"/>
    <col min="2" max="2" width="23.6640625" bestFit="1" customWidth="1"/>
    <col min="3" max="3" width="28" bestFit="1" customWidth="1"/>
  </cols>
  <sheetData>
    <row r="1" spans="1:3" x14ac:dyDescent="0.3">
      <c r="B1" s="4" t="s">
        <v>80</v>
      </c>
      <c r="C1" s="4" t="s">
        <v>81</v>
      </c>
    </row>
    <row r="2" spans="1:3" x14ac:dyDescent="0.3">
      <c r="A2" s="4" t="s">
        <v>0</v>
      </c>
      <c r="B2">
        <f>SUM(pt_surface!F6:I9)+(pt_surface!E5)</f>
        <v>120949499</v>
      </c>
      <c r="C2">
        <f>SUM(pt_surface!F6:I9)+(pt_surface!E5/2)</f>
        <v>61011704.5</v>
      </c>
    </row>
    <row r="3" spans="1:3" x14ac:dyDescent="0.3">
      <c r="A3" s="4" t="s">
        <v>1</v>
      </c>
      <c r="B3">
        <f>SUM(pt_surface!M13:P16)+pt_surface!L12</f>
        <v>311733418</v>
      </c>
      <c r="C3">
        <f>SUM(pt_surface!M13:P16)+(pt_surface!L12/2)</f>
        <v>156497944.5</v>
      </c>
    </row>
    <row r="4" spans="1:3" x14ac:dyDescent="0.3">
      <c r="A4" s="4" t="s">
        <v>53</v>
      </c>
      <c r="B4">
        <f>SUM(B2:B3)</f>
        <v>432682917</v>
      </c>
      <c r="C4">
        <f>SUM(C2:C3)</f>
        <v>217509649</v>
      </c>
    </row>
    <row r="6" spans="1:3" x14ac:dyDescent="0.3">
      <c r="A6" s="4" t="s">
        <v>82</v>
      </c>
      <c r="B6" s="9">
        <f>B4/31</f>
        <v>13957513.451612903</v>
      </c>
      <c r="C6" s="9">
        <f>C4/31</f>
        <v>7016440.2903225804</v>
      </c>
    </row>
    <row r="7" spans="1:3" x14ac:dyDescent="0.3">
      <c r="A7" s="4" t="s">
        <v>52</v>
      </c>
      <c r="B7" s="3">
        <f>B4/SUM(pt_surface!$C$3:$P$16)</f>
        <v>0.14964373091648703</v>
      </c>
      <c r="C7" s="3">
        <f>C4/SUM(pt_surface!$C$3:$P$16)</f>
        <v>7.5225885071620563E-2</v>
      </c>
    </row>
    <row r="8" spans="1:3" x14ac:dyDescent="0.3">
      <c r="A8" s="4" t="s">
        <v>84</v>
      </c>
      <c r="B8" s="39">
        <f>B6/SUM(pt_surface!$C$3:$P$16)</f>
        <v>4.8272171263382914E-3</v>
      </c>
      <c r="C8" s="39">
        <f>C6/SUM(pt_surface!$C$3:$P$16)</f>
        <v>2.4266414539232443E-3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1F592-5D30-457D-8F58-44AA3EEAA091}">
  <dimension ref="A1:C8"/>
  <sheetViews>
    <sheetView workbookViewId="0">
      <selection activeCell="B23" sqref="B23"/>
    </sheetView>
  </sheetViews>
  <sheetFormatPr baseColWidth="10" defaultRowHeight="14.4" x14ac:dyDescent="0.3"/>
  <cols>
    <col min="1" max="1" width="17.44140625" bestFit="1" customWidth="1"/>
    <col min="2" max="2" width="23.6640625" bestFit="1" customWidth="1"/>
    <col min="3" max="3" width="28" bestFit="1" customWidth="1"/>
  </cols>
  <sheetData>
    <row r="1" spans="1:3" x14ac:dyDescent="0.3">
      <c r="B1" s="4" t="s">
        <v>80</v>
      </c>
      <c r="C1" s="4" t="s">
        <v>81</v>
      </c>
    </row>
    <row r="2" spans="1:3" x14ac:dyDescent="0.3">
      <c r="A2" s="4" t="s">
        <v>0</v>
      </c>
      <c r="B2">
        <f>SUM(pt_logement!F6:I9)+(pt_logement!E5)</f>
        <v>2050944</v>
      </c>
      <c r="C2">
        <f>SUM(pt_logement!F6:I9)+(pt_logement!E5/2)</f>
        <v>1040038</v>
      </c>
    </row>
    <row r="3" spans="1:3" x14ac:dyDescent="0.3">
      <c r="A3" s="4" t="s">
        <v>1</v>
      </c>
      <c r="B3">
        <f>SUM(pt_logement!M13:P16)+pt_logement!L12</f>
        <v>2955048</v>
      </c>
      <c r="C3">
        <f>SUM(pt_logement!M13:P16)+(pt_logement!L12/2)</f>
        <v>1488845.5</v>
      </c>
    </row>
    <row r="4" spans="1:3" x14ac:dyDescent="0.3">
      <c r="A4" s="4" t="s">
        <v>53</v>
      </c>
      <c r="B4">
        <f>SUM(B2:B3)</f>
        <v>5005992</v>
      </c>
      <c r="C4">
        <f>SUM(C2:C3)</f>
        <v>2528883.5</v>
      </c>
    </row>
    <row r="6" spans="1:3" x14ac:dyDescent="0.3">
      <c r="A6" s="4" t="s">
        <v>82</v>
      </c>
      <c r="B6" s="9">
        <f>B4/31</f>
        <v>161483.61290322582</v>
      </c>
      <c r="C6" s="9">
        <f>C4/31</f>
        <v>81576.887096774197</v>
      </c>
    </row>
    <row r="7" spans="1:3" x14ac:dyDescent="0.3">
      <c r="A7" s="4" t="s">
        <v>52</v>
      </c>
      <c r="B7" s="3">
        <f>B4/SUM(pt_logement!$C$3:$P$16)</f>
        <v>0.14547264066741536</v>
      </c>
      <c r="C7" s="3">
        <f>C4/SUM(pt_logement!$C$3:$P$16)</f>
        <v>7.3488603394742877E-2</v>
      </c>
    </row>
    <row r="8" spans="1:3" x14ac:dyDescent="0.3">
      <c r="A8" s="4" t="s">
        <v>84</v>
      </c>
      <c r="B8" s="39">
        <f>B6/SUM(pt_logement!$C$3:$P$16)</f>
        <v>4.6926658279811406E-3</v>
      </c>
      <c r="C8" s="39">
        <f>C6/SUM(pt_logement!$C$3:$P$16)</f>
        <v>2.3706001095078347E-3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79998168889431442"/>
  </sheetPr>
  <dimension ref="A1:K31"/>
  <sheetViews>
    <sheetView workbookViewId="0">
      <selection activeCell="C19" sqref="C19"/>
    </sheetView>
  </sheetViews>
  <sheetFormatPr baseColWidth="10" defaultRowHeight="14.4" x14ac:dyDescent="0.3"/>
  <cols>
    <col min="1" max="1" width="17.44140625" customWidth="1"/>
    <col min="2" max="2" width="2.33203125" bestFit="1" customWidth="1"/>
    <col min="3" max="3" width="35" bestFit="1" customWidth="1"/>
    <col min="4" max="4" width="20" bestFit="1" customWidth="1"/>
    <col min="5" max="5" width="22.44140625" bestFit="1" customWidth="1"/>
    <col min="6" max="6" width="35" bestFit="1" customWidth="1"/>
    <col min="7" max="7" width="19.88671875" bestFit="1" customWidth="1"/>
    <col min="8" max="8" width="21.88671875" customWidth="1"/>
    <col min="9" max="9" width="17.88671875" bestFit="1" customWidth="1"/>
  </cols>
  <sheetData>
    <row r="1" spans="1:11" x14ac:dyDescent="0.3">
      <c r="C1" s="4" t="s">
        <v>37</v>
      </c>
      <c r="D1" s="4" t="s">
        <v>11</v>
      </c>
      <c r="E1" s="4" t="s">
        <v>12</v>
      </c>
      <c r="F1" s="4" t="s">
        <v>38</v>
      </c>
      <c r="G1" s="4" t="s">
        <v>13</v>
      </c>
      <c r="H1" s="4" t="s">
        <v>14</v>
      </c>
    </row>
    <row r="2" spans="1:11" x14ac:dyDescent="0.3">
      <c r="A2" s="5" t="s">
        <v>0</v>
      </c>
      <c r="B2" s="5" t="s">
        <v>2</v>
      </c>
      <c r="C2" s="5">
        <v>0</v>
      </c>
      <c r="D2" s="6">
        <f>C2/$C$17</f>
        <v>0</v>
      </c>
      <c r="E2" s="6">
        <f>C2/SUM($C$2:$C$8)</f>
        <v>0</v>
      </c>
      <c r="F2" s="5">
        <v>0</v>
      </c>
      <c r="G2" s="6">
        <f>F2/$F$17</f>
        <v>0</v>
      </c>
      <c r="H2" s="6">
        <f>F2/SUM($F$2:$F$8)</f>
        <v>0</v>
      </c>
    </row>
    <row r="3" spans="1:11" x14ac:dyDescent="0.3">
      <c r="A3" s="12" t="s">
        <v>0</v>
      </c>
      <c r="B3" s="12" t="s">
        <v>3</v>
      </c>
      <c r="C3" s="12">
        <f>pt_logement!C4</f>
        <v>2196536</v>
      </c>
      <c r="D3" s="17">
        <f t="shared" ref="D3:D15" si="0">C3/$C$17</f>
        <v>8.6828445457529588E-2</v>
      </c>
      <c r="E3" s="17">
        <f t="shared" ref="E3:E8" si="1">C3/SUM($C$2:$C$8)</f>
        <v>0.18391416686908196</v>
      </c>
      <c r="F3" s="12">
        <v>0</v>
      </c>
      <c r="G3" s="17">
        <f t="shared" ref="G3:G15" si="2">F3/$F$17</f>
        <v>0</v>
      </c>
      <c r="H3" s="17">
        <f t="shared" ref="H3:H8" si="3">F3/SUM($F$2:$F$8)</f>
        <v>0</v>
      </c>
    </row>
    <row r="4" spans="1:11" x14ac:dyDescent="0.3">
      <c r="A4" s="11" t="s">
        <v>0</v>
      </c>
      <c r="B4" s="11" t="s">
        <v>4</v>
      </c>
      <c r="C4" s="11">
        <f>SUM(pt_logement!C5:'pt_logement'!D5)</f>
        <v>4742497</v>
      </c>
      <c r="D4" s="18">
        <f t="shared" si="0"/>
        <v>0.18746956211826152</v>
      </c>
      <c r="E4" s="18">
        <f t="shared" si="1"/>
        <v>0.39708540385139174</v>
      </c>
      <c r="F4" s="11">
        <f>pt_logement!E5</f>
        <v>2021812</v>
      </c>
      <c r="G4" s="18">
        <f t="shared" si="2"/>
        <v>0.40387839213486559</v>
      </c>
      <c r="H4" s="18">
        <f t="shared" si="3"/>
        <v>0.98579580914934783</v>
      </c>
    </row>
    <row r="5" spans="1:11" x14ac:dyDescent="0.3">
      <c r="A5" s="13" t="s">
        <v>0</v>
      </c>
      <c r="B5" s="13" t="s">
        <v>5</v>
      </c>
      <c r="C5" s="13">
        <f>SUM(pt_logement!C6:E6)</f>
        <v>3431238</v>
      </c>
      <c r="D5" s="19">
        <f t="shared" si="0"/>
        <v>0.1356358655331863</v>
      </c>
      <c r="E5" s="19">
        <f t="shared" si="1"/>
        <v>0.2872947577911471</v>
      </c>
      <c r="F5" s="13">
        <f>pt_logement!F6</f>
        <v>9554</v>
      </c>
      <c r="G5" s="19">
        <f t="shared" si="2"/>
        <v>1.9085128382146834E-3</v>
      </c>
      <c r="H5" s="19">
        <f t="shared" si="3"/>
        <v>4.6583426948761152E-3</v>
      </c>
    </row>
    <row r="6" spans="1:11" x14ac:dyDescent="0.3">
      <c r="A6" s="14" t="s">
        <v>0</v>
      </c>
      <c r="B6" s="14" t="s">
        <v>6</v>
      </c>
      <c r="C6" s="14">
        <f>SUM(pt_logement!C7:E7)</f>
        <v>1172487</v>
      </c>
      <c r="D6" s="20">
        <f t="shared" si="0"/>
        <v>4.6348078760904667E-2</v>
      </c>
      <c r="E6" s="20">
        <f t="shared" si="1"/>
        <v>9.8171379740568471E-2</v>
      </c>
      <c r="F6" s="14">
        <f>SUM(pt_logement!F7:G7)</f>
        <v>8476</v>
      </c>
      <c r="G6" s="20">
        <f t="shared" si="2"/>
        <v>1.6931709039886599E-3</v>
      </c>
      <c r="H6" s="20">
        <f t="shared" si="3"/>
        <v>4.1327310740810084E-3</v>
      </c>
    </row>
    <row r="7" spans="1:11" x14ac:dyDescent="0.3">
      <c r="A7" s="15" t="s">
        <v>0</v>
      </c>
      <c r="B7" s="15" t="s">
        <v>7</v>
      </c>
      <c r="C7" s="15">
        <f>SUM(pt_logement!C8:E8)</f>
        <v>334023</v>
      </c>
      <c r="D7" s="21">
        <f t="shared" si="0"/>
        <v>1.320383450899981E-2</v>
      </c>
      <c r="E7" s="21">
        <f t="shared" si="1"/>
        <v>2.7967473221523056E-2</v>
      </c>
      <c r="F7" s="15">
        <f>SUM(pt_logement!F8:H8)</f>
        <v>6179</v>
      </c>
      <c r="G7" s="21">
        <f t="shared" si="2"/>
        <v>1.2343207899653055E-3</v>
      </c>
      <c r="H7" s="21">
        <f t="shared" si="3"/>
        <v>3.0127590026836422E-3</v>
      </c>
    </row>
    <row r="8" spans="1:11" x14ac:dyDescent="0.3">
      <c r="A8" s="16" t="s">
        <v>0</v>
      </c>
      <c r="B8" s="16" t="s">
        <v>8</v>
      </c>
      <c r="C8" s="16">
        <f>SUM(pt_logement!C9:E9)</f>
        <v>66486</v>
      </c>
      <c r="D8" s="22">
        <f t="shared" si="0"/>
        <v>2.628172734109212E-3</v>
      </c>
      <c r="E8" s="22">
        <f t="shared" si="1"/>
        <v>5.5668185262876561E-3</v>
      </c>
      <c r="F8" s="16">
        <f>SUM(pt_logement!F9:I9)</f>
        <v>4923</v>
      </c>
      <c r="G8" s="22">
        <f t="shared" si="2"/>
        <v>9.834214677130926E-4</v>
      </c>
      <c r="H8" s="22">
        <f t="shared" si="3"/>
        <v>2.4003580790114211E-3</v>
      </c>
    </row>
    <row r="9" spans="1:11" x14ac:dyDescent="0.3">
      <c r="A9" s="5" t="s">
        <v>1</v>
      </c>
      <c r="B9" s="5" t="s">
        <v>2</v>
      </c>
      <c r="C9" s="5">
        <v>0</v>
      </c>
      <c r="D9" s="6">
        <f t="shared" si="0"/>
        <v>0</v>
      </c>
      <c r="E9" s="6">
        <f>C9/SUM($C$9:$C$15)</f>
        <v>0</v>
      </c>
      <c r="F9" s="5">
        <v>0</v>
      </c>
      <c r="G9" s="6">
        <f t="shared" si="2"/>
        <v>0</v>
      </c>
      <c r="H9" s="6">
        <f>F9/SUM($F$9:$F$15)</f>
        <v>0</v>
      </c>
    </row>
    <row r="10" spans="1:11" x14ac:dyDescent="0.3">
      <c r="A10" s="12" t="s">
        <v>1</v>
      </c>
      <c r="B10" s="12" t="s">
        <v>3</v>
      </c>
      <c r="C10" s="12">
        <f>SUM(pt_logement!J11)</f>
        <v>1813454</v>
      </c>
      <c r="D10" s="17">
        <f t="shared" si="0"/>
        <v>7.1685322584623637E-2</v>
      </c>
      <c r="E10" s="17">
        <f t="shared" ref="E10:E15" si="4">C10/SUM($C$9:$C$15)</f>
        <v>0.1357969656939034</v>
      </c>
      <c r="F10" s="12">
        <v>0</v>
      </c>
      <c r="G10" s="17">
        <f t="shared" si="2"/>
        <v>0</v>
      </c>
      <c r="H10" s="17">
        <f t="shared" ref="H10:H15" si="5">F10/SUM($F$9:$F$15)</f>
        <v>0</v>
      </c>
    </row>
    <row r="11" spans="1:11" x14ac:dyDescent="0.3">
      <c r="A11" s="11" t="s">
        <v>1</v>
      </c>
      <c r="B11" s="11" t="s">
        <v>4</v>
      </c>
      <c r="C11" s="11">
        <f>SUM(pt_logement!J13:L13)</f>
        <v>4912324</v>
      </c>
      <c r="D11" s="18">
        <f t="shared" si="0"/>
        <v>0.19418277528968958</v>
      </c>
      <c r="E11" s="18">
        <f t="shared" si="4"/>
        <v>0.36784980137645529</v>
      </c>
      <c r="F11" s="11">
        <f>pt_logement!L12</f>
        <v>2932405</v>
      </c>
      <c r="G11" s="18">
        <f t="shared" si="2"/>
        <v>0.5857790024434717</v>
      </c>
      <c r="H11" s="18">
        <f t="shared" si="5"/>
        <v>0.99233751871373999</v>
      </c>
    </row>
    <row r="12" spans="1:11" x14ac:dyDescent="0.3">
      <c r="A12" s="13" t="s">
        <v>1</v>
      </c>
      <c r="B12" s="13" t="s">
        <v>5</v>
      </c>
      <c r="C12" s="13">
        <f>SUM(pt_logement!C13:L13)</f>
        <v>4912324</v>
      </c>
      <c r="D12" s="19">
        <f t="shared" si="0"/>
        <v>0.19418277528968958</v>
      </c>
      <c r="E12" s="19">
        <f t="shared" si="4"/>
        <v>0.36784980137645529</v>
      </c>
      <c r="F12" s="13">
        <f>pt_logement!M13</f>
        <v>6859</v>
      </c>
      <c r="G12" s="19">
        <f t="shared" si="2"/>
        <v>1.3701580026496247E-3</v>
      </c>
      <c r="H12" s="19">
        <f t="shared" si="5"/>
        <v>2.3211128888600118E-3</v>
      </c>
    </row>
    <row r="13" spans="1:11" x14ac:dyDescent="0.3">
      <c r="A13" s="14" t="s">
        <v>1</v>
      </c>
      <c r="B13" s="14" t="s">
        <v>6</v>
      </c>
      <c r="C13" s="14">
        <f>SUM(pt_logement!C14:L14)</f>
        <v>1244868</v>
      </c>
      <c r="D13" s="20">
        <f t="shared" si="0"/>
        <v>4.920927917403764E-2</v>
      </c>
      <c r="E13" s="20">
        <f t="shared" si="4"/>
        <v>9.3219512096495497E-2</v>
      </c>
      <c r="F13" s="14">
        <f>SUM(pt_logement!M14:N14)</f>
        <v>6438</v>
      </c>
      <c r="G13" s="20">
        <f t="shared" si="2"/>
        <v>1.28605878714948E-3</v>
      </c>
      <c r="H13" s="20">
        <f t="shared" si="5"/>
        <v>2.178644813891348E-3</v>
      </c>
    </row>
    <row r="14" spans="1:11" x14ac:dyDescent="0.3">
      <c r="A14" s="15" t="s">
        <v>1</v>
      </c>
      <c r="B14" s="15" t="s">
        <v>7</v>
      </c>
      <c r="C14" s="15">
        <f>SUM(pt_logement!C15:L15)</f>
        <v>354820</v>
      </c>
      <c r="D14" s="21">
        <f t="shared" si="0"/>
        <v>1.4025934023954375E-2</v>
      </c>
      <c r="E14" s="21">
        <f t="shared" si="4"/>
        <v>2.6570003632576732E-2</v>
      </c>
      <c r="F14" s="15">
        <f>SUM(pt_logement!M15:O15)</f>
        <v>5504</v>
      </c>
      <c r="G14" s="21">
        <f t="shared" si="2"/>
        <v>1.0994823803154299E-3</v>
      </c>
      <c r="H14" s="21">
        <f t="shared" si="5"/>
        <v>1.8625754979276141E-3</v>
      </c>
    </row>
    <row r="15" spans="1:11" x14ac:dyDescent="0.3">
      <c r="A15" s="16" t="s">
        <v>1</v>
      </c>
      <c r="B15" s="16" t="s">
        <v>8</v>
      </c>
      <c r="C15" s="16">
        <f>SUM(pt_logement!C16:L16)</f>
        <v>116367</v>
      </c>
      <c r="D15" s="22">
        <f t="shared" si="0"/>
        <v>4.5999545250140885E-3</v>
      </c>
      <c r="E15" s="22">
        <f t="shared" si="4"/>
        <v>8.7139158241137955E-3</v>
      </c>
      <c r="F15" s="16">
        <f>SUM(pt_logement!M16:P16)</f>
        <v>3842</v>
      </c>
      <c r="G15" s="22">
        <f t="shared" si="2"/>
        <v>7.6748025166640296E-4</v>
      </c>
      <c r="H15" s="22">
        <f t="shared" si="5"/>
        <v>1.3001480855810126E-3</v>
      </c>
    </row>
    <row r="16" spans="1:11" x14ac:dyDescent="0.3">
      <c r="A16" s="4" t="s">
        <v>40</v>
      </c>
      <c r="C16" t="s">
        <v>53</v>
      </c>
      <c r="D16" s="25" t="s">
        <v>52</v>
      </c>
      <c r="E16" s="25"/>
      <c r="F16" s="25" t="s">
        <v>53</v>
      </c>
      <c r="G16" s="25" t="s">
        <v>52</v>
      </c>
      <c r="H16" s="25" t="s">
        <v>54</v>
      </c>
      <c r="I16" s="25" t="s">
        <v>56</v>
      </c>
      <c r="J16" s="25" t="s">
        <v>55</v>
      </c>
      <c r="K16" s="25" t="s">
        <v>57</v>
      </c>
    </row>
    <row r="17" spans="1:10" x14ac:dyDescent="0.3">
      <c r="A17" t="s">
        <v>36</v>
      </c>
      <c r="C17" s="7">
        <f>SUM(C2:C15)</f>
        <v>25297424</v>
      </c>
      <c r="D17" s="30">
        <f>C17/SUM(pt_logement!C3:P16)</f>
        <v>0.73513562773637064</v>
      </c>
      <c r="E17" s="4"/>
      <c r="F17" s="7">
        <f>SUM(F2:F15)</f>
        <v>5005992</v>
      </c>
      <c r="G17" s="27">
        <f>F17/SUM(pt_logement!$C$3:$P$16)</f>
        <v>0.14547264066741536</v>
      </c>
      <c r="H17">
        <f>SUM(F2:F8)</f>
        <v>2050944</v>
      </c>
      <c r="I17" s="29"/>
      <c r="J17">
        <f>SUM(F9:F15)</f>
        <v>2955048</v>
      </c>
    </row>
    <row r="18" spans="1:10" x14ac:dyDescent="0.3">
      <c r="C18" s="9"/>
      <c r="D18" s="26"/>
      <c r="F18" s="9"/>
      <c r="G18" s="27"/>
    </row>
    <row r="19" spans="1:10" x14ac:dyDescent="0.3">
      <c r="A19" t="s">
        <v>60</v>
      </c>
      <c r="C19" s="9">
        <f>pt_logement!C25</f>
        <v>26996501</v>
      </c>
      <c r="D19" s="26"/>
      <c r="F19" s="9"/>
      <c r="G19" s="27"/>
    </row>
    <row r="20" spans="1:10" x14ac:dyDescent="0.3">
      <c r="C20" s="9"/>
      <c r="D20" s="26"/>
      <c r="F20" s="9"/>
      <c r="G20" s="27"/>
    </row>
    <row r="21" spans="1:10" x14ac:dyDescent="0.3">
      <c r="C21" s="9"/>
      <c r="D21" s="26"/>
      <c r="F21" s="9"/>
      <c r="G21" s="27"/>
    </row>
    <row r="22" spans="1:10" x14ac:dyDescent="0.3">
      <c r="D22" s="26"/>
      <c r="G22" s="26"/>
    </row>
    <row r="23" spans="1:10" x14ac:dyDescent="0.3">
      <c r="A23" s="4" t="s">
        <v>39</v>
      </c>
      <c r="D23" s="26"/>
      <c r="G23" s="26"/>
    </row>
    <row r="24" spans="1:10" x14ac:dyDescent="0.3">
      <c r="A24" t="s">
        <v>36</v>
      </c>
      <c r="C24" s="10">
        <f>C17/31</f>
        <v>816045.93548387091</v>
      </c>
      <c r="D24" s="26">
        <f>C24/SUM(pt_logement!$C$3:$P$16)</f>
        <v>2.3714052507624858E-2</v>
      </c>
      <c r="F24" s="10">
        <f>F17/31</f>
        <v>161483.61290322582</v>
      </c>
      <c r="G24" s="27">
        <f>F24/SUM(pt_logement!$C$3:$P$16)</f>
        <v>4.6926658279811406E-3</v>
      </c>
      <c r="H24" s="10">
        <f>H17/31</f>
        <v>66159.483870967742</v>
      </c>
      <c r="J24" s="10">
        <f>J17/31</f>
        <v>95324.129032258061</v>
      </c>
    </row>
    <row r="25" spans="1:10" x14ac:dyDescent="0.3">
      <c r="C25" s="10"/>
      <c r="D25" s="26"/>
      <c r="F25" s="10"/>
      <c r="G25" s="27"/>
    </row>
    <row r="26" spans="1:10" x14ac:dyDescent="0.3">
      <c r="C26" s="10"/>
      <c r="D26" s="26"/>
      <c r="F26" s="10"/>
      <c r="G26" s="27"/>
    </row>
    <row r="27" spans="1:10" x14ac:dyDescent="0.3">
      <c r="C27" s="10"/>
      <c r="D27" s="26"/>
      <c r="F27" s="10"/>
      <c r="G27" s="27"/>
    </row>
    <row r="28" spans="1:10" x14ac:dyDescent="0.3">
      <c r="C28" s="10"/>
      <c r="D28" s="26"/>
      <c r="F28" s="10"/>
      <c r="G28" s="27"/>
    </row>
    <row r="29" spans="1:10" x14ac:dyDescent="0.3">
      <c r="D29" s="26"/>
    </row>
    <row r="31" spans="1:10" x14ac:dyDescent="0.3">
      <c r="C31" s="8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F95BA-A495-4889-9D27-DC6CEF73A4BE}">
  <sheetPr>
    <tabColor theme="4" tint="0.59999389629810485"/>
  </sheetPr>
  <dimension ref="A1:K31"/>
  <sheetViews>
    <sheetView workbookViewId="0">
      <selection activeCell="I24" sqref="I24"/>
    </sheetView>
  </sheetViews>
  <sheetFormatPr baseColWidth="10" defaultRowHeight="14.4" x14ac:dyDescent="0.3"/>
  <cols>
    <col min="1" max="1" width="17.44140625" customWidth="1"/>
    <col min="2" max="2" width="2.33203125" bestFit="1" customWidth="1"/>
    <col min="3" max="3" width="35" bestFit="1" customWidth="1"/>
    <col min="4" max="4" width="20" bestFit="1" customWidth="1"/>
    <col min="5" max="5" width="22.44140625" bestFit="1" customWidth="1"/>
    <col min="6" max="6" width="35" bestFit="1" customWidth="1"/>
    <col min="7" max="7" width="19.88671875" bestFit="1" customWidth="1"/>
    <col min="8" max="8" width="21.88671875" customWidth="1"/>
    <col min="9" max="9" width="17.88671875" bestFit="1" customWidth="1"/>
  </cols>
  <sheetData>
    <row r="1" spans="1:11" x14ac:dyDescent="0.3">
      <c r="C1" s="4" t="s">
        <v>37</v>
      </c>
      <c r="D1" s="4" t="s">
        <v>11</v>
      </c>
      <c r="E1" s="4" t="s">
        <v>12</v>
      </c>
      <c r="F1" s="4" t="s">
        <v>38</v>
      </c>
      <c r="G1" s="4" t="s">
        <v>13</v>
      </c>
      <c r="H1" s="4" t="s">
        <v>14</v>
      </c>
    </row>
    <row r="2" spans="1:11" x14ac:dyDescent="0.3">
      <c r="A2" s="5" t="s">
        <v>0</v>
      </c>
      <c r="B2" s="5" t="s">
        <v>2</v>
      </c>
      <c r="C2" s="5">
        <v>0</v>
      </c>
      <c r="D2" s="6">
        <f>C2/$C$17</f>
        <v>0</v>
      </c>
      <c r="E2" s="6">
        <f>C2/SUM($C$2:$C$8)</f>
        <v>0</v>
      </c>
      <c r="F2" s="5">
        <v>0</v>
      </c>
      <c r="G2" s="6">
        <f>F2/$F$17</f>
        <v>0</v>
      </c>
      <c r="H2" s="6">
        <f>F2/SUM($F$2:$F$8)</f>
        <v>0</v>
      </c>
    </row>
    <row r="3" spans="1:11" x14ac:dyDescent="0.3">
      <c r="A3" s="12" t="s">
        <v>0</v>
      </c>
      <c r="B3" s="12" t="s">
        <v>3</v>
      </c>
      <c r="C3" s="12">
        <f>pt_logement!C4</f>
        <v>2196536</v>
      </c>
      <c r="D3" s="17">
        <f t="shared" ref="D3:D15" si="0">C3/$C$17</f>
        <v>8.6828445457529588E-2</v>
      </c>
      <c r="E3" s="17">
        <f t="shared" ref="E3:E8" si="1">C3/SUM($C$2:$C$8)</f>
        <v>0.18391416686908196</v>
      </c>
      <c r="F3" s="12">
        <v>0</v>
      </c>
      <c r="G3" s="17">
        <f t="shared" ref="G3:G15" si="2">F3/$F$17</f>
        <v>0</v>
      </c>
      <c r="H3" s="17">
        <f t="shared" ref="H3:H8" si="3">F3/SUM($F$2:$F$8)</f>
        <v>0</v>
      </c>
    </row>
    <row r="4" spans="1:11" x14ac:dyDescent="0.3">
      <c r="A4" s="11" t="s">
        <v>0</v>
      </c>
      <c r="B4" s="11" t="s">
        <v>4</v>
      </c>
      <c r="C4" s="11">
        <f>SUM(pt_logement!C5:'pt_logement'!D5)</f>
        <v>4742497</v>
      </c>
      <c r="D4" s="18">
        <f t="shared" si="0"/>
        <v>0.18746956211826152</v>
      </c>
      <c r="E4" s="18">
        <f t="shared" si="1"/>
        <v>0.39708540385139174</v>
      </c>
      <c r="F4" s="11">
        <f>pt_logement!E5/2</f>
        <v>1010906</v>
      </c>
      <c r="G4" s="18">
        <f t="shared" si="2"/>
        <v>0.39974399769700741</v>
      </c>
      <c r="H4" s="18">
        <f t="shared" si="3"/>
        <v>0.97198948499958659</v>
      </c>
    </row>
    <row r="5" spans="1:11" x14ac:dyDescent="0.3">
      <c r="A5" s="13" t="s">
        <v>0</v>
      </c>
      <c r="B5" s="13" t="s">
        <v>5</v>
      </c>
      <c r="C5" s="13">
        <f>SUM(pt_logement!C6:E6)</f>
        <v>3431238</v>
      </c>
      <c r="D5" s="19">
        <f t="shared" si="0"/>
        <v>0.1356358655331863</v>
      </c>
      <c r="E5" s="19">
        <f t="shared" si="1"/>
        <v>0.2872947577911471</v>
      </c>
      <c r="F5" s="13">
        <f>pt_logement!F6</f>
        <v>9554</v>
      </c>
      <c r="G5" s="19">
        <f t="shared" si="2"/>
        <v>3.7779518115405473E-3</v>
      </c>
      <c r="H5" s="19">
        <f t="shared" si="3"/>
        <v>9.1862028118203376E-3</v>
      </c>
    </row>
    <row r="6" spans="1:11" x14ac:dyDescent="0.3">
      <c r="A6" s="14" t="s">
        <v>0</v>
      </c>
      <c r="B6" s="14" t="s">
        <v>6</v>
      </c>
      <c r="C6" s="14">
        <f>SUM(pt_logement!C7:E7)</f>
        <v>1172487</v>
      </c>
      <c r="D6" s="20">
        <f t="shared" si="0"/>
        <v>4.6348078760904667E-2</v>
      </c>
      <c r="E6" s="20">
        <f t="shared" si="1"/>
        <v>9.8171379740568471E-2</v>
      </c>
      <c r="F6" s="14">
        <f>SUM(pt_logement!F7:G7)</f>
        <v>8476</v>
      </c>
      <c r="G6" s="20">
        <f t="shared" si="2"/>
        <v>3.3516767379754742E-3</v>
      </c>
      <c r="H6" s="20">
        <f t="shared" si="3"/>
        <v>8.1497022224187969E-3</v>
      </c>
    </row>
    <row r="7" spans="1:11" x14ac:dyDescent="0.3">
      <c r="A7" s="15" t="s">
        <v>0</v>
      </c>
      <c r="B7" s="15" t="s">
        <v>7</v>
      </c>
      <c r="C7" s="15">
        <f>SUM(pt_logement!C8:E8)</f>
        <v>334023</v>
      </c>
      <c r="D7" s="21">
        <f t="shared" si="0"/>
        <v>1.320383450899981E-2</v>
      </c>
      <c r="E7" s="21">
        <f t="shared" si="1"/>
        <v>2.7967473221523056E-2</v>
      </c>
      <c r="F7" s="15">
        <f>SUM(pt_logement!F8:H8)</f>
        <v>6179</v>
      </c>
      <c r="G7" s="21">
        <f t="shared" si="2"/>
        <v>2.4433707602584303E-3</v>
      </c>
      <c r="H7" s="21">
        <f t="shared" si="3"/>
        <v>5.9411290741299841E-3</v>
      </c>
    </row>
    <row r="8" spans="1:11" x14ac:dyDescent="0.3">
      <c r="A8" s="16" t="s">
        <v>0</v>
      </c>
      <c r="B8" s="16" t="s">
        <v>8</v>
      </c>
      <c r="C8" s="16">
        <f>SUM(pt_logement!C9:E9)</f>
        <v>66486</v>
      </c>
      <c r="D8" s="22">
        <f t="shared" si="0"/>
        <v>2.628172734109212E-3</v>
      </c>
      <c r="E8" s="22">
        <f t="shared" si="1"/>
        <v>5.5668185262876561E-3</v>
      </c>
      <c r="F8" s="16">
        <f>SUM(pt_logement!F9:I9)</f>
        <v>4923</v>
      </c>
      <c r="G8" s="22">
        <f t="shared" si="2"/>
        <v>1.9467088934701816E-3</v>
      </c>
      <c r="H8" s="22">
        <f t="shared" si="3"/>
        <v>4.733480892044329E-3</v>
      </c>
    </row>
    <row r="9" spans="1:11" x14ac:dyDescent="0.3">
      <c r="A9" s="5" t="s">
        <v>1</v>
      </c>
      <c r="B9" s="5" t="s">
        <v>2</v>
      </c>
      <c r="C9" s="5">
        <v>0</v>
      </c>
      <c r="D9" s="6">
        <f t="shared" si="0"/>
        <v>0</v>
      </c>
      <c r="E9" s="6">
        <f>C9/SUM($C$9:$C$15)</f>
        <v>0</v>
      </c>
      <c r="F9" s="5">
        <v>0</v>
      </c>
      <c r="G9" s="6">
        <f t="shared" si="2"/>
        <v>0</v>
      </c>
      <c r="H9" s="6">
        <f>F9/SUM($F$9:$F$15)</f>
        <v>0</v>
      </c>
    </row>
    <row r="10" spans="1:11" x14ac:dyDescent="0.3">
      <c r="A10" s="12" t="s">
        <v>1</v>
      </c>
      <c r="B10" s="12" t="s">
        <v>3</v>
      </c>
      <c r="C10" s="12">
        <f>SUM(pt_logement!J11)</f>
        <v>1813454</v>
      </c>
      <c r="D10" s="17">
        <f t="shared" si="0"/>
        <v>7.1685322584623637E-2</v>
      </c>
      <c r="E10" s="17">
        <f t="shared" ref="E10:E15" si="4">C10/SUM($C$9:$C$15)</f>
        <v>0.1357969656939034</v>
      </c>
      <c r="F10" s="12">
        <v>0</v>
      </c>
      <c r="G10" s="17">
        <f t="shared" si="2"/>
        <v>0</v>
      </c>
      <c r="H10" s="17">
        <f t="shared" ref="H10:H15" si="5">F10/SUM($F$9:$F$15)</f>
        <v>0</v>
      </c>
    </row>
    <row r="11" spans="1:11" x14ac:dyDescent="0.3">
      <c r="A11" s="11" t="s">
        <v>1</v>
      </c>
      <c r="B11" s="11" t="s">
        <v>4</v>
      </c>
      <c r="C11" s="11">
        <f>SUM(pt_logement!J13:L13)</f>
        <v>4912324</v>
      </c>
      <c r="D11" s="18">
        <f t="shared" si="0"/>
        <v>0.19418277528968958</v>
      </c>
      <c r="E11" s="18">
        <f t="shared" si="4"/>
        <v>0.36784980137645529</v>
      </c>
      <c r="F11" s="11">
        <f>pt_logement!L12/2</f>
        <v>1466202.5</v>
      </c>
      <c r="G11" s="18">
        <f t="shared" si="2"/>
        <v>0.57978254039776844</v>
      </c>
      <c r="H11" s="18">
        <f t="shared" si="5"/>
        <v>0.98479157172453424</v>
      </c>
    </row>
    <row r="12" spans="1:11" x14ac:dyDescent="0.3">
      <c r="A12" s="13" t="s">
        <v>1</v>
      </c>
      <c r="B12" s="13" t="s">
        <v>5</v>
      </c>
      <c r="C12" s="13">
        <f>SUM(pt_logement!C13:L13)</f>
        <v>4912324</v>
      </c>
      <c r="D12" s="19">
        <f t="shared" si="0"/>
        <v>0.19418277528968958</v>
      </c>
      <c r="E12" s="19">
        <f t="shared" si="4"/>
        <v>0.36784980137645529</v>
      </c>
      <c r="F12" s="13">
        <f>pt_logement!M13</f>
        <v>6859</v>
      </c>
      <c r="G12" s="19">
        <f t="shared" si="2"/>
        <v>2.7122641276278643E-3</v>
      </c>
      <c r="H12" s="19">
        <f t="shared" si="5"/>
        <v>4.6069252988305371E-3</v>
      </c>
    </row>
    <row r="13" spans="1:11" x14ac:dyDescent="0.3">
      <c r="A13" s="14" t="s">
        <v>1</v>
      </c>
      <c r="B13" s="14" t="s">
        <v>6</v>
      </c>
      <c r="C13" s="14">
        <f>SUM(pt_logement!C14:L14)</f>
        <v>1244868</v>
      </c>
      <c r="D13" s="20">
        <f t="shared" si="0"/>
        <v>4.920927917403764E-2</v>
      </c>
      <c r="E13" s="20">
        <f t="shared" si="4"/>
        <v>9.3219512096495497E-2</v>
      </c>
      <c r="F13" s="14">
        <f>SUM(pt_logement!M14:N14)</f>
        <v>6438</v>
      </c>
      <c r="G13" s="20">
        <f t="shared" si="2"/>
        <v>2.5457874987123764E-3</v>
      </c>
      <c r="H13" s="20">
        <f t="shared" si="5"/>
        <v>4.3241558643929137E-3</v>
      </c>
    </row>
    <row r="14" spans="1:11" x14ac:dyDescent="0.3">
      <c r="A14" s="15" t="s">
        <v>1</v>
      </c>
      <c r="B14" s="15" t="s">
        <v>7</v>
      </c>
      <c r="C14" s="15">
        <f>SUM(pt_logement!C15:L15)</f>
        <v>354820</v>
      </c>
      <c r="D14" s="21">
        <f t="shared" si="0"/>
        <v>1.4025934023954375E-2</v>
      </c>
      <c r="E14" s="21">
        <f t="shared" si="4"/>
        <v>2.6570003632576732E-2</v>
      </c>
      <c r="F14" s="15">
        <f>SUM(pt_logement!M15:O15)</f>
        <v>5504</v>
      </c>
      <c r="G14" s="21">
        <f t="shared" si="2"/>
        <v>2.176454550002007E-3</v>
      </c>
      <c r="H14" s="21">
        <f t="shared" si="5"/>
        <v>3.6968241499873559E-3</v>
      </c>
    </row>
    <row r="15" spans="1:11" x14ac:dyDescent="0.3">
      <c r="A15" s="16" t="s">
        <v>1</v>
      </c>
      <c r="B15" s="16" t="s">
        <v>8</v>
      </c>
      <c r="C15" s="16">
        <f>SUM(pt_logement!C16:L16)</f>
        <v>116367</v>
      </c>
      <c r="D15" s="22">
        <f t="shared" si="0"/>
        <v>4.5999545250140885E-3</v>
      </c>
      <c r="E15" s="22">
        <f t="shared" si="4"/>
        <v>8.7139158241137955E-3</v>
      </c>
      <c r="F15" s="16">
        <f>SUM(pt_logement!M16:P16)</f>
        <v>3842</v>
      </c>
      <c r="G15" s="22">
        <f t="shared" si="2"/>
        <v>1.519247525637302E-3</v>
      </c>
      <c r="H15" s="22">
        <f t="shared" si="5"/>
        <v>2.5805229622549823E-3</v>
      </c>
    </row>
    <row r="16" spans="1:11" x14ac:dyDescent="0.3">
      <c r="A16" s="4" t="s">
        <v>40</v>
      </c>
      <c r="C16" t="s">
        <v>53</v>
      </c>
      <c r="D16" s="25" t="s">
        <v>52</v>
      </c>
      <c r="E16" s="25"/>
      <c r="F16" s="25" t="s">
        <v>53</v>
      </c>
      <c r="G16" s="25" t="s">
        <v>52</v>
      </c>
      <c r="H16" s="25" t="s">
        <v>54</v>
      </c>
      <c r="I16" s="25" t="s">
        <v>56</v>
      </c>
      <c r="J16" s="25" t="s">
        <v>55</v>
      </c>
      <c r="K16" s="25" t="s">
        <v>57</v>
      </c>
    </row>
    <row r="17" spans="1:10" x14ac:dyDescent="0.3">
      <c r="A17" t="s">
        <v>36</v>
      </c>
      <c r="C17" s="7">
        <f>SUM(C2:C15)</f>
        <v>25297424</v>
      </c>
      <c r="D17" s="30">
        <f>C17/SUM(pt_logement!C3:P16)</f>
        <v>0.73513562773637064</v>
      </c>
      <c r="E17" s="4"/>
      <c r="F17" s="7">
        <f>SUM(F2:F15)</f>
        <v>2528883.5</v>
      </c>
      <c r="G17" s="27">
        <f>F17/SUM(pt_logement!$C$3:$P$16)</f>
        <v>7.3488603394742877E-2</v>
      </c>
      <c r="H17">
        <f>SUM(F2:F8)</f>
        <v>1040038</v>
      </c>
      <c r="I17" s="29"/>
      <c r="J17">
        <f>SUM(F9:F15)</f>
        <v>1488845.5</v>
      </c>
    </row>
    <row r="18" spans="1:10" x14ac:dyDescent="0.3">
      <c r="C18" s="9"/>
      <c r="D18" s="26"/>
      <c r="F18" s="9"/>
      <c r="G18" s="27"/>
    </row>
    <row r="19" spans="1:10" x14ac:dyDescent="0.3">
      <c r="C19" s="9"/>
      <c r="D19" s="26"/>
      <c r="F19" s="9"/>
      <c r="G19" s="27"/>
    </row>
    <row r="20" spans="1:10" x14ac:dyDescent="0.3">
      <c r="C20" s="9"/>
      <c r="D20" s="26"/>
      <c r="F20" s="9"/>
      <c r="G20" s="27"/>
    </row>
    <row r="21" spans="1:10" x14ac:dyDescent="0.3">
      <c r="C21" s="9"/>
      <c r="D21" s="26"/>
      <c r="F21" s="9"/>
      <c r="G21" s="27"/>
    </row>
    <row r="22" spans="1:10" x14ac:dyDescent="0.3">
      <c r="D22" s="26"/>
      <c r="G22" s="26"/>
    </row>
    <row r="23" spans="1:10" x14ac:dyDescent="0.3">
      <c r="A23" s="4" t="s">
        <v>39</v>
      </c>
      <c r="D23" s="26"/>
      <c r="G23" s="26"/>
    </row>
    <row r="24" spans="1:10" x14ac:dyDescent="0.3">
      <c r="A24" t="s">
        <v>36</v>
      </c>
      <c r="C24" s="10">
        <f>C17/31</f>
        <v>816045.93548387091</v>
      </c>
      <c r="D24" s="26">
        <f>C24/SUM(pt_logement!$C$3:$P$16)</f>
        <v>2.3714052507624858E-2</v>
      </c>
      <c r="F24" s="10">
        <f>F17/31</f>
        <v>81576.887096774197</v>
      </c>
      <c r="G24" s="27">
        <f>F24/SUM(pt_logement!$C$3:$P$16)</f>
        <v>2.3706001095078347E-3</v>
      </c>
      <c r="H24" s="10">
        <f>H17/31</f>
        <v>33549.612903225803</v>
      </c>
      <c r="J24" s="10">
        <f>J17/31</f>
        <v>48027.274193548386</v>
      </c>
    </row>
    <row r="25" spans="1:10" x14ac:dyDescent="0.3">
      <c r="C25" s="10"/>
      <c r="D25" s="26"/>
      <c r="F25" s="10"/>
      <c r="G25" s="27"/>
    </row>
    <row r="26" spans="1:10" x14ac:dyDescent="0.3">
      <c r="C26" s="10"/>
      <c r="D26" s="26"/>
      <c r="F26" s="10"/>
      <c r="G26" s="27"/>
    </row>
    <row r="27" spans="1:10" x14ac:dyDescent="0.3">
      <c r="C27" s="10"/>
      <c r="D27" s="26"/>
      <c r="F27" s="10"/>
      <c r="G27" s="27"/>
    </row>
    <row r="28" spans="1:10" x14ac:dyDescent="0.3">
      <c r="C28" s="10"/>
      <c r="D28" s="26"/>
      <c r="F28" s="10"/>
      <c r="G28" s="27"/>
    </row>
    <row r="29" spans="1:10" x14ac:dyDescent="0.3">
      <c r="D29" s="26"/>
    </row>
    <row r="31" spans="1:10" x14ac:dyDescent="0.3">
      <c r="C31" s="8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K28"/>
  <sheetViews>
    <sheetView workbookViewId="0">
      <selection activeCell="H27" sqref="H27"/>
    </sheetView>
  </sheetViews>
  <sheetFormatPr baseColWidth="10" defaultRowHeight="14.4" x14ac:dyDescent="0.3"/>
  <cols>
    <col min="1" max="1" width="17.44140625" customWidth="1"/>
    <col min="2" max="2" width="2.33203125" bestFit="1" customWidth="1"/>
    <col min="3" max="3" width="35" bestFit="1" customWidth="1"/>
    <col min="4" max="4" width="20" bestFit="1" customWidth="1"/>
    <col min="5" max="5" width="22.44140625" bestFit="1" customWidth="1"/>
    <col min="6" max="6" width="35" bestFit="1" customWidth="1"/>
    <col min="7" max="7" width="19.88671875" bestFit="1" customWidth="1"/>
    <col min="8" max="8" width="21.88671875" customWidth="1"/>
  </cols>
  <sheetData>
    <row r="1" spans="1:11" x14ac:dyDescent="0.3">
      <c r="C1" s="4" t="s">
        <v>37</v>
      </c>
      <c r="D1" s="4" t="s">
        <v>11</v>
      </c>
      <c r="E1" s="4" t="s">
        <v>12</v>
      </c>
      <c r="F1" s="4" t="s">
        <v>38</v>
      </c>
      <c r="G1" s="4" t="s">
        <v>13</v>
      </c>
      <c r="H1" s="4" t="s">
        <v>14</v>
      </c>
    </row>
    <row r="2" spans="1:11" x14ac:dyDescent="0.3">
      <c r="A2" s="5" t="s">
        <v>0</v>
      </c>
      <c r="B2" s="5" t="s">
        <v>2</v>
      </c>
      <c r="C2" s="5">
        <v>0</v>
      </c>
      <c r="D2" s="6">
        <f>C2/$C$17</f>
        <v>0</v>
      </c>
      <c r="E2" s="6">
        <f>C2/SUM($C$2:$C$8)</f>
        <v>0</v>
      </c>
      <c r="F2" s="5">
        <v>0</v>
      </c>
      <c r="G2" s="6">
        <f>F2/$F$17</f>
        <v>0</v>
      </c>
      <c r="H2" s="6">
        <f>F2/SUM($F$2:$F$8)</f>
        <v>0</v>
      </c>
    </row>
    <row r="3" spans="1:11" x14ac:dyDescent="0.3">
      <c r="A3" s="12" t="s">
        <v>0</v>
      </c>
      <c r="B3" s="12" t="s">
        <v>3</v>
      </c>
      <c r="C3" s="12">
        <f>pt_logement!C4</f>
        <v>2196536</v>
      </c>
      <c r="D3" s="17">
        <f t="shared" ref="D3:D15" si="0">C3/$C$17</f>
        <v>8.6828445457529588E-2</v>
      </c>
      <c r="E3" s="17">
        <f t="shared" ref="E3:E8" si="1">C3/SUM($C$2:$C$8)</f>
        <v>0.18391416686908196</v>
      </c>
      <c r="F3" s="12">
        <v>0</v>
      </c>
      <c r="G3" s="17">
        <f t="shared" ref="G3:G15" si="2">F3/$F$17</f>
        <v>0</v>
      </c>
      <c r="H3" s="17">
        <f t="shared" ref="H3:H8" si="3">F3/SUM($F$2:$F$8)</f>
        <v>0</v>
      </c>
    </row>
    <row r="4" spans="1:11" x14ac:dyDescent="0.3">
      <c r="A4" s="11" t="s">
        <v>0</v>
      </c>
      <c r="B4" s="11" t="s">
        <v>4</v>
      </c>
      <c r="C4" s="11">
        <f>SUM(pt_logement!C5:'pt_logement'!D5)</f>
        <v>4742497</v>
      </c>
      <c r="D4" s="18">
        <f t="shared" si="0"/>
        <v>0.18746956211826152</v>
      </c>
      <c r="E4" s="18">
        <f t="shared" si="1"/>
        <v>0.39708540385139174</v>
      </c>
      <c r="F4" s="11">
        <v>0</v>
      </c>
      <c r="G4" s="18">
        <f t="shared" si="2"/>
        <v>0</v>
      </c>
      <c r="H4" s="18">
        <f t="shared" si="3"/>
        <v>0</v>
      </c>
    </row>
    <row r="5" spans="1:11" x14ac:dyDescent="0.3">
      <c r="A5" s="13" t="s">
        <v>0</v>
      </c>
      <c r="B5" s="13" t="s">
        <v>5</v>
      </c>
      <c r="C5" s="13">
        <f>SUM(pt_logement!C6:E6)</f>
        <v>3431238</v>
      </c>
      <c r="D5" s="19">
        <f t="shared" si="0"/>
        <v>0.1356358655331863</v>
      </c>
      <c r="E5" s="19">
        <f t="shared" si="1"/>
        <v>0.2872947577911471</v>
      </c>
      <c r="F5" s="13">
        <f>pt_logement!F6</f>
        <v>9554</v>
      </c>
      <c r="G5" s="19">
        <f t="shared" si="2"/>
        <v>0.18452921294060839</v>
      </c>
      <c r="H5" s="19">
        <f t="shared" si="3"/>
        <v>0.32795551283811614</v>
      </c>
    </row>
    <row r="6" spans="1:11" x14ac:dyDescent="0.3">
      <c r="A6" s="14" t="s">
        <v>0</v>
      </c>
      <c r="B6" s="14" t="s">
        <v>6</v>
      </c>
      <c r="C6" s="14">
        <f>SUM(pt_logement!C7:E7)</f>
        <v>1172487</v>
      </c>
      <c r="D6" s="20">
        <f t="shared" si="0"/>
        <v>4.6348078760904667E-2</v>
      </c>
      <c r="E6" s="20">
        <f t="shared" si="1"/>
        <v>9.8171379740568471E-2</v>
      </c>
      <c r="F6" s="14">
        <f>SUM(pt_logement!F7:G7)</f>
        <v>8476</v>
      </c>
      <c r="G6" s="20">
        <f t="shared" si="2"/>
        <v>0.16370835345243845</v>
      </c>
      <c r="H6" s="20">
        <f t="shared" si="3"/>
        <v>0.29095153096251547</v>
      </c>
    </row>
    <row r="7" spans="1:11" x14ac:dyDescent="0.3">
      <c r="A7" s="15" t="s">
        <v>0</v>
      </c>
      <c r="B7" s="15" t="s">
        <v>7</v>
      </c>
      <c r="C7" s="15">
        <f>SUM(pt_logement!C8:E8)</f>
        <v>334023</v>
      </c>
      <c r="D7" s="21">
        <f t="shared" si="0"/>
        <v>1.320383450899981E-2</v>
      </c>
      <c r="E7" s="21">
        <f t="shared" si="1"/>
        <v>2.7967473221523056E-2</v>
      </c>
      <c r="F7" s="15">
        <f>SUM(pt_logement!F8:H8)</f>
        <v>6179</v>
      </c>
      <c r="G7" s="21">
        <f t="shared" si="2"/>
        <v>0.11934331240946403</v>
      </c>
      <c r="H7" s="21">
        <f t="shared" si="3"/>
        <v>0.21210352876561855</v>
      </c>
    </row>
    <row r="8" spans="1:11" x14ac:dyDescent="0.3">
      <c r="A8" s="16" t="s">
        <v>0</v>
      </c>
      <c r="B8" s="16" t="s">
        <v>8</v>
      </c>
      <c r="C8" s="16">
        <f>SUM(pt_logement!C9:E9)</f>
        <v>66486</v>
      </c>
      <c r="D8" s="22">
        <f t="shared" si="0"/>
        <v>2.628172734109212E-3</v>
      </c>
      <c r="E8" s="22">
        <f t="shared" si="1"/>
        <v>5.5668185262876561E-3</v>
      </c>
      <c r="F8" s="16">
        <f>SUM(pt_logement!F9:I9)</f>
        <v>4923</v>
      </c>
      <c r="G8" s="22">
        <f t="shared" si="2"/>
        <v>9.5084500241429268E-2</v>
      </c>
      <c r="H8" s="22">
        <f t="shared" si="3"/>
        <v>0.16898942743374984</v>
      </c>
    </row>
    <row r="9" spans="1:11" x14ac:dyDescent="0.3">
      <c r="A9" s="5" t="s">
        <v>1</v>
      </c>
      <c r="B9" s="5" t="s">
        <v>2</v>
      </c>
      <c r="C9" s="5">
        <v>0</v>
      </c>
      <c r="D9" s="6">
        <f t="shared" si="0"/>
        <v>0</v>
      </c>
      <c r="E9" s="6">
        <f>C9/SUM($C$9:$C$15)</f>
        <v>0</v>
      </c>
      <c r="F9" s="5">
        <v>0</v>
      </c>
      <c r="G9" s="6">
        <f t="shared" si="2"/>
        <v>0</v>
      </c>
      <c r="H9" s="6">
        <f>F9/SUM($F$9:$F$15)</f>
        <v>0</v>
      </c>
    </row>
    <row r="10" spans="1:11" x14ac:dyDescent="0.3">
      <c r="A10" s="12" t="s">
        <v>1</v>
      </c>
      <c r="B10" s="12" t="s">
        <v>3</v>
      </c>
      <c r="C10" s="12">
        <f>SUM(pt_logement!J11)</f>
        <v>1813454</v>
      </c>
      <c r="D10" s="17">
        <f t="shared" si="0"/>
        <v>7.1685322584623637E-2</v>
      </c>
      <c r="E10" s="17">
        <f t="shared" ref="E10:E15" si="4">C10/SUM($C$9:$C$15)</f>
        <v>0.1357969656939034</v>
      </c>
      <c r="F10" s="12">
        <v>0</v>
      </c>
      <c r="G10" s="17">
        <f t="shared" si="2"/>
        <v>0</v>
      </c>
      <c r="H10" s="17">
        <f t="shared" ref="H10:H15" si="5">F10/SUM($F$9:$F$15)</f>
        <v>0</v>
      </c>
    </row>
    <row r="11" spans="1:11" x14ac:dyDescent="0.3">
      <c r="A11" s="11" t="s">
        <v>1</v>
      </c>
      <c r="B11" s="11" t="s">
        <v>4</v>
      </c>
      <c r="C11" s="11">
        <f>SUM(pt_logement!J13:L13)</f>
        <v>4912324</v>
      </c>
      <c r="D11" s="18">
        <f t="shared" si="0"/>
        <v>0.19418277528968958</v>
      </c>
      <c r="E11" s="18">
        <f t="shared" si="4"/>
        <v>0.36784980137645529</v>
      </c>
      <c r="F11" s="11">
        <v>0</v>
      </c>
      <c r="G11" s="18">
        <f t="shared" si="2"/>
        <v>0</v>
      </c>
      <c r="H11" s="18">
        <f t="shared" si="5"/>
        <v>0</v>
      </c>
    </row>
    <row r="12" spans="1:11" x14ac:dyDescent="0.3">
      <c r="A12" s="13" t="s">
        <v>1</v>
      </c>
      <c r="B12" s="13" t="s">
        <v>5</v>
      </c>
      <c r="C12" s="13">
        <f>SUM(pt_logement!C13:L13)</f>
        <v>4912324</v>
      </c>
      <c r="D12" s="19">
        <f t="shared" si="0"/>
        <v>0.19418277528968958</v>
      </c>
      <c r="E12" s="19">
        <f t="shared" si="4"/>
        <v>0.36784980137645529</v>
      </c>
      <c r="F12" s="13">
        <f>pt_logement!M13</f>
        <v>6859</v>
      </c>
      <c r="G12" s="19">
        <f t="shared" si="2"/>
        <v>0.13247706422018349</v>
      </c>
      <c r="H12" s="19">
        <f t="shared" si="5"/>
        <v>0.30291922448438813</v>
      </c>
    </row>
    <row r="13" spans="1:11" x14ac:dyDescent="0.3">
      <c r="A13" s="14" t="s">
        <v>1</v>
      </c>
      <c r="B13" s="14" t="s">
        <v>6</v>
      </c>
      <c r="C13" s="14">
        <f>SUM(pt_logement!C14:L14)</f>
        <v>1244868</v>
      </c>
      <c r="D13" s="20">
        <f t="shared" si="0"/>
        <v>4.920927917403764E-2</v>
      </c>
      <c r="E13" s="20">
        <f t="shared" si="4"/>
        <v>9.3219512096495497E-2</v>
      </c>
      <c r="F13" s="14">
        <f>SUM(pt_logement!M14:N14)</f>
        <v>6438</v>
      </c>
      <c r="G13" s="20">
        <f t="shared" si="2"/>
        <v>0.12434572670207629</v>
      </c>
      <c r="H13" s="20">
        <f t="shared" si="5"/>
        <v>0.28432628185311132</v>
      </c>
    </row>
    <row r="14" spans="1:11" x14ac:dyDescent="0.3">
      <c r="A14" s="15" t="s">
        <v>1</v>
      </c>
      <c r="B14" s="15" t="s">
        <v>7</v>
      </c>
      <c r="C14" s="15">
        <f>SUM(pt_logement!C15:L15)</f>
        <v>354820</v>
      </c>
      <c r="D14" s="21">
        <f t="shared" si="0"/>
        <v>1.4025934023954375E-2</v>
      </c>
      <c r="E14" s="21">
        <f t="shared" si="4"/>
        <v>2.6570003632576732E-2</v>
      </c>
      <c r="F14" s="15">
        <f>SUM(pt_logement!M15:O15)</f>
        <v>5504</v>
      </c>
      <c r="G14" s="21">
        <f t="shared" si="2"/>
        <v>0.10630613230323516</v>
      </c>
      <c r="H14" s="21">
        <f t="shared" si="5"/>
        <v>0.24307733074239279</v>
      </c>
    </row>
    <row r="15" spans="1:11" x14ac:dyDescent="0.3">
      <c r="A15" s="16" t="s">
        <v>1</v>
      </c>
      <c r="B15" s="16" t="s">
        <v>8</v>
      </c>
      <c r="C15" s="16">
        <f>SUM(pt_logement!C16:L16)</f>
        <v>116367</v>
      </c>
      <c r="D15" s="22">
        <f t="shared" si="0"/>
        <v>4.5999545250140885E-3</v>
      </c>
      <c r="E15" s="22">
        <f t="shared" si="4"/>
        <v>8.7139158241137955E-3</v>
      </c>
      <c r="F15" s="16">
        <f>SUM(pt_logement!M16:P16)</f>
        <v>3842</v>
      </c>
      <c r="G15" s="22">
        <f t="shared" si="2"/>
        <v>7.4205697730564943E-2</v>
      </c>
      <c r="H15" s="22">
        <f t="shared" si="5"/>
        <v>0.16967716292010776</v>
      </c>
    </row>
    <row r="16" spans="1:11" x14ac:dyDescent="0.3">
      <c r="A16" s="4" t="s">
        <v>40</v>
      </c>
      <c r="C16" t="s">
        <v>53</v>
      </c>
      <c r="D16" s="25" t="s">
        <v>52</v>
      </c>
      <c r="E16" s="25"/>
      <c r="F16" s="25" t="s">
        <v>53</v>
      </c>
      <c r="G16" s="25" t="s">
        <v>52</v>
      </c>
      <c r="H16" s="25" t="s">
        <v>54</v>
      </c>
      <c r="I16" s="25" t="s">
        <v>56</v>
      </c>
      <c r="J16" s="25" t="s">
        <v>55</v>
      </c>
      <c r="K16" s="25" t="s">
        <v>57</v>
      </c>
    </row>
    <row r="17" spans="1:10" x14ac:dyDescent="0.3">
      <c r="A17" t="s">
        <v>36</v>
      </c>
      <c r="C17" s="7">
        <f>SUM(C2:C15)</f>
        <v>25297424</v>
      </c>
      <c r="D17" s="30">
        <f>C17/SUM(pt_logement!C3:P16)</f>
        <v>0.73513562773637064</v>
      </c>
      <c r="E17" s="4"/>
      <c r="F17" s="7">
        <f>SUM(F2:F15)</f>
        <v>51775</v>
      </c>
      <c r="G17" s="31">
        <f>F17/SUM(pt_logement!$C$3:$P$16)</f>
        <v>1.5045661220703969E-3</v>
      </c>
      <c r="H17">
        <f>SUM(F2:F8)</f>
        <v>29132</v>
      </c>
      <c r="J17">
        <f>SUM(F9:F15)</f>
        <v>22643</v>
      </c>
    </row>
    <row r="18" spans="1:10" x14ac:dyDescent="0.3">
      <c r="C18" s="9"/>
      <c r="D18" s="26"/>
      <c r="F18" s="9"/>
      <c r="G18" s="31"/>
    </row>
    <row r="19" spans="1:10" x14ac:dyDescent="0.3">
      <c r="C19" s="9"/>
      <c r="D19" s="26"/>
      <c r="F19" s="9"/>
      <c r="G19" s="31"/>
    </row>
    <row r="20" spans="1:10" x14ac:dyDescent="0.3">
      <c r="C20" s="9"/>
      <c r="D20" s="26"/>
      <c r="F20" s="9"/>
      <c r="G20" s="31"/>
    </row>
    <row r="21" spans="1:10" x14ac:dyDescent="0.3">
      <c r="C21" s="9"/>
      <c r="D21" s="26"/>
      <c r="F21" s="9"/>
      <c r="G21" s="31"/>
    </row>
    <row r="22" spans="1:10" x14ac:dyDescent="0.3">
      <c r="D22" s="26"/>
      <c r="G22" s="31"/>
    </row>
    <row r="23" spans="1:10" x14ac:dyDescent="0.3">
      <c r="A23" s="4" t="s">
        <v>39</v>
      </c>
      <c r="D23" s="26"/>
      <c r="G23" s="31"/>
    </row>
    <row r="24" spans="1:10" x14ac:dyDescent="0.3">
      <c r="A24" t="s">
        <v>36</v>
      </c>
      <c r="C24" s="10">
        <f>C17/31</f>
        <v>816045.93548387091</v>
      </c>
      <c r="D24" s="26">
        <f>C24/SUM(pt_logement!$C$3:$P$16)</f>
        <v>2.3714052507624858E-2</v>
      </c>
      <c r="F24" s="10">
        <f>F17/31</f>
        <v>1670.1612903225807</v>
      </c>
      <c r="G24" s="31">
        <f>F24/SUM(pt_logement!$C$3:$P$16)</f>
        <v>4.8534391034528935E-5</v>
      </c>
      <c r="H24" s="10">
        <f>H17/31</f>
        <v>939.74193548387098</v>
      </c>
      <c r="J24" s="10">
        <f>J17/31</f>
        <v>730.41935483870964</v>
      </c>
    </row>
    <row r="25" spans="1:10" x14ac:dyDescent="0.3">
      <c r="C25" s="10"/>
      <c r="D25" s="26"/>
      <c r="F25" s="10"/>
      <c r="G25" s="31"/>
    </row>
    <row r="26" spans="1:10" x14ac:dyDescent="0.3">
      <c r="C26" s="10"/>
      <c r="D26" s="26"/>
      <c r="F26" s="10"/>
      <c r="G26" s="31"/>
    </row>
    <row r="27" spans="1:10" x14ac:dyDescent="0.3">
      <c r="C27" s="10"/>
      <c r="D27" s="26"/>
      <c r="F27" s="10"/>
      <c r="G27" s="31"/>
    </row>
    <row r="28" spans="1:10" x14ac:dyDescent="0.3">
      <c r="C28" s="10"/>
      <c r="D28" s="26"/>
      <c r="F28" s="10"/>
      <c r="G28" s="31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"/>
  <sheetViews>
    <sheetView workbookViewId="0">
      <selection activeCell="D10" sqref="D10"/>
    </sheetView>
  </sheetViews>
  <sheetFormatPr baseColWidth="10" defaultRowHeight="14.4" x14ac:dyDescent="0.3"/>
  <cols>
    <col min="2" max="2" width="19.88671875" bestFit="1" customWidth="1"/>
    <col min="3" max="3" width="17.6640625" bestFit="1" customWidth="1"/>
    <col min="8" max="8" width="23" bestFit="1" customWidth="1"/>
  </cols>
  <sheetData>
    <row r="1" spans="1:9" x14ac:dyDescent="0.3">
      <c r="B1" t="s">
        <v>47</v>
      </c>
      <c r="C1" t="s">
        <v>50</v>
      </c>
      <c r="D1" t="s">
        <v>51</v>
      </c>
    </row>
    <row r="2" spans="1:9" x14ac:dyDescent="0.3">
      <c r="A2" t="s">
        <v>41</v>
      </c>
      <c r="B2" s="3">
        <v>0.79</v>
      </c>
      <c r="C2" s="9">
        <f>B2*$I$2</f>
        <v>27185412.060000002</v>
      </c>
      <c r="H2" t="s">
        <v>42</v>
      </c>
      <c r="I2">
        <f>SUM(pt_logement!C3:P16)</f>
        <v>34411914</v>
      </c>
    </row>
    <row r="3" spans="1:9" x14ac:dyDescent="0.3">
      <c r="A3" t="s">
        <v>44</v>
      </c>
      <c r="B3" s="3">
        <v>0.81</v>
      </c>
      <c r="C3" s="9">
        <f t="shared" ref="C3:C6" si="0">B3*$I$2</f>
        <v>27873650.340000004</v>
      </c>
      <c r="H3" t="s">
        <v>43</v>
      </c>
      <c r="I3">
        <f>SUM(pt_surface!C3:P16)</f>
        <v>2891420271</v>
      </c>
    </row>
    <row r="4" spans="1:9" x14ac:dyDescent="0.3">
      <c r="A4" t="s">
        <v>45</v>
      </c>
      <c r="B4" s="3">
        <v>0.2</v>
      </c>
      <c r="C4" s="9">
        <f t="shared" si="0"/>
        <v>6882382.8000000007</v>
      </c>
    </row>
    <row r="5" spans="1:9" x14ac:dyDescent="0.3">
      <c r="A5" t="s">
        <v>46</v>
      </c>
      <c r="B5" s="3">
        <v>0.4</v>
      </c>
      <c r="C5" s="9">
        <f t="shared" si="0"/>
        <v>13764765.600000001</v>
      </c>
    </row>
    <row r="6" spans="1:9" x14ac:dyDescent="0.3">
      <c r="A6" t="s">
        <v>48</v>
      </c>
      <c r="B6" s="23">
        <f>gisement_logement_ABC!D17</f>
        <v>0.73513562773637064</v>
      </c>
      <c r="C6" s="9">
        <f t="shared" si="0"/>
        <v>25297424</v>
      </c>
    </row>
    <row r="7" spans="1:9" x14ac:dyDescent="0.3">
      <c r="A7" t="s">
        <v>49</v>
      </c>
    </row>
  </sheetData>
  <phoneticPr fontId="1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5"/>
  <sheetViews>
    <sheetView workbookViewId="0">
      <selection activeCell="H27" sqref="H27"/>
    </sheetView>
  </sheetViews>
  <sheetFormatPr baseColWidth="10" defaultRowHeight="14.4" x14ac:dyDescent="0.3"/>
  <cols>
    <col min="1" max="1" width="25.6640625" bestFit="1" customWidth="1"/>
    <col min="2" max="2" width="8.33203125" bestFit="1" customWidth="1"/>
    <col min="3" max="3" width="8" customWidth="1"/>
    <col min="4" max="4" width="8" bestFit="1" customWidth="1"/>
    <col min="5" max="6" width="11" bestFit="1" customWidth="1"/>
    <col min="7" max="7" width="16.6640625" bestFit="1" customWidth="1"/>
  </cols>
  <sheetData>
    <row r="1" spans="1:7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3">
      <c r="A2" s="5" t="s">
        <v>0</v>
      </c>
      <c r="B2" s="5" t="s">
        <v>2</v>
      </c>
      <c r="C2" s="5">
        <v>56917</v>
      </c>
      <c r="D2" s="5">
        <v>1074559</v>
      </c>
      <c r="E2" s="5">
        <v>62696025</v>
      </c>
      <c r="F2" s="5">
        <v>88436568</v>
      </c>
      <c r="G2" s="5" t="s">
        <v>22</v>
      </c>
    </row>
    <row r="3" spans="1:7" x14ac:dyDescent="0.3">
      <c r="A3" s="12" t="s">
        <v>0</v>
      </c>
      <c r="B3" s="12" t="s">
        <v>3</v>
      </c>
      <c r="C3" s="12">
        <v>194810</v>
      </c>
      <c r="D3" s="12">
        <v>2748454</v>
      </c>
      <c r="E3" s="12">
        <v>150727748</v>
      </c>
      <c r="F3" s="12">
        <v>204087873</v>
      </c>
      <c r="G3" s="12" t="s">
        <v>23</v>
      </c>
    </row>
    <row r="4" spans="1:7" x14ac:dyDescent="0.3">
      <c r="A4" s="11" t="s">
        <v>0</v>
      </c>
      <c r="B4" s="11" t="s">
        <v>4</v>
      </c>
      <c r="C4" s="11">
        <v>684712</v>
      </c>
      <c r="D4" s="11">
        <v>7113259</v>
      </c>
      <c r="E4" s="11">
        <v>416328308</v>
      </c>
      <c r="F4" s="11">
        <v>547850893</v>
      </c>
      <c r="G4" s="11" t="s">
        <v>24</v>
      </c>
    </row>
    <row r="5" spans="1:7" x14ac:dyDescent="0.3">
      <c r="A5" s="13" t="s">
        <v>0</v>
      </c>
      <c r="B5" s="13" t="s">
        <v>5</v>
      </c>
      <c r="C5" s="13">
        <v>363187</v>
      </c>
      <c r="D5" s="13">
        <v>3608277</v>
      </c>
      <c r="E5" s="13">
        <v>222264432</v>
      </c>
      <c r="F5" s="13">
        <v>291653166</v>
      </c>
      <c r="G5" s="13" t="s">
        <v>25</v>
      </c>
    </row>
    <row r="6" spans="1:7" x14ac:dyDescent="0.3">
      <c r="A6" s="14" t="s">
        <v>0</v>
      </c>
      <c r="B6" s="14" t="s">
        <v>6</v>
      </c>
      <c r="C6" s="14">
        <v>129595</v>
      </c>
      <c r="D6" s="14">
        <v>1238434</v>
      </c>
      <c r="E6" s="14">
        <v>75676250</v>
      </c>
      <c r="F6" s="14">
        <v>100913425</v>
      </c>
      <c r="G6" s="14" t="s">
        <v>26</v>
      </c>
    </row>
    <row r="7" spans="1:7" x14ac:dyDescent="0.3">
      <c r="A7" s="15" t="s">
        <v>0</v>
      </c>
      <c r="B7" s="15" t="s">
        <v>7</v>
      </c>
      <c r="C7" s="15">
        <v>51229</v>
      </c>
      <c r="D7" s="15">
        <v>355855</v>
      </c>
      <c r="E7" s="15">
        <v>20550512</v>
      </c>
      <c r="F7" s="15">
        <v>28162289</v>
      </c>
      <c r="G7" s="15" t="s">
        <v>27</v>
      </c>
    </row>
    <row r="8" spans="1:7" x14ac:dyDescent="0.3">
      <c r="A8" s="16" t="s">
        <v>0</v>
      </c>
      <c r="B8" s="16" t="s">
        <v>8</v>
      </c>
      <c r="C8" s="16">
        <v>16033</v>
      </c>
      <c r="D8" s="16">
        <v>74431</v>
      </c>
      <c r="E8" s="16">
        <v>4202866</v>
      </c>
      <c r="F8" s="16">
        <v>6124133</v>
      </c>
      <c r="G8" s="16" t="s">
        <v>28</v>
      </c>
    </row>
    <row r="9" spans="1:7" x14ac:dyDescent="0.3">
      <c r="A9" s="5" t="s">
        <v>1</v>
      </c>
      <c r="B9" s="5" t="s">
        <v>2</v>
      </c>
      <c r="C9" s="5">
        <v>543514</v>
      </c>
      <c r="D9" s="5">
        <v>684011</v>
      </c>
      <c r="E9" s="5">
        <v>77226808</v>
      </c>
      <c r="F9" s="5">
        <v>115305136</v>
      </c>
      <c r="G9" s="5" t="s">
        <v>29</v>
      </c>
    </row>
    <row r="10" spans="1:7" x14ac:dyDescent="0.3">
      <c r="A10" s="12" t="s">
        <v>1</v>
      </c>
      <c r="B10" s="12" t="s">
        <v>3</v>
      </c>
      <c r="C10" s="12">
        <v>1985125</v>
      </c>
      <c r="D10" s="12">
        <v>2278150</v>
      </c>
      <c r="E10" s="12">
        <v>251970233</v>
      </c>
      <c r="F10" s="12">
        <v>376533139</v>
      </c>
      <c r="G10" s="12" t="s">
        <v>30</v>
      </c>
    </row>
    <row r="11" spans="1:7" x14ac:dyDescent="0.3">
      <c r="A11" s="11" t="s">
        <v>1</v>
      </c>
      <c r="B11" s="11" t="s">
        <v>4</v>
      </c>
      <c r="C11" s="11">
        <v>8763661</v>
      </c>
      <c r="D11" s="11">
        <v>9567291</v>
      </c>
      <c r="E11" s="11">
        <v>1036213547</v>
      </c>
      <c r="F11" s="11">
        <v>1715261413</v>
      </c>
      <c r="G11" s="11" t="s">
        <v>31</v>
      </c>
    </row>
    <row r="12" spans="1:7" x14ac:dyDescent="0.3">
      <c r="A12" s="13" t="s">
        <v>1</v>
      </c>
      <c r="B12" s="13" t="s">
        <v>5</v>
      </c>
      <c r="C12" s="13">
        <v>4602654</v>
      </c>
      <c r="D12" s="13">
        <v>4929693</v>
      </c>
      <c r="E12" s="13">
        <v>468681704</v>
      </c>
      <c r="F12" s="13">
        <v>825974425</v>
      </c>
      <c r="G12" s="13" t="s">
        <v>32</v>
      </c>
    </row>
    <row r="13" spans="1:7" x14ac:dyDescent="0.3">
      <c r="A13" s="14" t="s">
        <v>1</v>
      </c>
      <c r="B13" s="14" t="s">
        <v>6</v>
      </c>
      <c r="C13" s="14">
        <v>1181535</v>
      </c>
      <c r="D13" s="14">
        <v>1253401</v>
      </c>
      <c r="E13" s="14">
        <v>108254759</v>
      </c>
      <c r="F13" s="14">
        <v>192922370</v>
      </c>
      <c r="G13" s="14" t="s">
        <v>33</v>
      </c>
    </row>
    <row r="14" spans="1:7" x14ac:dyDescent="0.3">
      <c r="A14" s="15" t="s">
        <v>1</v>
      </c>
      <c r="B14" s="15" t="s">
        <v>7</v>
      </c>
      <c r="C14" s="15">
        <v>338277</v>
      </c>
      <c r="D14" s="15">
        <v>361299</v>
      </c>
      <c r="E14" s="15">
        <v>32914958</v>
      </c>
      <c r="F14" s="15">
        <v>58958153</v>
      </c>
      <c r="G14" s="15" t="s">
        <v>34</v>
      </c>
    </row>
    <row r="15" spans="1:7" x14ac:dyDescent="0.3">
      <c r="A15" s="16" t="s">
        <v>1</v>
      </c>
      <c r="B15" s="16" t="s">
        <v>8</v>
      </c>
      <c r="C15" s="16">
        <v>114957</v>
      </c>
      <c r="D15" s="16">
        <v>120521</v>
      </c>
      <c r="E15" s="16">
        <v>10986892</v>
      </c>
      <c r="F15" s="16">
        <v>20702578</v>
      </c>
      <c r="G15" s="16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79998168889431442"/>
  </sheetPr>
  <dimension ref="A1:L28"/>
  <sheetViews>
    <sheetView workbookViewId="0">
      <selection activeCell="C8" sqref="C8"/>
    </sheetView>
  </sheetViews>
  <sheetFormatPr baseColWidth="10" defaultRowHeight="14.4" x14ac:dyDescent="0.3"/>
  <cols>
    <col min="1" max="1" width="17.44140625" bestFit="1" customWidth="1"/>
    <col min="2" max="2" width="2.33203125" bestFit="1" customWidth="1"/>
    <col min="3" max="3" width="22.33203125" bestFit="1" customWidth="1"/>
    <col min="4" max="4" width="20" bestFit="1" customWidth="1"/>
    <col min="5" max="5" width="22.33203125" customWidth="1"/>
    <col min="6" max="6" width="28" bestFit="1" customWidth="1"/>
    <col min="7" max="7" width="20" bestFit="1" customWidth="1"/>
    <col min="8" max="8" width="21.88671875" bestFit="1" customWidth="1"/>
    <col min="10" max="10" width="10" bestFit="1" customWidth="1"/>
    <col min="11" max="11" width="18.33203125" bestFit="1" customWidth="1"/>
  </cols>
  <sheetData>
    <row r="1" spans="1:12" x14ac:dyDescent="0.3">
      <c r="C1" s="4" t="s">
        <v>9</v>
      </c>
      <c r="D1" s="4" t="s">
        <v>11</v>
      </c>
      <c r="E1" s="4" t="s">
        <v>12</v>
      </c>
      <c r="F1" s="4" t="s">
        <v>10</v>
      </c>
      <c r="G1" s="4" t="s">
        <v>13</v>
      </c>
      <c r="H1" s="4" t="s">
        <v>14</v>
      </c>
    </row>
    <row r="2" spans="1:12" x14ac:dyDescent="0.3">
      <c r="A2" s="5" t="s">
        <v>0</v>
      </c>
      <c r="B2" s="5" t="s">
        <v>2</v>
      </c>
      <c r="C2" s="5">
        <v>0</v>
      </c>
      <c r="D2" s="6">
        <f>C2/$C$17</f>
        <v>0</v>
      </c>
      <c r="E2" s="6">
        <f>C2/SUM($C$2:$C$8)</f>
        <v>0</v>
      </c>
      <c r="F2" s="5">
        <v>0</v>
      </c>
      <c r="G2" s="6">
        <f>F2/$F$17</f>
        <v>0</v>
      </c>
      <c r="H2" s="6">
        <f>F2/SUM($F$2:$F$8)</f>
        <v>0</v>
      </c>
    </row>
    <row r="3" spans="1:12" x14ac:dyDescent="0.3">
      <c r="A3" s="12" t="s">
        <v>0</v>
      </c>
      <c r="B3" s="12" t="s">
        <v>3</v>
      </c>
      <c r="C3" s="12">
        <f>pt_surface!C4</f>
        <v>118445200</v>
      </c>
      <c r="D3" s="17">
        <f t="shared" ref="D3:D15" si="0">C3/$C$17</f>
        <v>5.9661766113871466E-2</v>
      </c>
      <c r="E3" s="17">
        <f t="shared" ref="E3:E8" si="1">C3/SUM($C$2:$C$8)</f>
        <v>0.16913128180250322</v>
      </c>
      <c r="F3" s="12">
        <v>0</v>
      </c>
      <c r="G3" s="17">
        <f t="shared" ref="G3:G15" si="2">F3/$F$17</f>
        <v>0</v>
      </c>
      <c r="H3" s="17">
        <f t="shared" ref="H3:H8" si="3">F3/SUM($F$2:$F$8)</f>
        <v>0</v>
      </c>
    </row>
    <row r="4" spans="1:12" x14ac:dyDescent="0.3">
      <c r="A4" s="11" t="s">
        <v>0</v>
      </c>
      <c r="B4" s="11" t="s">
        <v>4</v>
      </c>
      <c r="C4" s="11">
        <f>SUM(pt_surface!C5:D5)</f>
        <v>275360401</v>
      </c>
      <c r="D4" s="18">
        <f t="shared" si="0"/>
        <v>0.13870117017391889</v>
      </c>
      <c r="E4" s="18">
        <f t="shared" si="1"/>
        <v>0.39319497606303411</v>
      </c>
      <c r="F4" s="11">
        <f>pt_surface!E5</f>
        <v>119875589</v>
      </c>
      <c r="G4" s="18">
        <f t="shared" si="2"/>
        <v>0.27705181852603622</v>
      </c>
      <c r="H4" s="18">
        <f t="shared" si="3"/>
        <v>0.99112100497415045</v>
      </c>
      <c r="L4" s="32"/>
    </row>
    <row r="5" spans="1:12" x14ac:dyDescent="0.3">
      <c r="A5" s="13" t="s">
        <v>0</v>
      </c>
      <c r="B5" s="13" t="s">
        <v>5</v>
      </c>
      <c r="C5" s="13">
        <f>SUM(pt_surface!C6:E6)</f>
        <v>211497043</v>
      </c>
      <c r="D5" s="19">
        <f t="shared" si="0"/>
        <v>0.10653270131032254</v>
      </c>
      <c r="E5" s="19">
        <f t="shared" si="1"/>
        <v>0.30200266435473233</v>
      </c>
      <c r="F5" s="13">
        <f>pt_surface!F6</f>
        <v>334466</v>
      </c>
      <c r="G5" s="19">
        <f t="shared" si="2"/>
        <v>7.7300486536194821E-4</v>
      </c>
      <c r="H5" s="19">
        <f t="shared" si="3"/>
        <v>2.7653359688575479E-3</v>
      </c>
    </row>
    <row r="6" spans="1:12" x14ac:dyDescent="0.3">
      <c r="A6" s="14" t="s">
        <v>0</v>
      </c>
      <c r="B6" s="14" t="s">
        <v>6</v>
      </c>
      <c r="C6" s="14">
        <f>SUM(pt_surface!C7:E7)</f>
        <v>71762924</v>
      </c>
      <c r="D6" s="20">
        <f t="shared" si="0"/>
        <v>3.6147541541029379E-2</v>
      </c>
      <c r="E6" s="20">
        <f t="shared" si="1"/>
        <v>0.10247232747308985</v>
      </c>
      <c r="F6" s="14">
        <f>SUM(pt_surface!F7:G7)</f>
        <v>319511</v>
      </c>
      <c r="G6" s="20">
        <f t="shared" si="2"/>
        <v>7.3844144856775103E-4</v>
      </c>
      <c r="H6" s="20">
        <f t="shared" si="3"/>
        <v>2.6416893219210441E-3</v>
      </c>
    </row>
    <row r="7" spans="1:12" x14ac:dyDescent="0.3">
      <c r="A7" s="15" t="s">
        <v>0</v>
      </c>
      <c r="B7" s="15" t="s">
        <v>7</v>
      </c>
      <c r="C7" s="15">
        <f>SUM(pt_surface!C8:E8)</f>
        <v>19402602</v>
      </c>
      <c r="D7" s="21">
        <f t="shared" si="0"/>
        <v>9.7732411488564725E-3</v>
      </c>
      <c r="E7" s="21">
        <f t="shared" si="1"/>
        <v>2.7705529194630197E-2</v>
      </c>
      <c r="F7" s="15">
        <f>SUM(pt_surface!F8:H8)</f>
        <v>233368</v>
      </c>
      <c r="G7" s="21">
        <f t="shared" si="2"/>
        <v>5.3935108327838146E-4</v>
      </c>
      <c r="H7" s="21">
        <f t="shared" si="3"/>
        <v>1.9294664461570032E-3</v>
      </c>
    </row>
    <row r="8" spans="1:12" x14ac:dyDescent="0.3">
      <c r="A8" s="16" t="s">
        <v>0</v>
      </c>
      <c r="B8" s="16" t="s">
        <v>8</v>
      </c>
      <c r="C8" s="16">
        <f>SUM(pt_surface!C9:E9)</f>
        <v>3846986</v>
      </c>
      <c r="D8" s="22">
        <f t="shared" si="0"/>
        <v>1.9377566923382114E-3</v>
      </c>
      <c r="E8" s="22">
        <f t="shared" si="1"/>
        <v>5.4932211120103189E-3</v>
      </c>
      <c r="F8" s="16">
        <f>SUM(pt_surface!F9:I9)</f>
        <v>186565</v>
      </c>
      <c r="G8" s="22">
        <f t="shared" si="2"/>
        <v>4.3118180235435547E-4</v>
      </c>
      <c r="H8" s="22">
        <f t="shared" si="3"/>
        <v>1.5425032889139953E-3</v>
      </c>
    </row>
    <row r="9" spans="1:12" x14ac:dyDescent="0.3">
      <c r="A9" s="5" t="s">
        <v>1</v>
      </c>
      <c r="B9" s="5" t="s">
        <v>2</v>
      </c>
      <c r="C9" s="5">
        <v>0</v>
      </c>
      <c r="D9" s="6">
        <f t="shared" si="0"/>
        <v>0</v>
      </c>
      <c r="E9" s="6">
        <f>C9/SUM($C$9:$C$15)</f>
        <v>0</v>
      </c>
      <c r="F9" s="5">
        <v>0</v>
      </c>
      <c r="G9" s="6">
        <f t="shared" si="2"/>
        <v>0</v>
      </c>
      <c r="H9" s="6">
        <f>F9/SUM($F$9:$F$15)</f>
        <v>0</v>
      </c>
    </row>
    <row r="10" spans="1:12" x14ac:dyDescent="0.3">
      <c r="A10" s="12" t="s">
        <v>1</v>
      </c>
      <c r="B10" s="12" t="s">
        <v>3</v>
      </c>
      <c r="C10" s="12">
        <f>SUM(pt_surface!J11)</f>
        <v>199005955</v>
      </c>
      <c r="D10" s="17">
        <f t="shared" si="0"/>
        <v>0.10024084338139182</v>
      </c>
      <c r="E10" s="17">
        <f t="shared" ref="E10:E15" si="4">C10/SUM($C$9:$C$15)</f>
        <v>0.15487290889530628</v>
      </c>
      <c r="F10" s="12">
        <v>0</v>
      </c>
      <c r="G10" s="17">
        <f t="shared" si="2"/>
        <v>0</v>
      </c>
      <c r="H10" s="17">
        <f t="shared" ref="H10:H15" si="5">F10/SUM($F$9:$F$15)</f>
        <v>0</v>
      </c>
    </row>
    <row r="11" spans="1:12" x14ac:dyDescent="0.3">
      <c r="A11" s="11" t="s">
        <v>1</v>
      </c>
      <c r="B11" s="11" t="s">
        <v>4</v>
      </c>
      <c r="C11" s="11">
        <f>SUM(pt_surface!J13:L13)</f>
        <v>467456301</v>
      </c>
      <c r="D11" s="18">
        <f t="shared" si="0"/>
        <v>0.23546136524500358</v>
      </c>
      <c r="E11" s="18">
        <f t="shared" si="4"/>
        <v>0.36378970225946189</v>
      </c>
      <c r="F11" s="11">
        <f>pt_surface!L12</f>
        <v>310470947</v>
      </c>
      <c r="G11" s="18">
        <f t="shared" si="2"/>
        <v>0.71754842819458942</v>
      </c>
      <c r="H11" s="18">
        <f t="shared" si="5"/>
        <v>0.99595015828556432</v>
      </c>
    </row>
    <row r="12" spans="1:12" x14ac:dyDescent="0.3">
      <c r="A12" s="13" t="s">
        <v>1</v>
      </c>
      <c r="B12" s="13" t="s">
        <v>5</v>
      </c>
      <c r="C12" s="13">
        <f>SUM(pt_surface!C13:L13)</f>
        <v>467456301</v>
      </c>
      <c r="D12" s="19">
        <f t="shared" si="0"/>
        <v>0.23546136524500358</v>
      </c>
      <c r="E12" s="19">
        <f t="shared" si="4"/>
        <v>0.36378970225946189</v>
      </c>
      <c r="F12" s="13">
        <f>pt_surface!M13</f>
        <v>401332</v>
      </c>
      <c r="G12" s="19">
        <f t="shared" si="2"/>
        <v>9.2754297484779142E-4</v>
      </c>
      <c r="H12" s="19">
        <f t="shared" si="5"/>
        <v>1.2874205228776596E-3</v>
      </c>
    </row>
    <row r="13" spans="1:12" x14ac:dyDescent="0.3">
      <c r="A13" s="14" t="s">
        <v>1</v>
      </c>
      <c r="B13" s="14" t="s">
        <v>6</v>
      </c>
      <c r="C13" s="14">
        <f>SUM(pt_surface!C14:L14)</f>
        <v>107751639</v>
      </c>
      <c r="D13" s="20">
        <f t="shared" si="0"/>
        <v>5.4275336479691121E-2</v>
      </c>
      <c r="E13" s="20">
        <f t="shared" si="4"/>
        <v>8.3855831199457984E-2</v>
      </c>
      <c r="F13" s="14">
        <f>SUM(pt_surface!M14:N14)</f>
        <v>348290</v>
      </c>
      <c r="G13" s="20">
        <f t="shared" si="2"/>
        <v>8.0495435875967342E-4</v>
      </c>
      <c r="H13" s="20">
        <f t="shared" si="5"/>
        <v>1.117268729912043E-3</v>
      </c>
    </row>
    <row r="14" spans="1:12" x14ac:dyDescent="0.3">
      <c r="A14" s="15" t="s">
        <v>1</v>
      </c>
      <c r="B14" s="15" t="s">
        <v>7</v>
      </c>
      <c r="C14" s="15">
        <f>SUM(pt_surface!C15:L15)</f>
        <v>32555864</v>
      </c>
      <c r="D14" s="21">
        <f t="shared" si="0"/>
        <v>1.6398641258598981E-2</v>
      </c>
      <c r="E14" s="21">
        <f t="shared" si="4"/>
        <v>2.5336032578924493E-2</v>
      </c>
      <c r="F14" s="15">
        <f>SUM(pt_surface!M15:O15)</f>
        <v>282489</v>
      </c>
      <c r="G14" s="21">
        <f t="shared" si="2"/>
        <v>6.5287763602647623E-4</v>
      </c>
      <c r="H14" s="21">
        <f t="shared" si="5"/>
        <v>9.0618773506021737E-4</v>
      </c>
    </row>
    <row r="15" spans="1:12" x14ac:dyDescent="0.3">
      <c r="A15" s="16" t="s">
        <v>1</v>
      </c>
      <c r="B15" s="16" t="s">
        <v>8</v>
      </c>
      <c r="C15" s="16">
        <f>SUM(pt_surface!C16:L16)</f>
        <v>10736923</v>
      </c>
      <c r="D15" s="22">
        <f t="shared" si="0"/>
        <v>5.408271409973955E-3</v>
      </c>
      <c r="E15" s="22">
        <f t="shared" si="4"/>
        <v>8.3558228073874405E-3</v>
      </c>
      <c r="F15" s="16">
        <f>SUM(pt_surface!M16:P16)</f>
        <v>230360</v>
      </c>
      <c r="G15" s="22">
        <f t="shared" si="2"/>
        <v>5.3239911017795045E-4</v>
      </c>
      <c r="H15" s="22">
        <f t="shared" si="5"/>
        <v>7.3896472658571374E-4</v>
      </c>
    </row>
    <row r="16" spans="1:12" x14ac:dyDescent="0.3">
      <c r="A16" s="4" t="s">
        <v>40</v>
      </c>
      <c r="C16" t="s">
        <v>53</v>
      </c>
      <c r="D16" s="25" t="s">
        <v>52</v>
      </c>
      <c r="E16" s="25"/>
      <c r="F16" s="25" t="s">
        <v>53</v>
      </c>
      <c r="G16" s="25" t="s">
        <v>52</v>
      </c>
      <c r="H16" s="25" t="s">
        <v>54</v>
      </c>
      <c r="I16" s="25" t="s">
        <v>56</v>
      </c>
      <c r="J16" s="25" t="s">
        <v>55</v>
      </c>
      <c r="K16" s="25" t="s">
        <v>57</v>
      </c>
    </row>
    <row r="17" spans="1:10" x14ac:dyDescent="0.3">
      <c r="A17" t="s">
        <v>36</v>
      </c>
      <c r="C17" s="7">
        <f>SUM(C2:C15)</f>
        <v>1985278139</v>
      </c>
      <c r="D17" s="26">
        <f>C17/SUM(pt_surface!$C$3:$P$16)</f>
        <v>0.68661002307817054</v>
      </c>
      <c r="E17" s="4"/>
      <c r="F17" s="7">
        <f>SUM(F2:F15)</f>
        <v>432682917</v>
      </c>
      <c r="G17" s="28">
        <f>F17/SUM(pt_surface!$C$3:$P$16)</f>
        <v>0.14964373091648703</v>
      </c>
      <c r="H17">
        <f>SUM(F2:F8)</f>
        <v>120949499</v>
      </c>
      <c r="J17">
        <f>SUM(F9:F15)</f>
        <v>311733418</v>
      </c>
    </row>
    <row r="18" spans="1:10" x14ac:dyDescent="0.3">
      <c r="C18" s="9"/>
      <c r="D18" s="26"/>
      <c r="F18" s="9"/>
      <c r="G18" s="28"/>
    </row>
    <row r="19" spans="1:10" x14ac:dyDescent="0.3">
      <c r="C19" s="9"/>
      <c r="D19" s="26"/>
      <c r="F19" s="9"/>
      <c r="G19" s="28"/>
    </row>
    <row r="20" spans="1:10" x14ac:dyDescent="0.3">
      <c r="C20" s="9">
        <f>SUM(pt_surface!C3:E9)-pt_surface!C3-pt_surface!D4-pt_surface!E5</f>
        <v>700315156</v>
      </c>
      <c r="D20" s="26"/>
      <c r="F20" s="9"/>
      <c r="G20" s="28"/>
    </row>
    <row r="21" spans="1:10" x14ac:dyDescent="0.3">
      <c r="C21" s="9"/>
      <c r="D21" s="26"/>
      <c r="F21" s="9"/>
      <c r="G21" s="28"/>
    </row>
    <row r="22" spans="1:10" x14ac:dyDescent="0.3">
      <c r="D22" s="25"/>
      <c r="G22" s="28"/>
    </row>
    <row r="23" spans="1:10" x14ac:dyDescent="0.3">
      <c r="A23" s="4" t="s">
        <v>39</v>
      </c>
      <c r="D23" s="25"/>
      <c r="G23" s="28"/>
    </row>
    <row r="24" spans="1:10" x14ac:dyDescent="0.3">
      <c r="A24" t="s">
        <v>36</v>
      </c>
      <c r="C24" s="10">
        <f>C17/31</f>
        <v>64041230.290322579</v>
      </c>
      <c r="D24" s="27">
        <f>C24/SUM(pt_surface!$C$3:$P$16)</f>
        <v>2.2148710421876466E-2</v>
      </c>
      <c r="F24" s="10">
        <f>F17/31</f>
        <v>13957513.451612903</v>
      </c>
      <c r="G24" s="28">
        <f>F24/SUM(pt_surface!$C$3:$P$16)</f>
        <v>4.8272171263382914E-3</v>
      </c>
      <c r="H24" s="34">
        <f>H17/31</f>
        <v>3901596.7419354836</v>
      </c>
      <c r="J24" s="34">
        <f>J17/31</f>
        <v>10055916.709677419</v>
      </c>
    </row>
    <row r="25" spans="1:10" x14ac:dyDescent="0.3">
      <c r="C25" s="10"/>
      <c r="D25" s="27"/>
      <c r="F25" s="10"/>
      <c r="G25" s="28"/>
    </row>
    <row r="26" spans="1:10" x14ac:dyDescent="0.3">
      <c r="C26" s="10"/>
      <c r="D26" s="27"/>
      <c r="F26" s="10"/>
      <c r="G26" s="28"/>
    </row>
    <row r="27" spans="1:10" x14ac:dyDescent="0.3">
      <c r="C27" s="10"/>
      <c r="D27" s="27"/>
      <c r="F27" s="10"/>
      <c r="G27" s="28"/>
    </row>
    <row r="28" spans="1:10" x14ac:dyDescent="0.3">
      <c r="C28" s="10"/>
      <c r="D28" s="27"/>
      <c r="F28" s="10"/>
      <c r="G28" s="2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525FF-F4E2-4A6D-97B1-D4F4B3935648}">
  <sheetPr>
    <tabColor theme="7" tint="0.59999389629810485"/>
  </sheetPr>
  <dimension ref="A1:L28"/>
  <sheetViews>
    <sheetView workbookViewId="0">
      <selection activeCell="H24" sqref="H24"/>
    </sheetView>
  </sheetViews>
  <sheetFormatPr baseColWidth="10" defaultRowHeight="14.4" x14ac:dyDescent="0.3"/>
  <cols>
    <col min="1" max="1" width="17.44140625" bestFit="1" customWidth="1"/>
    <col min="2" max="2" width="2.33203125" bestFit="1" customWidth="1"/>
    <col min="3" max="3" width="22.33203125" bestFit="1" customWidth="1"/>
    <col min="4" max="4" width="20" bestFit="1" customWidth="1"/>
    <col min="5" max="5" width="22.33203125" customWidth="1"/>
    <col min="6" max="6" width="28" bestFit="1" customWidth="1"/>
    <col min="7" max="7" width="20" bestFit="1" customWidth="1"/>
    <col min="8" max="8" width="21.88671875" bestFit="1" customWidth="1"/>
    <col min="10" max="10" width="10" bestFit="1" customWidth="1"/>
    <col min="11" max="11" width="18.33203125" bestFit="1" customWidth="1"/>
  </cols>
  <sheetData>
    <row r="1" spans="1:12" x14ac:dyDescent="0.3">
      <c r="C1" s="4" t="s">
        <v>9</v>
      </c>
      <c r="D1" s="4" t="s">
        <v>11</v>
      </c>
      <c r="E1" s="4" t="s">
        <v>12</v>
      </c>
      <c r="F1" s="4" t="s">
        <v>10</v>
      </c>
      <c r="G1" s="4" t="s">
        <v>13</v>
      </c>
      <c r="H1" s="4" t="s">
        <v>14</v>
      </c>
    </row>
    <row r="2" spans="1:12" x14ac:dyDescent="0.3">
      <c r="A2" s="5" t="s">
        <v>0</v>
      </c>
      <c r="B2" s="5" t="s">
        <v>2</v>
      </c>
      <c r="C2" s="5">
        <v>0</v>
      </c>
      <c r="D2" s="6">
        <f>C2/$C$17</f>
        <v>0</v>
      </c>
      <c r="E2" s="6">
        <f>C2/SUM($C$2:$C$8)</f>
        <v>0</v>
      </c>
      <c r="F2" s="5">
        <v>0</v>
      </c>
      <c r="G2" s="6">
        <f>F2/$F$17</f>
        <v>0</v>
      </c>
      <c r="H2" s="6">
        <f>F2/SUM($F$2:$F$8)</f>
        <v>0</v>
      </c>
    </row>
    <row r="3" spans="1:12" x14ac:dyDescent="0.3">
      <c r="A3" s="12" t="s">
        <v>0</v>
      </c>
      <c r="B3" s="12" t="s">
        <v>3</v>
      </c>
      <c r="C3" s="12">
        <f>pt_surface!C4</f>
        <v>118445200</v>
      </c>
      <c r="D3" s="17">
        <f t="shared" ref="D3:D15" si="0">C3/$C$17</f>
        <v>5.9661766113871466E-2</v>
      </c>
      <c r="E3" s="17">
        <f t="shared" ref="E3:E8" si="1">C3/SUM($C$2:$C$8)</f>
        <v>0.16913128180250322</v>
      </c>
      <c r="F3" s="12">
        <v>0</v>
      </c>
      <c r="G3" s="17">
        <f t="shared" ref="G3:G15" si="2">F3/$F$17</f>
        <v>0</v>
      </c>
      <c r="H3" s="17">
        <f t="shared" ref="H3:H8" si="3">F3/SUM($F$2:$F$8)</f>
        <v>0</v>
      </c>
    </row>
    <row r="4" spans="1:12" x14ac:dyDescent="0.3">
      <c r="A4" s="11" t="s">
        <v>0</v>
      </c>
      <c r="B4" s="11" t="s">
        <v>4</v>
      </c>
      <c r="C4" s="11">
        <f>SUM(pt_surface!C5:D5)</f>
        <v>275360401</v>
      </c>
      <c r="D4" s="18">
        <f t="shared" si="0"/>
        <v>0.13870117017391889</v>
      </c>
      <c r="E4" s="18">
        <f t="shared" si="1"/>
        <v>0.39319497606303411</v>
      </c>
      <c r="F4" s="11">
        <f>pt_surface!E5/2</f>
        <v>59937794.5</v>
      </c>
      <c r="G4" s="18">
        <f t="shared" si="2"/>
        <v>0.27556384176777371</v>
      </c>
      <c r="H4" s="18">
        <f t="shared" si="3"/>
        <v>0.98239829539592682</v>
      </c>
      <c r="L4" s="32"/>
    </row>
    <row r="5" spans="1:12" x14ac:dyDescent="0.3">
      <c r="A5" s="13" t="s">
        <v>0</v>
      </c>
      <c r="B5" s="13" t="s">
        <v>5</v>
      </c>
      <c r="C5" s="13">
        <f>SUM(pt_surface!C6:E6)</f>
        <v>211497043</v>
      </c>
      <c r="D5" s="19">
        <f t="shared" si="0"/>
        <v>0.10653270131032254</v>
      </c>
      <c r="E5" s="19">
        <f t="shared" si="1"/>
        <v>0.30200266435473233</v>
      </c>
      <c r="F5" s="13">
        <f>pt_surface!F6</f>
        <v>334466</v>
      </c>
      <c r="G5" s="19">
        <f t="shared" si="2"/>
        <v>1.5377064950346179E-3</v>
      </c>
      <c r="H5" s="19">
        <f t="shared" si="3"/>
        <v>5.4819973108602461E-3</v>
      </c>
    </row>
    <row r="6" spans="1:12" x14ac:dyDescent="0.3">
      <c r="A6" s="14" t="s">
        <v>0</v>
      </c>
      <c r="B6" s="14" t="s">
        <v>6</v>
      </c>
      <c r="C6" s="14">
        <f>SUM(pt_surface!C7:E7)</f>
        <v>71762924</v>
      </c>
      <c r="D6" s="20">
        <f t="shared" si="0"/>
        <v>3.6147541541029379E-2</v>
      </c>
      <c r="E6" s="20">
        <f t="shared" si="1"/>
        <v>0.10247232747308985</v>
      </c>
      <c r="F6" s="14">
        <f>SUM(pt_surface!F7:G7)</f>
        <v>319511</v>
      </c>
      <c r="G6" s="20">
        <f t="shared" si="2"/>
        <v>1.4689509245633511E-3</v>
      </c>
      <c r="H6" s="20">
        <f t="shared" si="3"/>
        <v>5.2368804087418999E-3</v>
      </c>
    </row>
    <row r="7" spans="1:12" x14ac:dyDescent="0.3">
      <c r="A7" s="15" t="s">
        <v>0</v>
      </c>
      <c r="B7" s="15" t="s">
        <v>7</v>
      </c>
      <c r="C7" s="15">
        <f>SUM(pt_surface!C8:E8)</f>
        <v>19402602</v>
      </c>
      <c r="D7" s="21">
        <f t="shared" si="0"/>
        <v>9.7732411488564725E-3</v>
      </c>
      <c r="E7" s="21">
        <f t="shared" si="1"/>
        <v>2.7705529194630197E-2</v>
      </c>
      <c r="F7" s="15">
        <f>SUM(pt_surface!F8:H8)</f>
        <v>233368</v>
      </c>
      <c r="G7" s="21">
        <f t="shared" si="2"/>
        <v>1.0729087241550374E-3</v>
      </c>
      <c r="H7" s="21">
        <f t="shared" si="3"/>
        <v>3.8249709938852797E-3</v>
      </c>
    </row>
    <row r="8" spans="1:12" x14ac:dyDescent="0.3">
      <c r="A8" s="16" t="s">
        <v>0</v>
      </c>
      <c r="B8" s="16" t="s">
        <v>8</v>
      </c>
      <c r="C8" s="16">
        <f>SUM(pt_surface!C9:E9)</f>
        <v>3846986</v>
      </c>
      <c r="D8" s="22">
        <f t="shared" si="0"/>
        <v>1.9377566923382114E-3</v>
      </c>
      <c r="E8" s="22">
        <f t="shared" si="1"/>
        <v>5.4932211120103189E-3</v>
      </c>
      <c r="F8" s="16">
        <f>SUM(pt_surface!F9:I9)</f>
        <v>186565</v>
      </c>
      <c r="G8" s="22">
        <f t="shared" si="2"/>
        <v>8.5773206318768874E-4</v>
      </c>
      <c r="H8" s="22">
        <f t="shared" si="3"/>
        <v>3.0578558905857154E-3</v>
      </c>
    </row>
    <row r="9" spans="1:12" x14ac:dyDescent="0.3">
      <c r="A9" s="5" t="s">
        <v>1</v>
      </c>
      <c r="B9" s="5" t="s">
        <v>2</v>
      </c>
      <c r="C9" s="5">
        <v>0</v>
      </c>
      <c r="D9" s="6">
        <f t="shared" si="0"/>
        <v>0</v>
      </c>
      <c r="E9" s="6">
        <f>C9/SUM($C$9:$C$15)</f>
        <v>0</v>
      </c>
      <c r="F9" s="5">
        <v>0</v>
      </c>
      <c r="G9" s="6">
        <f t="shared" si="2"/>
        <v>0</v>
      </c>
      <c r="H9" s="6">
        <f>F9/SUM($F$9:$F$15)</f>
        <v>0</v>
      </c>
    </row>
    <row r="10" spans="1:12" x14ac:dyDescent="0.3">
      <c r="A10" s="12" t="s">
        <v>1</v>
      </c>
      <c r="B10" s="12" t="s">
        <v>3</v>
      </c>
      <c r="C10" s="12">
        <f>SUM(pt_surface!J11)</f>
        <v>199005955</v>
      </c>
      <c r="D10" s="17">
        <f t="shared" si="0"/>
        <v>0.10024084338139182</v>
      </c>
      <c r="E10" s="17">
        <f t="shared" ref="E10:E15" si="4">C10/SUM($C$9:$C$15)</f>
        <v>0.15487290889530628</v>
      </c>
      <c r="F10" s="12">
        <v>0</v>
      </c>
      <c r="G10" s="17">
        <f t="shared" si="2"/>
        <v>0</v>
      </c>
      <c r="H10" s="17">
        <f t="shared" ref="H10:H15" si="5">F10/SUM($F$9:$F$15)</f>
        <v>0</v>
      </c>
    </row>
    <row r="11" spans="1:12" x14ac:dyDescent="0.3">
      <c r="A11" s="11" t="s">
        <v>1</v>
      </c>
      <c r="B11" s="11" t="s">
        <v>4</v>
      </c>
      <c r="C11" s="11">
        <f>SUM(pt_surface!J13:L13)</f>
        <v>467456301</v>
      </c>
      <c r="D11" s="18">
        <f t="shared" si="0"/>
        <v>0.23546136524500358</v>
      </c>
      <c r="E11" s="18">
        <f t="shared" si="4"/>
        <v>0.36378970225946189</v>
      </c>
      <c r="F11" s="11">
        <f>pt_surface!L12/2</f>
        <v>155235473.5</v>
      </c>
      <c r="G11" s="18">
        <f t="shared" si="2"/>
        <v>0.71369465315076663</v>
      </c>
      <c r="H11" s="18">
        <f t="shared" si="5"/>
        <v>0.99193298669810959</v>
      </c>
    </row>
    <row r="12" spans="1:12" x14ac:dyDescent="0.3">
      <c r="A12" s="13" t="s">
        <v>1</v>
      </c>
      <c r="B12" s="13" t="s">
        <v>5</v>
      </c>
      <c r="C12" s="13">
        <f>SUM(pt_surface!C13:L13)</f>
        <v>467456301</v>
      </c>
      <c r="D12" s="19">
        <f t="shared" si="0"/>
        <v>0.23546136524500358</v>
      </c>
      <c r="E12" s="19">
        <f t="shared" si="4"/>
        <v>0.36378970225946189</v>
      </c>
      <c r="F12" s="13">
        <f>pt_surface!M13</f>
        <v>401332</v>
      </c>
      <c r="G12" s="19">
        <f t="shared" si="2"/>
        <v>1.845122742117983E-3</v>
      </c>
      <c r="H12" s="19">
        <f t="shared" si="5"/>
        <v>2.5644554072721385E-3</v>
      </c>
    </row>
    <row r="13" spans="1:12" x14ac:dyDescent="0.3">
      <c r="A13" s="14" t="s">
        <v>1</v>
      </c>
      <c r="B13" s="14" t="s">
        <v>6</v>
      </c>
      <c r="C13" s="14">
        <f>SUM(pt_surface!C14:L14)</f>
        <v>107751639</v>
      </c>
      <c r="D13" s="20">
        <f t="shared" si="0"/>
        <v>5.4275336479691121E-2</v>
      </c>
      <c r="E13" s="20">
        <f t="shared" si="4"/>
        <v>8.3855831199457984E-2</v>
      </c>
      <c r="F13" s="14">
        <f>SUM(pt_surface!M14:N14)</f>
        <v>348290</v>
      </c>
      <c r="G13" s="20">
        <f t="shared" si="2"/>
        <v>1.6012622961843867E-3</v>
      </c>
      <c r="H13" s="20">
        <f t="shared" si="5"/>
        <v>2.2255244381180995E-3</v>
      </c>
    </row>
    <row r="14" spans="1:12" x14ac:dyDescent="0.3">
      <c r="A14" s="15" t="s">
        <v>1</v>
      </c>
      <c r="B14" s="15" t="s">
        <v>7</v>
      </c>
      <c r="C14" s="15">
        <f>SUM(pt_surface!C15:L15)</f>
        <v>32555864</v>
      </c>
      <c r="D14" s="21">
        <f t="shared" si="0"/>
        <v>1.6398641258598981E-2</v>
      </c>
      <c r="E14" s="21">
        <f t="shared" si="4"/>
        <v>2.5336032578924493E-2</v>
      </c>
      <c r="F14" s="15">
        <f>SUM(pt_surface!M15:O15)</f>
        <v>282489</v>
      </c>
      <c r="G14" s="21">
        <f t="shared" si="2"/>
        <v>1.2987423836080027E-3</v>
      </c>
      <c r="H14" s="21">
        <f t="shared" si="5"/>
        <v>1.8050652416076941E-3</v>
      </c>
    </row>
    <row r="15" spans="1:12" x14ac:dyDescent="0.3">
      <c r="A15" s="16" t="s">
        <v>1</v>
      </c>
      <c r="B15" s="16" t="s">
        <v>8</v>
      </c>
      <c r="C15" s="16">
        <f>SUM(pt_surface!C16:L16)</f>
        <v>10736923</v>
      </c>
      <c r="D15" s="22">
        <f t="shared" si="0"/>
        <v>5.408271409973955E-3</v>
      </c>
      <c r="E15" s="22">
        <f t="shared" si="4"/>
        <v>8.3558228073874405E-3</v>
      </c>
      <c r="F15" s="16">
        <f>SUM(pt_surface!M16:P16)</f>
        <v>230360</v>
      </c>
      <c r="G15" s="22">
        <f t="shared" si="2"/>
        <v>1.0590794526085599E-3</v>
      </c>
      <c r="H15" s="22">
        <f t="shared" si="5"/>
        <v>1.4719682148924326E-3</v>
      </c>
    </row>
    <row r="16" spans="1:12" x14ac:dyDescent="0.3">
      <c r="A16" s="4" t="s">
        <v>40</v>
      </c>
      <c r="C16" t="s">
        <v>53</v>
      </c>
      <c r="D16" s="25" t="s">
        <v>52</v>
      </c>
      <c r="E16" s="25"/>
      <c r="F16" s="25" t="s">
        <v>53</v>
      </c>
      <c r="G16" s="25" t="s">
        <v>52</v>
      </c>
      <c r="H16" s="25" t="s">
        <v>54</v>
      </c>
      <c r="I16" s="25" t="s">
        <v>56</v>
      </c>
      <c r="J16" s="25" t="s">
        <v>55</v>
      </c>
      <c r="K16" s="25" t="s">
        <v>57</v>
      </c>
    </row>
    <row r="17" spans="1:10" x14ac:dyDescent="0.3">
      <c r="A17" t="s">
        <v>36</v>
      </c>
      <c r="C17" s="7">
        <f>SUM(C2:C15)</f>
        <v>1985278139</v>
      </c>
      <c r="D17" s="26">
        <f>C17/SUM(pt_surface!$C$3:$P$16)</f>
        <v>0.68661002307817054</v>
      </c>
      <c r="E17" s="4"/>
      <c r="F17" s="7">
        <f>SUM(F2:F15)</f>
        <v>217509649</v>
      </c>
      <c r="G17" s="28">
        <f>F17/SUM(pt_surface!$C$3:$P$16)</f>
        <v>7.5225885071620563E-2</v>
      </c>
      <c r="H17">
        <f>SUM(F2:F8)</f>
        <v>61011704.5</v>
      </c>
      <c r="J17">
        <f>SUM(F9:F15)</f>
        <v>156497944.5</v>
      </c>
    </row>
    <row r="18" spans="1:10" x14ac:dyDescent="0.3">
      <c r="C18" s="9"/>
      <c r="D18" s="26"/>
      <c r="F18" s="9"/>
      <c r="G18" s="28"/>
    </row>
    <row r="19" spans="1:10" x14ac:dyDescent="0.3">
      <c r="C19" s="9"/>
      <c r="D19" s="26"/>
      <c r="F19" s="9"/>
      <c r="G19" s="28"/>
    </row>
    <row r="20" spans="1:10" x14ac:dyDescent="0.3">
      <c r="C20" s="9"/>
      <c r="D20" s="26"/>
      <c r="F20" s="9"/>
      <c r="G20" s="28"/>
    </row>
    <row r="21" spans="1:10" x14ac:dyDescent="0.3">
      <c r="C21" s="9"/>
      <c r="D21" s="26"/>
      <c r="F21" s="9"/>
      <c r="G21" s="28"/>
    </row>
    <row r="22" spans="1:10" x14ac:dyDescent="0.3">
      <c r="D22" s="25"/>
      <c r="G22" s="28"/>
    </row>
    <row r="23" spans="1:10" x14ac:dyDescent="0.3">
      <c r="A23" s="4" t="s">
        <v>39</v>
      </c>
      <c r="D23" s="25"/>
      <c r="G23" s="28"/>
    </row>
    <row r="24" spans="1:10" x14ac:dyDescent="0.3">
      <c r="A24" t="s">
        <v>36</v>
      </c>
      <c r="C24" s="10">
        <f>C17/31</f>
        <v>64041230.290322579</v>
      </c>
      <c r="D24" s="27">
        <f>C24/SUM(pt_surface!$C$3:$P$16)</f>
        <v>2.2148710421876466E-2</v>
      </c>
      <c r="F24" s="10">
        <f>F17/31</f>
        <v>7016440.2903225804</v>
      </c>
      <c r="G24" s="28">
        <f>F24/SUM(pt_surface!$C$3:$P$16)</f>
        <v>2.4266414539232443E-3</v>
      </c>
      <c r="H24" s="34">
        <f>H17/31</f>
        <v>1968119.5</v>
      </c>
      <c r="J24" s="34">
        <f>J17/31</f>
        <v>5048320.7903225804</v>
      </c>
    </row>
    <row r="25" spans="1:10" x14ac:dyDescent="0.3">
      <c r="C25" s="10"/>
      <c r="D25" s="27"/>
      <c r="F25" s="10"/>
      <c r="G25" s="28"/>
    </row>
    <row r="26" spans="1:10" x14ac:dyDescent="0.3">
      <c r="C26" s="10"/>
      <c r="D26" s="27"/>
      <c r="F26" s="10"/>
      <c r="G26" s="28"/>
    </row>
    <row r="27" spans="1:10" x14ac:dyDescent="0.3">
      <c r="C27" s="10"/>
      <c r="D27" s="27"/>
      <c r="F27" s="10"/>
      <c r="G27" s="28"/>
    </row>
    <row r="28" spans="1:10" x14ac:dyDescent="0.3">
      <c r="C28" s="10"/>
      <c r="D28" s="27"/>
      <c r="F28" s="10"/>
      <c r="G28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A1:K28"/>
  <sheetViews>
    <sheetView workbookViewId="0">
      <selection activeCell="F24" sqref="F24"/>
    </sheetView>
  </sheetViews>
  <sheetFormatPr baseColWidth="10" defaultRowHeight="14.4" x14ac:dyDescent="0.3"/>
  <cols>
    <col min="1" max="1" width="17.44140625" bestFit="1" customWidth="1"/>
    <col min="2" max="2" width="2.33203125" bestFit="1" customWidth="1"/>
    <col min="3" max="3" width="22.33203125" bestFit="1" customWidth="1"/>
    <col min="4" max="4" width="20" bestFit="1" customWidth="1"/>
    <col min="5" max="5" width="22.33203125" customWidth="1"/>
    <col min="6" max="6" width="28" bestFit="1" customWidth="1"/>
    <col min="7" max="7" width="20" bestFit="1" customWidth="1"/>
    <col min="8" max="8" width="21.88671875" bestFit="1" customWidth="1"/>
    <col min="10" max="10" width="20.5546875" bestFit="1" customWidth="1"/>
    <col min="11" max="11" width="18.33203125" bestFit="1" customWidth="1"/>
  </cols>
  <sheetData>
    <row r="1" spans="1:11" x14ac:dyDescent="0.3">
      <c r="C1" s="4" t="s">
        <v>9</v>
      </c>
      <c r="D1" s="4" t="s">
        <v>11</v>
      </c>
      <c r="E1" s="4" t="s">
        <v>12</v>
      </c>
      <c r="F1" s="4" t="s">
        <v>10</v>
      </c>
      <c r="G1" s="4" t="s">
        <v>13</v>
      </c>
      <c r="H1" s="4" t="s">
        <v>14</v>
      </c>
    </row>
    <row r="2" spans="1:11" x14ac:dyDescent="0.3">
      <c r="A2" s="5" t="s">
        <v>0</v>
      </c>
      <c r="B2" s="5" t="s">
        <v>2</v>
      </c>
      <c r="C2" s="5">
        <v>0</v>
      </c>
      <c r="D2" s="6">
        <f>C2/$C$17</f>
        <v>0</v>
      </c>
      <c r="E2" s="6">
        <f>C2/SUM($C$2:$C$8)</f>
        <v>0</v>
      </c>
      <c r="F2" s="5">
        <v>0</v>
      </c>
      <c r="G2" s="6">
        <f>F2/$F$17</f>
        <v>0</v>
      </c>
      <c r="H2" s="6">
        <f>F2/SUM($F$2:$F$8)</f>
        <v>0</v>
      </c>
    </row>
    <row r="3" spans="1:11" x14ac:dyDescent="0.3">
      <c r="A3" s="12" t="s">
        <v>0</v>
      </c>
      <c r="B3" s="12" t="s">
        <v>3</v>
      </c>
      <c r="C3" s="12">
        <f>pt_surface!C4</f>
        <v>118445200</v>
      </c>
      <c r="D3" s="17">
        <f t="shared" ref="D3:D15" si="0">C3/$C$17</f>
        <v>5.9661766113871466E-2</v>
      </c>
      <c r="E3" s="17">
        <f t="shared" ref="E3:E8" si="1">C3/SUM($C$2:$C$8)</f>
        <v>0.16913128180250322</v>
      </c>
      <c r="F3" s="12">
        <v>0</v>
      </c>
      <c r="G3" s="17">
        <f t="shared" ref="G3:G15" si="2">F3/$F$17</f>
        <v>0</v>
      </c>
      <c r="H3" s="17">
        <f t="shared" ref="H3:H8" si="3">F3/SUM($F$2:$F$8)</f>
        <v>0</v>
      </c>
    </row>
    <row r="4" spans="1:11" x14ac:dyDescent="0.3">
      <c r="A4" s="11" t="s">
        <v>0</v>
      </c>
      <c r="B4" s="11" t="s">
        <v>4</v>
      </c>
      <c r="C4" s="11">
        <f>SUM(pt_surface!C5:D5)</f>
        <v>275360401</v>
      </c>
      <c r="D4" s="18">
        <f t="shared" si="0"/>
        <v>0.13870117017391889</v>
      </c>
      <c r="E4" s="18">
        <f t="shared" si="1"/>
        <v>0.39319497606303411</v>
      </c>
      <c r="F4" s="11">
        <v>0</v>
      </c>
      <c r="G4" s="18">
        <f t="shared" si="2"/>
        <v>0</v>
      </c>
      <c r="H4" s="18">
        <f t="shared" si="3"/>
        <v>0</v>
      </c>
    </row>
    <row r="5" spans="1:11" x14ac:dyDescent="0.3">
      <c r="A5" s="13" t="s">
        <v>0</v>
      </c>
      <c r="B5" s="13" t="s">
        <v>5</v>
      </c>
      <c r="C5" s="13">
        <f>SUM(pt_surface!C6:E6)</f>
        <v>211497043</v>
      </c>
      <c r="D5" s="19">
        <f t="shared" si="0"/>
        <v>0.10653270131032254</v>
      </c>
      <c r="E5" s="19">
        <f t="shared" si="1"/>
        <v>0.30200266435473233</v>
      </c>
      <c r="F5" s="13">
        <f>pt_surface!F6</f>
        <v>334466</v>
      </c>
      <c r="G5" s="19">
        <f t="shared" si="2"/>
        <v>0.14315558977752343</v>
      </c>
      <c r="H5" s="19">
        <f t="shared" si="3"/>
        <v>0.3114469555176877</v>
      </c>
    </row>
    <row r="6" spans="1:11" x14ac:dyDescent="0.3">
      <c r="A6" s="14" t="s">
        <v>0</v>
      </c>
      <c r="B6" s="14" t="s">
        <v>6</v>
      </c>
      <c r="C6" s="14">
        <f>SUM(pt_surface!C7:E7)</f>
        <v>71762924</v>
      </c>
      <c r="D6" s="20">
        <f t="shared" si="0"/>
        <v>3.6147541541029379E-2</v>
      </c>
      <c r="E6" s="20">
        <f t="shared" si="1"/>
        <v>0.10247232747308985</v>
      </c>
      <c r="F6" s="14">
        <f>SUM(pt_surface!F7:G7)</f>
        <v>319511</v>
      </c>
      <c r="G6" s="20">
        <f t="shared" si="2"/>
        <v>0.13675466458595581</v>
      </c>
      <c r="H6" s="20">
        <f t="shared" si="3"/>
        <v>0.2975212075499809</v>
      </c>
    </row>
    <row r="7" spans="1:11" x14ac:dyDescent="0.3">
      <c r="A7" s="15" t="s">
        <v>0</v>
      </c>
      <c r="B7" s="15" t="s">
        <v>7</v>
      </c>
      <c r="C7" s="15">
        <f>SUM(pt_surface!C8:E8)</f>
        <v>19402602</v>
      </c>
      <c r="D7" s="21">
        <f t="shared" si="0"/>
        <v>9.7732411488564725E-3</v>
      </c>
      <c r="E7" s="21">
        <f t="shared" si="1"/>
        <v>2.7705529194630197E-2</v>
      </c>
      <c r="F7" s="15">
        <f>SUM(pt_surface!F8:H8)</f>
        <v>233368</v>
      </c>
      <c r="G7" s="21">
        <f t="shared" si="2"/>
        <v>9.9884393855283027E-2</v>
      </c>
      <c r="H7" s="21">
        <f t="shared" si="3"/>
        <v>0.21730685066718813</v>
      </c>
    </row>
    <row r="8" spans="1:11" x14ac:dyDescent="0.3">
      <c r="A8" s="16" t="s">
        <v>0</v>
      </c>
      <c r="B8" s="16" t="s">
        <v>8</v>
      </c>
      <c r="C8" s="16">
        <f>SUM(pt_surface!C9:E9)</f>
        <v>3846986</v>
      </c>
      <c r="D8" s="22">
        <f t="shared" si="0"/>
        <v>1.9377566923382114E-3</v>
      </c>
      <c r="E8" s="22">
        <f t="shared" si="1"/>
        <v>5.4932211120103189E-3</v>
      </c>
      <c r="F8" s="16">
        <f>SUM(pt_surface!F9:I9)</f>
        <v>186565</v>
      </c>
      <c r="G8" s="22">
        <f t="shared" si="2"/>
        <v>7.9852130281833314E-2</v>
      </c>
      <c r="H8" s="22">
        <f t="shared" si="3"/>
        <v>0.17372498626514327</v>
      </c>
    </row>
    <row r="9" spans="1:11" x14ac:dyDescent="0.3">
      <c r="A9" s="5" t="s">
        <v>1</v>
      </c>
      <c r="B9" s="5" t="s">
        <v>2</v>
      </c>
      <c r="C9" s="5">
        <v>0</v>
      </c>
      <c r="D9" s="6">
        <f t="shared" si="0"/>
        <v>0</v>
      </c>
      <c r="E9" s="6">
        <f>C9/SUM($C$9:$C$15)</f>
        <v>0</v>
      </c>
      <c r="F9" s="5">
        <v>0</v>
      </c>
      <c r="G9" s="6">
        <f t="shared" si="2"/>
        <v>0</v>
      </c>
      <c r="H9" s="6">
        <f>F9/SUM($F$9:$F$15)</f>
        <v>0</v>
      </c>
    </row>
    <row r="10" spans="1:11" x14ac:dyDescent="0.3">
      <c r="A10" s="12" t="s">
        <v>1</v>
      </c>
      <c r="B10" s="12" t="s">
        <v>3</v>
      </c>
      <c r="C10" s="12">
        <f>SUM(pt_surface!J11)</f>
        <v>199005955</v>
      </c>
      <c r="D10" s="17">
        <f t="shared" si="0"/>
        <v>0.10024084338139182</v>
      </c>
      <c r="E10" s="17">
        <f t="shared" ref="E10:E15" si="4">C10/SUM($C$9:$C$15)</f>
        <v>0.15487290889530628</v>
      </c>
      <c r="F10" s="12">
        <v>0</v>
      </c>
      <c r="G10" s="17">
        <f t="shared" si="2"/>
        <v>0</v>
      </c>
      <c r="H10" s="17">
        <f t="shared" ref="H10:H15" si="5">F10/SUM($F$9:$F$15)</f>
        <v>0</v>
      </c>
    </row>
    <row r="11" spans="1:11" x14ac:dyDescent="0.3">
      <c r="A11" s="11" t="s">
        <v>1</v>
      </c>
      <c r="B11" s="11" t="s">
        <v>4</v>
      </c>
      <c r="C11" s="11">
        <f>SUM(pt_surface!J13:L13)</f>
        <v>467456301</v>
      </c>
      <c r="D11" s="18">
        <f t="shared" si="0"/>
        <v>0.23546136524500358</v>
      </c>
      <c r="E11" s="18">
        <f t="shared" si="4"/>
        <v>0.36378970225946189</v>
      </c>
      <c r="F11" s="11">
        <v>0</v>
      </c>
      <c r="G11" s="18">
        <f t="shared" si="2"/>
        <v>0</v>
      </c>
      <c r="H11" s="18">
        <f t="shared" si="5"/>
        <v>0</v>
      </c>
    </row>
    <row r="12" spans="1:11" x14ac:dyDescent="0.3">
      <c r="A12" s="13" t="s">
        <v>1</v>
      </c>
      <c r="B12" s="13" t="s">
        <v>5</v>
      </c>
      <c r="C12" s="13">
        <f>SUM(pt_surface!C13:L13)</f>
        <v>467456301</v>
      </c>
      <c r="D12" s="19">
        <f t="shared" si="0"/>
        <v>0.23546136524500358</v>
      </c>
      <c r="E12" s="19">
        <f t="shared" si="4"/>
        <v>0.36378970225946189</v>
      </c>
      <c r="F12" s="13">
        <f>pt_surface!M13</f>
        <v>401332</v>
      </c>
      <c r="G12" s="19">
        <f t="shared" si="2"/>
        <v>0.17177506579620361</v>
      </c>
      <c r="H12" s="19">
        <f t="shared" si="5"/>
        <v>0.31789403479367051</v>
      </c>
    </row>
    <row r="13" spans="1:11" x14ac:dyDescent="0.3">
      <c r="A13" s="14" t="s">
        <v>1</v>
      </c>
      <c r="B13" s="14" t="s">
        <v>6</v>
      </c>
      <c r="C13" s="14">
        <f>SUM(pt_surface!C14:L14)</f>
        <v>107751639</v>
      </c>
      <c r="D13" s="20">
        <f t="shared" si="0"/>
        <v>5.4275336479691121E-2</v>
      </c>
      <c r="E13" s="20">
        <f t="shared" si="4"/>
        <v>8.3855831199457984E-2</v>
      </c>
      <c r="F13" s="14">
        <f>SUM(pt_surface!M14:N14)</f>
        <v>348290</v>
      </c>
      <c r="G13" s="20">
        <f t="shared" si="2"/>
        <v>0.14907243296363051</v>
      </c>
      <c r="H13" s="20">
        <f t="shared" si="5"/>
        <v>0.27587960436318931</v>
      </c>
    </row>
    <row r="14" spans="1:11" x14ac:dyDescent="0.3">
      <c r="A14" s="15" t="s">
        <v>1</v>
      </c>
      <c r="B14" s="15" t="s">
        <v>7</v>
      </c>
      <c r="C14" s="15">
        <f>SUM(pt_surface!C15:L15)</f>
        <v>32555864</v>
      </c>
      <c r="D14" s="21">
        <f t="shared" si="0"/>
        <v>1.6398641258598981E-2</v>
      </c>
      <c r="E14" s="21">
        <f t="shared" si="4"/>
        <v>2.5336032578924493E-2</v>
      </c>
      <c r="F14" s="15">
        <f>SUM(pt_surface!M15:O15)</f>
        <v>282489</v>
      </c>
      <c r="G14" s="21">
        <f t="shared" si="2"/>
        <v>0.12090879013311613</v>
      </c>
      <c r="H14" s="21">
        <f t="shared" si="5"/>
        <v>0.22375880317250851</v>
      </c>
    </row>
    <row r="15" spans="1:11" x14ac:dyDescent="0.3">
      <c r="A15" s="16" t="s">
        <v>1</v>
      </c>
      <c r="B15" s="16" t="s">
        <v>8</v>
      </c>
      <c r="C15" s="16">
        <f>SUM(pt_surface!C16:L16)</f>
        <v>10736923</v>
      </c>
      <c r="D15" s="22">
        <f t="shared" si="0"/>
        <v>5.408271409973955E-3</v>
      </c>
      <c r="E15" s="22">
        <f t="shared" si="4"/>
        <v>8.3558228073874405E-3</v>
      </c>
      <c r="F15" s="16">
        <f>SUM(pt_surface!M16:P16)</f>
        <v>230360</v>
      </c>
      <c r="G15" s="22">
        <f t="shared" si="2"/>
        <v>9.8596932606454177E-2</v>
      </c>
      <c r="H15" s="22">
        <f t="shared" si="5"/>
        <v>0.18246755767063164</v>
      </c>
    </row>
    <row r="16" spans="1:11" x14ac:dyDescent="0.3">
      <c r="A16" s="4" t="s">
        <v>40</v>
      </c>
      <c r="C16" t="s">
        <v>53</v>
      </c>
      <c r="D16" s="25" t="s">
        <v>52</v>
      </c>
      <c r="E16" s="25"/>
      <c r="F16" s="25" t="s">
        <v>53</v>
      </c>
      <c r="G16" s="25" t="s">
        <v>52</v>
      </c>
      <c r="H16" s="25" t="s">
        <v>54</v>
      </c>
      <c r="I16" s="25" t="s">
        <v>56</v>
      </c>
      <c r="J16" s="25" t="s">
        <v>55</v>
      </c>
      <c r="K16" s="25" t="s">
        <v>57</v>
      </c>
    </row>
    <row r="17" spans="1:11" x14ac:dyDescent="0.3">
      <c r="A17" t="s">
        <v>36</v>
      </c>
      <c r="C17" s="7">
        <f>SUM(C2:C15)</f>
        <v>1985278139</v>
      </c>
      <c r="D17" s="26">
        <f>C17/SUM(pt_surface!$C$3:$P$16)</f>
        <v>0.68661002307817054</v>
      </c>
      <c r="E17" s="4"/>
      <c r="F17" s="7">
        <f>SUM(F2:F15)</f>
        <v>2336381</v>
      </c>
      <c r="G17" s="28">
        <f>F17/SUM(pt_surface!$C$3:$P$16)</f>
        <v>8.0803922675411026E-4</v>
      </c>
      <c r="H17">
        <f>SUM(F2:F8)</f>
        <v>1073910</v>
      </c>
      <c r="I17" s="33">
        <f>H17/SUM(pt_surface!$C$3:$I$9)</f>
        <v>1.1818300495307966E-3</v>
      </c>
      <c r="J17" s="35">
        <f>SUM(F9:F15)</f>
        <v>1262471</v>
      </c>
      <c r="K17" s="33">
        <f>J17/SUM(pt_surface!J10:P16)</f>
        <v>6.3673166618379777E-4</v>
      </c>
    </row>
    <row r="18" spans="1:11" x14ac:dyDescent="0.3">
      <c r="C18" s="9"/>
      <c r="D18" s="26"/>
      <c r="F18" s="9"/>
      <c r="G18" s="28"/>
      <c r="I18" s="33"/>
      <c r="J18" s="35"/>
    </row>
    <row r="19" spans="1:11" x14ac:dyDescent="0.3">
      <c r="C19" s="9"/>
      <c r="D19" s="26"/>
      <c r="F19" s="9"/>
      <c r="G19" s="28"/>
      <c r="I19" s="33"/>
      <c r="J19" s="35"/>
    </row>
    <row r="20" spans="1:11" x14ac:dyDescent="0.3">
      <c r="C20" s="9"/>
      <c r="D20" s="26"/>
      <c r="F20" s="9"/>
      <c r="G20" s="28"/>
      <c r="I20" s="33"/>
      <c r="J20" s="35"/>
    </row>
    <row r="21" spans="1:11" x14ac:dyDescent="0.3">
      <c r="C21" s="9"/>
      <c r="D21" s="26"/>
      <c r="F21" s="9"/>
      <c r="G21" s="28"/>
      <c r="I21" s="33"/>
      <c r="J21" s="35"/>
    </row>
    <row r="22" spans="1:11" x14ac:dyDescent="0.3">
      <c r="D22" s="25"/>
      <c r="G22" s="28"/>
      <c r="J22" s="35"/>
    </row>
    <row r="23" spans="1:11" x14ac:dyDescent="0.3">
      <c r="A23" s="4" t="s">
        <v>39</v>
      </c>
      <c r="D23" s="25"/>
      <c r="G23" s="28"/>
      <c r="J23" s="35"/>
    </row>
    <row r="24" spans="1:11" x14ac:dyDescent="0.3">
      <c r="A24" t="s">
        <v>36</v>
      </c>
      <c r="C24" s="10">
        <f>C17/30</f>
        <v>66175937.966666669</v>
      </c>
      <c r="D24" s="27">
        <f>C24/SUM(pt_surface!$C$3:$P$16)</f>
        <v>2.2887000769272352E-2</v>
      </c>
      <c r="F24" s="10">
        <f>F17/31</f>
        <v>75367.129032258061</v>
      </c>
      <c r="G24" s="31">
        <f>F24/SUM(pt_surface!$C$3:$P$16)</f>
        <v>2.6065781508197104E-5</v>
      </c>
      <c r="H24" s="10">
        <f>H17/31</f>
        <v>34642.258064516129</v>
      </c>
      <c r="I24" s="10">
        <f>I17/30</f>
        <v>3.9394334984359888E-5</v>
      </c>
      <c r="J24" s="36">
        <f>J17/31</f>
        <v>40724.870967741932</v>
      </c>
      <c r="K24" s="10">
        <f>K17/30</f>
        <v>2.1224388872793259E-5</v>
      </c>
    </row>
    <row r="25" spans="1:11" x14ac:dyDescent="0.3">
      <c r="C25" s="10"/>
      <c r="D25" s="27"/>
      <c r="F25" s="10"/>
      <c r="G25" s="31"/>
      <c r="H25" s="10"/>
    </row>
    <row r="26" spans="1:11" x14ac:dyDescent="0.3">
      <c r="C26" s="10"/>
      <c r="D26" s="27"/>
      <c r="F26" s="10"/>
      <c r="G26" s="31"/>
      <c r="H26" s="10"/>
    </row>
    <row r="27" spans="1:11" x14ac:dyDescent="0.3">
      <c r="C27" s="10"/>
      <c r="D27" s="27"/>
      <c r="F27" s="10"/>
      <c r="G27" s="31"/>
      <c r="H27" s="10"/>
    </row>
    <row r="28" spans="1:11" x14ac:dyDescent="0.3">
      <c r="C28" s="10"/>
      <c r="D28" s="27"/>
      <c r="F28" s="10"/>
      <c r="G28" s="31"/>
      <c r="H28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A1:P47"/>
  <sheetViews>
    <sheetView topLeftCell="F1" workbookViewId="0">
      <selection sqref="A1:P16"/>
    </sheetView>
  </sheetViews>
  <sheetFormatPr baseColWidth="10" defaultRowHeight="14.4" x14ac:dyDescent="0.3"/>
  <cols>
    <col min="1" max="1" width="30.77734375" bestFit="1" customWidth="1"/>
    <col min="2" max="2" width="2.21875" bestFit="1" customWidth="1"/>
    <col min="3" max="4" width="16.33203125" bestFit="1" customWidth="1"/>
    <col min="5" max="5" width="21.21875" bestFit="1" customWidth="1"/>
    <col min="6" max="7" width="16.33203125" bestFit="1" customWidth="1"/>
    <col min="8" max="8" width="17.44140625" bestFit="1" customWidth="1"/>
    <col min="9" max="9" width="16.33203125" bestFit="1" customWidth="1"/>
    <col min="10" max="16" width="17.44140625" bestFit="1" customWidth="1"/>
  </cols>
  <sheetData>
    <row r="1" spans="1:16" x14ac:dyDescent="0.3"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</row>
    <row r="2" spans="1:16" x14ac:dyDescent="0.3"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</row>
    <row r="3" spans="1:16" x14ac:dyDescent="0.3">
      <c r="A3" t="s">
        <v>0</v>
      </c>
      <c r="B3" t="s">
        <v>2</v>
      </c>
      <c r="C3" s="1">
        <v>1046885</v>
      </c>
      <c r="D3" s="44">
        <v>0</v>
      </c>
      <c r="E3" s="44">
        <v>0</v>
      </c>
      <c r="F3" s="44">
        <v>0</v>
      </c>
      <c r="G3" s="44">
        <v>0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  <c r="P3" s="44">
        <v>0</v>
      </c>
    </row>
    <row r="4" spans="1:16" x14ac:dyDescent="0.3">
      <c r="A4" t="s">
        <v>0</v>
      </c>
      <c r="B4" t="s">
        <v>3</v>
      </c>
      <c r="C4" s="37">
        <v>2196536</v>
      </c>
      <c r="D4" s="1">
        <v>445904</v>
      </c>
      <c r="E4" s="44">
        <v>0</v>
      </c>
      <c r="F4" s="44">
        <v>0</v>
      </c>
      <c r="G4" s="44">
        <v>0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  <c r="P4" s="44">
        <v>0</v>
      </c>
    </row>
    <row r="5" spans="1:16" x14ac:dyDescent="0.3">
      <c r="A5" t="s">
        <v>0</v>
      </c>
      <c r="B5" t="s">
        <v>4</v>
      </c>
      <c r="C5" s="37">
        <v>2878425</v>
      </c>
      <c r="D5" s="37">
        <v>1864072</v>
      </c>
      <c r="E5" s="45">
        <v>2021812</v>
      </c>
      <c r="F5" s="44">
        <v>0</v>
      </c>
      <c r="G5" s="44">
        <v>0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</row>
    <row r="6" spans="1:16" x14ac:dyDescent="0.3">
      <c r="A6" t="s">
        <v>0</v>
      </c>
      <c r="B6" t="s">
        <v>5</v>
      </c>
      <c r="C6" s="41">
        <v>549720</v>
      </c>
      <c r="D6" s="41">
        <v>528624</v>
      </c>
      <c r="E6" s="41">
        <v>2352894</v>
      </c>
      <c r="F6" s="2">
        <v>9554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</row>
    <row r="7" spans="1:16" x14ac:dyDescent="0.3">
      <c r="A7" t="s">
        <v>0</v>
      </c>
      <c r="B7" t="s">
        <v>6</v>
      </c>
      <c r="C7" s="41">
        <v>50333</v>
      </c>
      <c r="D7" s="41">
        <v>49299</v>
      </c>
      <c r="E7" s="41">
        <v>1072855</v>
      </c>
      <c r="F7" s="2">
        <v>8209</v>
      </c>
      <c r="G7" s="2">
        <v>267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</row>
    <row r="8" spans="1:16" x14ac:dyDescent="0.3">
      <c r="A8" t="s">
        <v>0</v>
      </c>
      <c r="B8" t="s">
        <v>7</v>
      </c>
      <c r="C8" s="41">
        <v>3129</v>
      </c>
      <c r="D8" s="41">
        <v>4590</v>
      </c>
      <c r="E8" s="41">
        <v>326304</v>
      </c>
      <c r="F8" s="2">
        <v>5948</v>
      </c>
      <c r="G8" s="2">
        <v>147</v>
      </c>
      <c r="H8" s="2">
        <v>84</v>
      </c>
      <c r="I8" s="44"/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</row>
    <row r="9" spans="1:16" x14ac:dyDescent="0.3">
      <c r="A9" t="s">
        <v>0</v>
      </c>
      <c r="B9" t="s">
        <v>8</v>
      </c>
      <c r="C9" s="41">
        <v>231</v>
      </c>
      <c r="D9" s="41">
        <v>585</v>
      </c>
      <c r="E9" s="41">
        <v>65670</v>
      </c>
      <c r="F9" s="2">
        <v>4646</v>
      </c>
      <c r="G9" s="2">
        <v>147</v>
      </c>
      <c r="H9" s="2">
        <v>51</v>
      </c>
      <c r="I9" s="2">
        <v>79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</row>
    <row r="10" spans="1:16" x14ac:dyDescent="0.3">
      <c r="A10" t="s">
        <v>1</v>
      </c>
      <c r="B10" t="s">
        <v>2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1">
        <v>623064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</row>
    <row r="11" spans="1:16" x14ac:dyDescent="0.3">
      <c r="A11" t="s">
        <v>1</v>
      </c>
      <c r="B11" t="s">
        <v>3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37">
        <v>1813454</v>
      </c>
      <c r="K11" s="1">
        <v>293568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</row>
    <row r="12" spans="1:16" x14ac:dyDescent="0.3">
      <c r="A12" t="s">
        <v>1</v>
      </c>
      <c r="B12" t="s">
        <v>4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37">
        <v>5576995</v>
      </c>
      <c r="K12" s="37">
        <v>1034406</v>
      </c>
      <c r="L12" s="24">
        <v>2932405</v>
      </c>
      <c r="M12" s="44">
        <v>0</v>
      </c>
      <c r="N12" s="44">
        <v>0</v>
      </c>
      <c r="O12" s="44">
        <v>0</v>
      </c>
      <c r="P12" s="44">
        <v>0</v>
      </c>
    </row>
    <row r="13" spans="1:16" x14ac:dyDescent="0.3">
      <c r="A13" t="s">
        <v>1</v>
      </c>
      <c r="B13" t="s">
        <v>5</v>
      </c>
      <c r="C13" s="44">
        <v>0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1">
        <v>1750865</v>
      </c>
      <c r="K13" s="41">
        <v>259305</v>
      </c>
      <c r="L13" s="41">
        <v>2902154</v>
      </c>
      <c r="M13" s="2">
        <v>6859</v>
      </c>
      <c r="N13" s="44">
        <v>0</v>
      </c>
      <c r="O13" s="44">
        <v>0</v>
      </c>
      <c r="P13" s="44">
        <v>0</v>
      </c>
    </row>
    <row r="14" spans="1:16" x14ac:dyDescent="0.3">
      <c r="A14" t="s">
        <v>1</v>
      </c>
      <c r="B14" t="s">
        <v>6</v>
      </c>
      <c r="C14" s="44">
        <v>0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1">
        <v>245898</v>
      </c>
      <c r="K14" s="41">
        <v>40757</v>
      </c>
      <c r="L14" s="41">
        <v>958213</v>
      </c>
      <c r="M14" s="2">
        <v>5951</v>
      </c>
      <c r="N14" s="2">
        <v>487</v>
      </c>
      <c r="O14" s="44">
        <v>0</v>
      </c>
      <c r="P14" s="44">
        <v>0</v>
      </c>
    </row>
    <row r="15" spans="1:16" x14ac:dyDescent="0.3">
      <c r="A15" t="s">
        <v>1</v>
      </c>
      <c r="B15" t="s">
        <v>7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1">
        <v>16511</v>
      </c>
      <c r="K15" s="41">
        <v>11186</v>
      </c>
      <c r="L15" s="41">
        <v>327123</v>
      </c>
      <c r="M15" s="2">
        <v>4798</v>
      </c>
      <c r="N15" s="2">
        <v>462</v>
      </c>
      <c r="O15" s="2">
        <v>244</v>
      </c>
      <c r="P15" s="44">
        <v>0</v>
      </c>
    </row>
    <row r="16" spans="1:16" x14ac:dyDescent="0.3">
      <c r="A16" t="s">
        <v>1</v>
      </c>
      <c r="B16" t="s">
        <v>8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1">
        <v>776</v>
      </c>
      <c r="K16" s="41">
        <v>1066</v>
      </c>
      <c r="L16" s="41">
        <v>114525</v>
      </c>
      <c r="M16" s="2">
        <v>2369</v>
      </c>
      <c r="N16" s="2">
        <v>562</v>
      </c>
      <c r="O16" s="2">
        <v>456</v>
      </c>
      <c r="P16" s="2">
        <v>455</v>
      </c>
    </row>
    <row r="18" spans="1:13" x14ac:dyDescent="0.3">
      <c r="C18" s="32"/>
      <c r="D18" s="32"/>
      <c r="E18" s="32"/>
      <c r="F18" s="32"/>
      <c r="G18" s="32"/>
    </row>
    <row r="20" spans="1:13" x14ac:dyDescent="0.3">
      <c r="A20" s="4" t="s">
        <v>67</v>
      </c>
      <c r="H20" s="4" t="s">
        <v>68</v>
      </c>
    </row>
    <row r="22" spans="1:13" x14ac:dyDescent="0.3">
      <c r="A22" s="4" t="s">
        <v>61</v>
      </c>
      <c r="C22" t="s">
        <v>62</v>
      </c>
      <c r="D22" t="s">
        <v>63</v>
      </c>
      <c r="E22" t="s">
        <v>64</v>
      </c>
      <c r="F22" t="s">
        <v>65</v>
      </c>
      <c r="H22" s="4" t="s">
        <v>70</v>
      </c>
      <c r="J22" t="s">
        <v>62</v>
      </c>
      <c r="K22" t="s">
        <v>63</v>
      </c>
      <c r="L22" t="s">
        <v>69</v>
      </c>
      <c r="M22" t="s">
        <v>65</v>
      </c>
    </row>
    <row r="23" spans="1:13" x14ac:dyDescent="0.3">
      <c r="A23" t="s">
        <v>58</v>
      </c>
      <c r="C23">
        <f>SUM(C3:E9)-C3-D4-E5</f>
        <v>11943267</v>
      </c>
      <c r="D23">
        <f>SUM(C3:I9)</f>
        <v>15487000</v>
      </c>
      <c r="E23" s="3">
        <f>C23/D23</f>
        <v>0.77118015109446636</v>
      </c>
      <c r="F23" s="9">
        <f>C23/31</f>
        <v>385266.67741935485</v>
      </c>
      <c r="H23" t="s">
        <v>58</v>
      </c>
      <c r="J23">
        <f>SUM(F6:I9)</f>
        <v>29132</v>
      </c>
      <c r="K23">
        <f>D23</f>
        <v>15487000</v>
      </c>
      <c r="L23" s="40">
        <f>J23/K23</f>
        <v>1.8810615354813715E-3</v>
      </c>
      <c r="M23" s="9">
        <f>J23/31</f>
        <v>939.74193548387098</v>
      </c>
    </row>
    <row r="24" spans="1:13" x14ac:dyDescent="0.3">
      <c r="A24" t="s">
        <v>59</v>
      </c>
      <c r="C24">
        <f>SUM(J10:L16)-J10-K11-L12</f>
        <v>15053234</v>
      </c>
      <c r="D24">
        <f>SUM(J10:P16)</f>
        <v>18924914</v>
      </c>
      <c r="E24" s="3">
        <f t="shared" ref="E24:E25" si="0">C24/D24</f>
        <v>0.79541888539097194</v>
      </c>
      <c r="F24" s="9">
        <f t="shared" ref="F24:F25" si="1">C24/31</f>
        <v>485588.19354838709</v>
      </c>
      <c r="H24" t="s">
        <v>59</v>
      </c>
      <c r="J24">
        <f>SUM(M13:P16)</f>
        <v>22643</v>
      </c>
      <c r="K24">
        <f t="shared" ref="K24:K25" si="2">D24</f>
        <v>18924914</v>
      </c>
      <c r="L24" s="40">
        <f t="shared" ref="L24:L25" si="3">J24/K24</f>
        <v>1.1964651464202163E-3</v>
      </c>
      <c r="M24" s="9">
        <f t="shared" ref="M24:M25" si="4">J24/31</f>
        <v>730.41935483870964</v>
      </c>
    </row>
    <row r="25" spans="1:13" x14ac:dyDescent="0.3">
      <c r="A25" t="s">
        <v>53</v>
      </c>
      <c r="C25">
        <f>SUM(C23:C24)</f>
        <v>26996501</v>
      </c>
      <c r="D25">
        <f>SUM(D23:D24)</f>
        <v>34411914</v>
      </c>
      <c r="E25" s="3">
        <f t="shared" si="0"/>
        <v>0.78451030070573813</v>
      </c>
      <c r="F25" s="9">
        <f t="shared" si="1"/>
        <v>870854.87096774194</v>
      </c>
      <c r="H25" t="s">
        <v>53</v>
      </c>
      <c r="J25">
        <f>SUM(J23:J24)</f>
        <v>51775</v>
      </c>
      <c r="K25">
        <f t="shared" si="2"/>
        <v>34411914</v>
      </c>
      <c r="L25" s="40">
        <f t="shared" si="3"/>
        <v>1.5045661220703969E-3</v>
      </c>
      <c r="M25" s="9">
        <f t="shared" si="4"/>
        <v>1670.1612903225807</v>
      </c>
    </row>
    <row r="28" spans="1:13" x14ac:dyDescent="0.3">
      <c r="A28" s="38" t="s">
        <v>66</v>
      </c>
      <c r="C28" t="s">
        <v>62</v>
      </c>
      <c r="D28" t="s">
        <v>63</v>
      </c>
      <c r="E28" t="s">
        <v>64</v>
      </c>
      <c r="F28" t="s">
        <v>65</v>
      </c>
      <c r="H28" s="4" t="s">
        <v>71</v>
      </c>
      <c r="J28" t="s">
        <v>62</v>
      </c>
      <c r="K28" t="s">
        <v>63</v>
      </c>
      <c r="L28" t="s">
        <v>69</v>
      </c>
      <c r="M28" t="s">
        <v>65</v>
      </c>
    </row>
    <row r="29" spans="1:13" x14ac:dyDescent="0.3">
      <c r="A29" t="s">
        <v>58</v>
      </c>
      <c r="C29">
        <f>C23-D5-C5-C4</f>
        <v>5004234</v>
      </c>
      <c r="D29">
        <f>D23</f>
        <v>15487000</v>
      </c>
      <c r="E29" s="3">
        <f>C29/D29</f>
        <v>0.32312481436043133</v>
      </c>
      <c r="F29" s="9">
        <f>C29/31</f>
        <v>161426.90322580645</v>
      </c>
      <c r="H29" t="s">
        <v>58</v>
      </c>
      <c r="J29">
        <f>J23+(E5/2)</f>
        <v>1040038</v>
      </c>
      <c r="K29">
        <f>D23</f>
        <v>15487000</v>
      </c>
      <c r="L29" s="40">
        <f>J29/K29</f>
        <v>6.7155549815974686E-2</v>
      </c>
      <c r="M29" s="9">
        <f>J29/31</f>
        <v>33549.612903225803</v>
      </c>
    </row>
    <row r="30" spans="1:13" x14ac:dyDescent="0.3">
      <c r="A30" t="s">
        <v>59</v>
      </c>
      <c r="C30">
        <f>C24-K12-J12-J11</f>
        <v>6628379</v>
      </c>
      <c r="D30">
        <f>D24</f>
        <v>18924914</v>
      </c>
      <c r="E30" s="3">
        <f t="shared" ref="E30:E31" si="5">C30/D30</f>
        <v>0.35024618870130664</v>
      </c>
      <c r="F30" s="9">
        <f t="shared" ref="F30:F31" si="6">C30/31</f>
        <v>213818.67741935485</v>
      </c>
      <c r="H30" t="s">
        <v>59</v>
      </c>
      <c r="J30">
        <f>J24+(L12/2)</f>
        <v>1488845.5</v>
      </c>
      <c r="K30">
        <f t="shared" ref="K30:K31" si="7">D24</f>
        <v>18924914</v>
      </c>
      <c r="L30" s="40">
        <f t="shared" ref="L30:L31" si="8">J30/K30</f>
        <v>7.8671189734336441E-2</v>
      </c>
      <c r="M30" s="9">
        <f t="shared" ref="M30:M31" si="9">J30/31</f>
        <v>48027.274193548386</v>
      </c>
    </row>
    <row r="31" spans="1:13" x14ac:dyDescent="0.3">
      <c r="A31" t="s">
        <v>53</v>
      </c>
      <c r="C31">
        <f>SUM(C29:C30)</f>
        <v>11632613</v>
      </c>
      <c r="D31">
        <f>D25</f>
        <v>34411914</v>
      </c>
      <c r="E31" s="3">
        <f t="shared" si="5"/>
        <v>0.33804027872439762</v>
      </c>
      <c r="F31" s="9">
        <f t="shared" si="6"/>
        <v>375245.58064516127</v>
      </c>
      <c r="H31" t="s">
        <v>53</v>
      </c>
      <c r="J31">
        <f>SUM(J29:J30)</f>
        <v>2528883.5</v>
      </c>
      <c r="K31">
        <f t="shared" si="7"/>
        <v>34411914</v>
      </c>
      <c r="L31" s="40">
        <f t="shared" si="8"/>
        <v>7.3488603394742877E-2</v>
      </c>
      <c r="M31" s="9">
        <f t="shared" si="9"/>
        <v>81576.887096774197</v>
      </c>
    </row>
    <row r="34" spans="1:13" x14ac:dyDescent="0.3">
      <c r="H34" s="4" t="s">
        <v>72</v>
      </c>
      <c r="J34" t="s">
        <v>62</v>
      </c>
      <c r="K34" t="s">
        <v>63</v>
      </c>
      <c r="L34" t="s">
        <v>69</v>
      </c>
      <c r="M34" t="s">
        <v>65</v>
      </c>
    </row>
    <row r="35" spans="1:13" x14ac:dyDescent="0.3">
      <c r="H35" t="s">
        <v>58</v>
      </c>
      <c r="J35">
        <f>SUM(F6:I9)+E5</f>
        <v>2050944</v>
      </c>
      <c r="K35">
        <f>K29</f>
        <v>15487000</v>
      </c>
      <c r="L35" s="40">
        <f>J35/K35</f>
        <v>0.132430038096468</v>
      </c>
      <c r="M35" s="9">
        <f>J35/31</f>
        <v>66159.483870967742</v>
      </c>
    </row>
    <row r="36" spans="1:13" x14ac:dyDescent="0.3">
      <c r="H36" t="s">
        <v>59</v>
      </c>
      <c r="J36">
        <f>SUM(M13:P16)+L12</f>
        <v>2955048</v>
      </c>
      <c r="K36">
        <f t="shared" ref="K36:K37" si="10">K30</f>
        <v>18924914</v>
      </c>
      <c r="L36" s="40">
        <f t="shared" ref="L36:L37" si="11">J36/K36</f>
        <v>0.15614591432225267</v>
      </c>
      <c r="M36" s="9">
        <f t="shared" ref="M36:M37" si="12">J36/31</f>
        <v>95324.129032258061</v>
      </c>
    </row>
    <row r="37" spans="1:13" x14ac:dyDescent="0.3">
      <c r="H37" t="s">
        <v>53</v>
      </c>
      <c r="J37">
        <f>SUM(J35:J36)</f>
        <v>5005992</v>
      </c>
      <c r="K37">
        <f t="shared" si="10"/>
        <v>34411914</v>
      </c>
      <c r="L37" s="40">
        <f t="shared" si="11"/>
        <v>0.14547264066741536</v>
      </c>
      <c r="M37" s="9">
        <f t="shared" si="12"/>
        <v>161483.61290322582</v>
      </c>
    </row>
    <row r="43" spans="1:13" x14ac:dyDescent="0.3">
      <c r="A43" s="41" t="s">
        <v>73</v>
      </c>
    </row>
    <row r="44" spans="1:13" x14ac:dyDescent="0.3">
      <c r="A44" s="37" t="s">
        <v>74</v>
      </c>
    </row>
    <row r="45" spans="1:13" x14ac:dyDescent="0.3">
      <c r="A45" s="42" t="s">
        <v>75</v>
      </c>
    </row>
    <row r="46" spans="1:13" x14ac:dyDescent="0.3">
      <c r="A46" s="43" t="s">
        <v>76</v>
      </c>
    </row>
    <row r="47" spans="1:13" x14ac:dyDescent="0.3">
      <c r="A47" s="2" t="s">
        <v>77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26614-91F3-495F-8FAC-420801F3BDBA}">
  <dimension ref="A1:P16"/>
  <sheetViews>
    <sheetView workbookViewId="0">
      <selection activeCell="K21" sqref="K21"/>
    </sheetView>
  </sheetViews>
  <sheetFormatPr baseColWidth="10" defaultRowHeight="14.4" x14ac:dyDescent="0.3"/>
  <cols>
    <col min="1" max="1" width="4.33203125" bestFit="1" customWidth="1"/>
    <col min="2" max="2" width="2.21875" bestFit="1" customWidth="1"/>
    <col min="3" max="5" width="8" bestFit="1" customWidth="1"/>
    <col min="6" max="6" width="5" bestFit="1" customWidth="1"/>
    <col min="7" max="9" width="4.33203125" bestFit="1" customWidth="1"/>
    <col min="10" max="12" width="8" bestFit="1" customWidth="1"/>
    <col min="13" max="13" width="5" bestFit="1" customWidth="1"/>
    <col min="14" max="16" width="4.109375" bestFit="1" customWidth="1"/>
  </cols>
  <sheetData>
    <row r="1" spans="1:16" x14ac:dyDescent="0.3">
      <c r="C1" t="s">
        <v>91</v>
      </c>
      <c r="D1" t="s">
        <v>91</v>
      </c>
      <c r="E1" t="s">
        <v>91</v>
      </c>
      <c r="F1" t="s">
        <v>91</v>
      </c>
      <c r="G1" t="s">
        <v>91</v>
      </c>
      <c r="H1" t="s">
        <v>91</v>
      </c>
      <c r="I1" t="s">
        <v>91</v>
      </c>
      <c r="J1" t="s">
        <v>92</v>
      </c>
      <c r="K1" t="s">
        <v>92</v>
      </c>
      <c r="L1" t="s">
        <v>92</v>
      </c>
      <c r="M1" t="s">
        <v>92</v>
      </c>
      <c r="N1" t="s">
        <v>92</v>
      </c>
      <c r="O1" t="s">
        <v>92</v>
      </c>
      <c r="P1" t="s">
        <v>92</v>
      </c>
    </row>
    <row r="2" spans="1:16" x14ac:dyDescent="0.3"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</row>
    <row r="3" spans="1:16" x14ac:dyDescent="0.3">
      <c r="A3" t="s">
        <v>91</v>
      </c>
      <c r="B3" t="s">
        <v>2</v>
      </c>
      <c r="C3" s="1">
        <v>1046885</v>
      </c>
      <c r="D3" s="44">
        <v>0</v>
      </c>
      <c r="E3" s="44">
        <v>0</v>
      </c>
      <c r="F3" s="44">
        <v>0</v>
      </c>
      <c r="G3" s="44">
        <v>0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  <c r="P3" s="44">
        <v>0</v>
      </c>
    </row>
    <row r="4" spans="1:16" x14ac:dyDescent="0.3">
      <c r="A4" t="s">
        <v>91</v>
      </c>
      <c r="B4" t="s">
        <v>3</v>
      </c>
      <c r="C4" s="37">
        <v>2196536</v>
      </c>
      <c r="D4" s="1">
        <v>445904</v>
      </c>
      <c r="E4" s="44">
        <v>0</v>
      </c>
      <c r="F4" s="44">
        <v>0</v>
      </c>
      <c r="G4" s="44">
        <v>0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  <c r="P4" s="44">
        <v>0</v>
      </c>
    </row>
    <row r="5" spans="1:16" x14ac:dyDescent="0.3">
      <c r="A5" t="s">
        <v>91</v>
      </c>
      <c r="B5" t="s">
        <v>4</v>
      </c>
      <c r="C5" s="37">
        <v>2878425</v>
      </c>
      <c r="D5" s="37">
        <v>1864072</v>
      </c>
      <c r="E5" s="45">
        <v>2021812</v>
      </c>
      <c r="F5" s="44">
        <v>0</v>
      </c>
      <c r="G5" s="44">
        <v>0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</row>
    <row r="6" spans="1:16" x14ac:dyDescent="0.3">
      <c r="A6" t="s">
        <v>91</v>
      </c>
      <c r="B6" t="s">
        <v>5</v>
      </c>
      <c r="C6" s="41">
        <v>549720</v>
      </c>
      <c r="D6" s="41">
        <v>528624</v>
      </c>
      <c r="E6" s="41">
        <v>2352894</v>
      </c>
      <c r="F6" s="2">
        <v>9554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</row>
    <row r="7" spans="1:16" x14ac:dyDescent="0.3">
      <c r="A7" t="s">
        <v>91</v>
      </c>
      <c r="B7" t="s">
        <v>6</v>
      </c>
      <c r="C7" s="41">
        <v>50333</v>
      </c>
      <c r="D7" s="41">
        <v>49299</v>
      </c>
      <c r="E7" s="41">
        <v>1072855</v>
      </c>
      <c r="F7" s="2">
        <v>8209</v>
      </c>
      <c r="G7" s="2">
        <v>267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</row>
    <row r="8" spans="1:16" x14ac:dyDescent="0.3">
      <c r="A8" t="s">
        <v>91</v>
      </c>
      <c r="B8" t="s">
        <v>7</v>
      </c>
      <c r="C8" s="41">
        <v>3129</v>
      </c>
      <c r="D8" s="41">
        <v>4590</v>
      </c>
      <c r="E8" s="41">
        <v>326304</v>
      </c>
      <c r="F8" s="2">
        <v>5948</v>
      </c>
      <c r="G8" s="2">
        <v>147</v>
      </c>
      <c r="H8" s="2">
        <v>84</v>
      </c>
      <c r="I8" s="44"/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</row>
    <row r="9" spans="1:16" x14ac:dyDescent="0.3">
      <c r="A9" t="s">
        <v>91</v>
      </c>
      <c r="B9" t="s">
        <v>8</v>
      </c>
      <c r="C9" s="41">
        <v>231</v>
      </c>
      <c r="D9" s="41">
        <v>585</v>
      </c>
      <c r="E9" s="41">
        <v>65670</v>
      </c>
      <c r="F9" s="2">
        <v>4646</v>
      </c>
      <c r="G9" s="2">
        <v>147</v>
      </c>
      <c r="H9" s="2">
        <v>51</v>
      </c>
      <c r="I9" s="2">
        <v>79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</row>
    <row r="10" spans="1:16" x14ac:dyDescent="0.3">
      <c r="A10" t="s">
        <v>92</v>
      </c>
      <c r="B10" t="s">
        <v>2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1">
        <v>623064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</row>
    <row r="11" spans="1:16" x14ac:dyDescent="0.3">
      <c r="A11" t="s">
        <v>92</v>
      </c>
      <c r="B11" t="s">
        <v>3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37">
        <v>1813454</v>
      </c>
      <c r="K11" s="1">
        <v>293568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</row>
    <row r="12" spans="1:16" x14ac:dyDescent="0.3">
      <c r="A12" t="s">
        <v>92</v>
      </c>
      <c r="B12" t="s">
        <v>4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37">
        <v>5576995</v>
      </c>
      <c r="K12" s="37">
        <v>1034406</v>
      </c>
      <c r="L12" s="24">
        <v>2932405</v>
      </c>
      <c r="M12" s="44">
        <v>0</v>
      </c>
      <c r="N12" s="44">
        <v>0</v>
      </c>
      <c r="O12" s="44">
        <v>0</v>
      </c>
      <c r="P12" s="44">
        <v>0</v>
      </c>
    </row>
    <row r="13" spans="1:16" x14ac:dyDescent="0.3">
      <c r="A13" t="s">
        <v>92</v>
      </c>
      <c r="B13" t="s">
        <v>5</v>
      </c>
      <c r="C13" s="44">
        <v>0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1">
        <v>1750865</v>
      </c>
      <c r="K13" s="41">
        <v>259305</v>
      </c>
      <c r="L13" s="41">
        <v>2902154</v>
      </c>
      <c r="M13" s="2">
        <v>6859</v>
      </c>
      <c r="N13" s="44">
        <v>0</v>
      </c>
      <c r="O13" s="44">
        <v>0</v>
      </c>
      <c r="P13" s="44">
        <v>0</v>
      </c>
    </row>
    <row r="14" spans="1:16" x14ac:dyDescent="0.3">
      <c r="A14" t="s">
        <v>92</v>
      </c>
      <c r="B14" t="s">
        <v>6</v>
      </c>
      <c r="C14" s="44">
        <v>0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1">
        <v>245898</v>
      </c>
      <c r="K14" s="41">
        <v>40757</v>
      </c>
      <c r="L14" s="41">
        <v>958213</v>
      </c>
      <c r="M14" s="2">
        <v>5951</v>
      </c>
      <c r="N14" s="2">
        <v>487</v>
      </c>
      <c r="O14" s="44">
        <v>0</v>
      </c>
      <c r="P14" s="44">
        <v>0</v>
      </c>
    </row>
    <row r="15" spans="1:16" x14ac:dyDescent="0.3">
      <c r="A15" t="s">
        <v>92</v>
      </c>
      <c r="B15" t="s">
        <v>7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1">
        <v>16511</v>
      </c>
      <c r="K15" s="41">
        <v>11186</v>
      </c>
      <c r="L15" s="41">
        <v>327123</v>
      </c>
      <c r="M15" s="2">
        <v>4798</v>
      </c>
      <c r="N15" s="2">
        <v>462</v>
      </c>
      <c r="O15" s="2">
        <v>244</v>
      </c>
      <c r="P15" s="44">
        <v>0</v>
      </c>
    </row>
    <row r="16" spans="1:16" x14ac:dyDescent="0.3">
      <c r="A16" t="s">
        <v>92</v>
      </c>
      <c r="B16" t="s">
        <v>8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1">
        <v>776</v>
      </c>
      <c r="K16" s="41">
        <v>1066</v>
      </c>
      <c r="L16" s="41">
        <v>114525</v>
      </c>
      <c r="M16" s="2">
        <v>2369</v>
      </c>
      <c r="N16" s="2">
        <v>562</v>
      </c>
      <c r="O16" s="2">
        <v>456</v>
      </c>
      <c r="P16" s="2">
        <v>455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P16"/>
  <sheetViews>
    <sheetView workbookViewId="0">
      <selection activeCell="E28" sqref="E28"/>
    </sheetView>
  </sheetViews>
  <sheetFormatPr baseColWidth="10" defaultRowHeight="14.4" x14ac:dyDescent="0.3"/>
  <cols>
    <col min="1" max="1" width="17.44140625" customWidth="1"/>
    <col min="2" max="2" width="2.33203125" bestFit="1" customWidth="1"/>
    <col min="3" max="16" width="17.44140625" bestFit="1" customWidth="1"/>
  </cols>
  <sheetData>
    <row r="1" spans="1:16" x14ac:dyDescent="0.3"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</row>
    <row r="2" spans="1:16" x14ac:dyDescent="0.3"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</row>
    <row r="3" spans="1:16" x14ac:dyDescent="0.3">
      <c r="A3" t="s">
        <v>0</v>
      </c>
      <c r="B3" t="s">
        <v>2</v>
      </c>
      <c r="C3" s="1">
        <v>61094534</v>
      </c>
      <c r="D3" s="44">
        <v>0</v>
      </c>
      <c r="E3" s="44">
        <v>0</v>
      </c>
      <c r="F3" s="44">
        <v>0</v>
      </c>
      <c r="G3" s="44">
        <v>0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  <c r="P3" s="44">
        <v>0</v>
      </c>
    </row>
    <row r="4" spans="1:16" x14ac:dyDescent="0.3">
      <c r="A4" t="s">
        <v>0</v>
      </c>
      <c r="B4" t="s">
        <v>3</v>
      </c>
      <c r="C4" s="37">
        <v>118445200</v>
      </c>
      <c r="D4" s="1">
        <v>26324763</v>
      </c>
      <c r="E4" s="44">
        <v>0</v>
      </c>
      <c r="F4" s="44">
        <v>0</v>
      </c>
      <c r="G4" s="44">
        <v>0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  <c r="P4" s="44">
        <v>0</v>
      </c>
    </row>
    <row r="5" spans="1:16" x14ac:dyDescent="0.3">
      <c r="A5" t="s">
        <v>0</v>
      </c>
      <c r="B5" t="s">
        <v>4</v>
      </c>
      <c r="C5" s="37">
        <v>156426761</v>
      </c>
      <c r="D5" s="37">
        <v>118933640</v>
      </c>
      <c r="E5" s="45">
        <v>119875589</v>
      </c>
      <c r="F5" s="44">
        <v>0</v>
      </c>
      <c r="G5" s="44">
        <v>0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</row>
    <row r="6" spans="1:16" x14ac:dyDescent="0.3">
      <c r="A6" t="s">
        <v>0</v>
      </c>
      <c r="B6" t="s">
        <v>5</v>
      </c>
      <c r="C6" s="41">
        <v>31701278</v>
      </c>
      <c r="D6" s="41">
        <v>35441809</v>
      </c>
      <c r="E6" s="41">
        <v>144353956</v>
      </c>
      <c r="F6" s="2">
        <v>334466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</row>
    <row r="7" spans="1:16" x14ac:dyDescent="0.3">
      <c r="A7" t="s">
        <v>0</v>
      </c>
      <c r="B7" t="s">
        <v>6</v>
      </c>
      <c r="C7" s="41">
        <v>2851182</v>
      </c>
      <c r="D7" s="41">
        <v>3304971</v>
      </c>
      <c r="E7" s="41">
        <v>65606771</v>
      </c>
      <c r="F7" s="2">
        <v>306635</v>
      </c>
      <c r="G7" s="2">
        <v>12876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</row>
    <row r="8" spans="1:16" x14ac:dyDescent="0.3">
      <c r="A8" t="s">
        <v>0</v>
      </c>
      <c r="B8" t="s">
        <v>7</v>
      </c>
      <c r="C8" s="41">
        <v>173836</v>
      </c>
      <c r="D8" s="41">
        <v>333193</v>
      </c>
      <c r="E8" s="41">
        <v>18895573</v>
      </c>
      <c r="F8" s="2">
        <v>217720</v>
      </c>
      <c r="G8" s="2">
        <v>9634</v>
      </c>
      <c r="H8" s="2">
        <v>6014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</row>
    <row r="9" spans="1:16" x14ac:dyDescent="0.3">
      <c r="A9" t="s">
        <v>0</v>
      </c>
      <c r="B9" t="s">
        <v>8</v>
      </c>
      <c r="C9" s="41">
        <v>11844</v>
      </c>
      <c r="D9" s="41">
        <v>35047</v>
      </c>
      <c r="E9" s="41">
        <v>3800095</v>
      </c>
      <c r="F9" s="2">
        <v>173189</v>
      </c>
      <c r="G9" s="2">
        <v>8997</v>
      </c>
      <c r="H9" s="2">
        <v>2431</v>
      </c>
      <c r="I9" s="2">
        <v>1948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</row>
    <row r="10" spans="1:16" x14ac:dyDescent="0.3">
      <c r="A10" t="s">
        <v>1</v>
      </c>
      <c r="B10" t="s">
        <v>2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1">
        <v>77128766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</row>
    <row r="11" spans="1:16" x14ac:dyDescent="0.3">
      <c r="A11" t="s">
        <v>1</v>
      </c>
      <c r="B11" t="s">
        <v>3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37">
        <v>199005955</v>
      </c>
      <c r="K11" s="1">
        <v>52727981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</row>
    <row r="12" spans="1:16" x14ac:dyDescent="0.3">
      <c r="A12" t="s">
        <v>1</v>
      </c>
      <c r="B12" t="s">
        <v>4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37">
        <v>600605074</v>
      </c>
      <c r="K12" s="37">
        <v>123034398</v>
      </c>
      <c r="L12" s="24">
        <v>310470947</v>
      </c>
      <c r="M12" s="44">
        <v>0</v>
      </c>
      <c r="N12" s="44">
        <v>0</v>
      </c>
      <c r="O12" s="44">
        <v>0</v>
      </c>
      <c r="P12" s="44">
        <v>0</v>
      </c>
    </row>
    <row r="13" spans="1:16" x14ac:dyDescent="0.3">
      <c r="A13" t="s">
        <v>1</v>
      </c>
      <c r="B13" t="s">
        <v>5</v>
      </c>
      <c r="C13" s="44">
        <v>0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1">
        <v>162961773</v>
      </c>
      <c r="K13" s="41">
        <v>28288929</v>
      </c>
      <c r="L13" s="41">
        <v>276205599</v>
      </c>
      <c r="M13" s="2">
        <v>401332</v>
      </c>
      <c r="N13" s="44">
        <v>0</v>
      </c>
      <c r="O13" s="44">
        <v>0</v>
      </c>
      <c r="P13" s="44">
        <v>0</v>
      </c>
    </row>
    <row r="14" spans="1:16" x14ac:dyDescent="0.3">
      <c r="A14" t="s">
        <v>1</v>
      </c>
      <c r="B14" t="s">
        <v>6</v>
      </c>
      <c r="C14" s="44">
        <v>0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1">
        <v>19834002</v>
      </c>
      <c r="K14" s="41">
        <v>4139768</v>
      </c>
      <c r="L14" s="41">
        <v>83777869</v>
      </c>
      <c r="M14" s="2">
        <v>311380</v>
      </c>
      <c r="N14" s="2">
        <v>36910</v>
      </c>
      <c r="O14" s="44">
        <v>0</v>
      </c>
      <c r="P14" s="44">
        <v>0</v>
      </c>
    </row>
    <row r="15" spans="1:16" x14ac:dyDescent="0.3">
      <c r="A15" t="s">
        <v>1</v>
      </c>
      <c r="B15" t="s">
        <v>7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1">
        <v>1228269</v>
      </c>
      <c r="K15" s="41">
        <v>1230321</v>
      </c>
      <c r="L15" s="41">
        <v>30097274</v>
      </c>
      <c r="M15" s="2">
        <v>231685</v>
      </c>
      <c r="N15" s="2">
        <v>31508</v>
      </c>
      <c r="O15" s="2">
        <v>19296</v>
      </c>
      <c r="P15" s="44">
        <v>0</v>
      </c>
    </row>
    <row r="16" spans="1:16" x14ac:dyDescent="0.3">
      <c r="A16" t="s">
        <v>1</v>
      </c>
      <c r="B16" t="s">
        <v>8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1">
        <v>74416</v>
      </c>
      <c r="K16" s="41">
        <v>86803</v>
      </c>
      <c r="L16" s="41">
        <v>10575704</v>
      </c>
      <c r="M16" s="2">
        <v>146763</v>
      </c>
      <c r="N16" s="2">
        <v>34507</v>
      </c>
      <c r="O16" s="2">
        <v>30952</v>
      </c>
      <c r="P16" s="2">
        <v>18138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3A2A5-5901-4994-B662-9DB0384AAE11}">
  <dimension ref="A1:C8"/>
  <sheetViews>
    <sheetView workbookViewId="0">
      <selection activeCell="C3" sqref="C3"/>
    </sheetView>
  </sheetViews>
  <sheetFormatPr baseColWidth="10" defaultRowHeight="14.4" x14ac:dyDescent="0.3"/>
  <cols>
    <col min="1" max="1" width="18" bestFit="1" customWidth="1"/>
    <col min="2" max="2" width="24.44140625" bestFit="1" customWidth="1"/>
    <col min="3" max="3" width="29" bestFit="1" customWidth="1"/>
  </cols>
  <sheetData>
    <row r="1" spans="1:3" x14ac:dyDescent="0.3">
      <c r="B1" s="4" t="s">
        <v>78</v>
      </c>
      <c r="C1" s="4" t="s">
        <v>79</v>
      </c>
    </row>
    <row r="2" spans="1:3" x14ac:dyDescent="0.3">
      <c r="A2" s="4" t="s">
        <v>0</v>
      </c>
      <c r="B2">
        <f>SUM(pt_surface!C3:E9)-pt_surface!C3-pt_surface!D4-pt_surface!E5</f>
        <v>700315156</v>
      </c>
      <c r="C2">
        <f>SUM(pt_surface!C3:E9)-pt_surface!C3-pt_surface!D4-pt_surface!E5-pt_surface!D5-pt_surface!C5-pt_surface!C4</f>
        <v>306509555</v>
      </c>
    </row>
    <row r="3" spans="1:3" x14ac:dyDescent="0.3">
      <c r="A3" s="4" t="s">
        <v>1</v>
      </c>
      <c r="B3">
        <f>SUM(pt_surface!J10:L16)-pt_surface!J10-pt_surface!K11-pt_surface!L12</f>
        <v>1541146154</v>
      </c>
      <c r="C3">
        <f>SUM(pt_surface!J10:L16)-pt_surface!L12-pt_surface!K12-pt_surface!J12-pt_surface!K11-pt_surface!J11-pt_surface!J10</f>
        <v>618500727</v>
      </c>
    </row>
    <row r="4" spans="1:3" x14ac:dyDescent="0.3">
      <c r="A4" s="4" t="s">
        <v>53</v>
      </c>
      <c r="B4">
        <f>SUM(B2:B3)</f>
        <v>2241461310</v>
      </c>
      <c r="C4">
        <f>SUM(C2:C3)</f>
        <v>925010282</v>
      </c>
    </row>
    <row r="5" spans="1:3" x14ac:dyDescent="0.3">
      <c r="A5" s="4"/>
    </row>
    <row r="6" spans="1:3" x14ac:dyDescent="0.3">
      <c r="A6" s="4" t="s">
        <v>82</v>
      </c>
      <c r="B6">
        <f>B4/31</f>
        <v>72305203.548387095</v>
      </c>
      <c r="C6">
        <f>C4/31</f>
        <v>29839041.35483871</v>
      </c>
    </row>
    <row r="7" spans="1:3" x14ac:dyDescent="0.3">
      <c r="A7" s="4" t="s">
        <v>52</v>
      </c>
      <c r="B7" s="3">
        <f>B4/SUM(pt_surface!$C$3:$P$16)</f>
        <v>0.77521117648690652</v>
      </c>
      <c r="C7" s="3">
        <f>C4/SUM(pt_surface!$C$3:$P$16)</f>
        <v>0.31991554160339497</v>
      </c>
    </row>
    <row r="8" spans="1:3" x14ac:dyDescent="0.3">
      <c r="A8" s="4" t="s">
        <v>83</v>
      </c>
      <c r="B8" s="39">
        <f>B6/SUM(pt_surface!$C$3:$P$16)</f>
        <v>2.5006812144738919E-2</v>
      </c>
      <c r="C8" s="39">
        <f>C6/SUM(pt_surface!$C$3:$P$16)</f>
        <v>1.0319856180754676E-2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53091-3315-48A2-AE8C-C2DDF145B6D0}">
  <dimension ref="A1:C8"/>
  <sheetViews>
    <sheetView workbookViewId="0">
      <selection activeCell="G15" sqref="G15"/>
    </sheetView>
  </sheetViews>
  <sheetFormatPr baseColWidth="10" defaultRowHeight="14.4" x14ac:dyDescent="0.3"/>
  <cols>
    <col min="1" max="1" width="17.44140625" bestFit="1" customWidth="1"/>
    <col min="2" max="2" width="23.6640625" bestFit="1" customWidth="1"/>
    <col min="3" max="3" width="28" bestFit="1" customWidth="1"/>
  </cols>
  <sheetData>
    <row r="1" spans="1:3" x14ac:dyDescent="0.3">
      <c r="B1" s="4" t="s">
        <v>78</v>
      </c>
      <c r="C1" s="4" t="s">
        <v>79</v>
      </c>
    </row>
    <row r="2" spans="1:3" x14ac:dyDescent="0.3">
      <c r="A2" s="4" t="s">
        <v>0</v>
      </c>
      <c r="B2" s="9">
        <f>SUM(pt_logement!C3:E9)-pt_logement!C3-pt_logement!D4-pt_logement!E5</f>
        <v>11943267</v>
      </c>
      <c r="C2" s="9">
        <f>SUM(pt_logement!C3:E9)-pt_logement!C3-pt_logement!D4-pt_logement!E5-pt_logement!D5-pt_logement!C5-pt_logement!C4</f>
        <v>5004234</v>
      </c>
    </row>
    <row r="3" spans="1:3" x14ac:dyDescent="0.3">
      <c r="A3" s="4" t="s">
        <v>1</v>
      </c>
      <c r="B3" s="9">
        <f>SUM(pt_logement!J10:L16)-pt_logement!J10-pt_logement!K11-pt_logement!L12</f>
        <v>15053234</v>
      </c>
      <c r="C3" s="9">
        <f>SUM(pt_logement!J10:L16)-pt_logement!L12-pt_logement!K12-pt_logement!J12-pt_logement!K11-pt_logement!J11-pt_logement!J10</f>
        <v>6628379</v>
      </c>
    </row>
    <row r="4" spans="1:3" x14ac:dyDescent="0.3">
      <c r="A4" s="4" t="s">
        <v>53</v>
      </c>
      <c r="B4" s="9">
        <f>SUM(B2:B3)</f>
        <v>26996501</v>
      </c>
      <c r="C4" s="9">
        <f>SUM(C2:C3)</f>
        <v>11632613</v>
      </c>
    </row>
    <row r="5" spans="1:3" x14ac:dyDescent="0.3">
      <c r="A5" s="4"/>
    </row>
    <row r="6" spans="1:3" x14ac:dyDescent="0.3">
      <c r="A6" s="4" t="s">
        <v>82</v>
      </c>
      <c r="B6" s="9">
        <f>B4/31</f>
        <v>870854.87096774194</v>
      </c>
      <c r="C6" s="9">
        <f>C4/31</f>
        <v>375245.58064516127</v>
      </c>
    </row>
    <row r="7" spans="1:3" x14ac:dyDescent="0.3">
      <c r="A7" s="4" t="s">
        <v>52</v>
      </c>
      <c r="B7" s="3">
        <f>B4/SUM(pt_logement!$C$3:$P$16)</f>
        <v>0.78451030070573813</v>
      </c>
      <c r="C7" s="3">
        <f>C4/SUM(pt_logement!$C$3:$P$16)</f>
        <v>0.33804027872439762</v>
      </c>
    </row>
    <row r="8" spans="1:3" x14ac:dyDescent="0.3">
      <c r="A8" s="4" t="s">
        <v>83</v>
      </c>
      <c r="B8" s="39">
        <f>B6/SUM(pt_logement!$C$3:$P$16)</f>
        <v>2.5306783893733489E-2</v>
      </c>
      <c r="C8" s="39">
        <f>C6/SUM(pt_logement!$C$3:$P$16)</f>
        <v>1.0904525120141858E-2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LEGEND</vt:lpstr>
      <vt:lpstr>gisement_surface_AB</vt:lpstr>
      <vt:lpstr>gisement_surface_AB_C2</vt:lpstr>
      <vt:lpstr>gisement_surface_ABC</vt:lpstr>
      <vt:lpstr>pt_logement</vt:lpstr>
      <vt:lpstr>Feuil1</vt:lpstr>
      <vt:lpstr>pt_surface</vt:lpstr>
      <vt:lpstr>gisement_reno_surface</vt:lpstr>
      <vt:lpstr>gisement_reno_logement</vt:lpstr>
      <vt:lpstr>gisement_dem_surface</vt:lpstr>
      <vt:lpstr>gisement_dem_logement</vt:lpstr>
      <vt:lpstr>gisement_logement_AB</vt:lpstr>
      <vt:lpstr>gisement_logement_AB_C2</vt:lpstr>
      <vt:lpstr>gisement_logement_ABC</vt:lpstr>
      <vt:lpstr>scenarios_ADEME</vt:lpstr>
      <vt:lpstr>taille_mediane_par_dpe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PELLAN Marin</cp:lastModifiedBy>
  <dcterms:created xsi:type="dcterms:W3CDTF">2023-07-26T06:52:05Z</dcterms:created>
  <dcterms:modified xsi:type="dcterms:W3CDTF">2023-08-09T07:33:53Z</dcterms:modified>
</cp:coreProperties>
</file>