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LCI/"/>
    </mc:Choice>
  </mc:AlternateContent>
  <xr:revisionPtr revIDLastSave="1851" documentId="13_ncr:1_{17590E98-A912-491C-BCC5-D9C2D05A6F30}" xr6:coauthVersionLast="47" xr6:coauthVersionMax="47" xr10:uidLastSave="{935CDB36-B990-47A9-9FF3-454244CC0D52}"/>
  <bookViews>
    <workbookView minimized="1" xWindow="3240" yWindow="3240" windowWidth="21600" windowHeight="11175" activeTab="2" xr2:uid="{00000000-000D-0000-FFFF-FFFF00000000}"/>
  </bookViews>
  <sheets>
    <sheet name="README_" sheetId="1" r:id="rId1"/>
    <sheet name="EI" sheetId="30" r:id="rId2"/>
    <sheet name="DEFAULT_VALUES" sheetId="24" r:id="rId3"/>
    <sheet name="PARAMETRIZATION_VALUES" sheetId="33" r:id="rId4"/>
    <sheet name="Feuil1" sheetId="31" state="hidden" r:id="rId5"/>
    <sheet name="PARAMETRIZATION_TAB" sheetId="3" r:id="rId6"/>
    <sheet name="Arch_refinery" sheetId="26" r:id="rId7"/>
    <sheet name="PARAM_VALUE" sheetId="25" state="hidden" r:id="rId8"/>
    <sheet name="Process" sheetId="35" r:id="rId9"/>
    <sheet name="Flowsheet_Au" sheetId="32" r:id="rId10"/>
    <sheet name="Flowsheet_Cu" sheetId="28" r:id="rId11"/>
    <sheet name="Flowsheet_Ni" sheetId="27" r:id="rId12"/>
    <sheet name="NorgateHaque2012" sheetId="19" r:id="rId13"/>
    <sheet name="NorgateHaque2010" sheetId="20" state="hidden" r:id="rId14"/>
    <sheet name="NorgateJahanshahi2010" sheetId="21" state="hidden" r:id="rId15"/>
    <sheet name="Argon" sheetId="4" state="hidden" r:id="rId16"/>
    <sheet name="Parker2016_U" sheetId="22" state="hidden" r:id="rId17"/>
    <sheet name="Roy2025_Ni" sheetId="23" state="hidden" r:id="rId18"/>
    <sheet name="Islam2025" sheetId="5" state="hidden" r:id="rId19"/>
    <sheet name="Bradley2025" sheetId="6" state="hidden" r:id="rId20"/>
    <sheet name="Roy2025" sheetId="7" state="hidden" r:id="rId21"/>
    <sheet name="Lu2023" sheetId="8" state="hidden" r:id="rId22"/>
    <sheet name="Meissner2021" sheetId="9" state="hidden" r:id="rId23"/>
    <sheet name="Calvo2022" sheetId="10" state="hidden" r:id="rId24"/>
    <sheet name="Harpeccht2021" sheetId="11" r:id="rId25"/>
    <sheet name="Wei2020" sheetId="12" r:id="rId26"/>
    <sheet name="Vandervoet2019" sheetId="13" state="hidden" r:id="rId27"/>
    <sheet name="Kuipers2018" sheetId="14" state="hidden" r:id="rId28"/>
    <sheet name="Parker2016" sheetId="15" state="hidden" r:id="rId29"/>
    <sheet name="Calvo2016" sheetId="16" state="hidden" r:id="rId30"/>
    <sheet name="Koppelaar2016" sheetId="17" state="hidden" r:id="rId31"/>
    <sheet name="Northey2013" sheetId="18" r:id="rId32"/>
  </sheets>
  <definedNames>
    <definedName name="_xlnm._FilterDatabase" localSheetId="29" hidden="1">Calvo2016!$A$1:$O$1</definedName>
    <definedName name="_xlnm._FilterDatabase" localSheetId="2" hidden="1">DEFAULT_VALUES!$A$1:$AL$1</definedName>
    <definedName name="_xlnm._FilterDatabase" localSheetId="1" hidden="1">EI!$A$1:$G$159</definedName>
    <definedName name="_xlnm._FilterDatabase" localSheetId="4" hidden="1">Feuil1!$A$1:$U$33</definedName>
    <definedName name="_xlnm._FilterDatabase" localSheetId="9" hidden="1">Flowsheet_Au!$A$28:$C$28</definedName>
    <definedName name="_xlnm._FilterDatabase" localSheetId="7" hidden="1">PARAM_VALUE!$A$1:$AL$43</definedName>
    <definedName name="_xlnm._FilterDatabase" localSheetId="5" hidden="1">PARAMETRIZATION_TAB!$A$1:$N$1</definedName>
    <definedName name="_xlnm._FilterDatabase" localSheetId="3" hidden="1">PARAMETRIZATION_VALUES!$A$1:$I$1</definedName>
    <definedName name="_xlnm._FilterDatabase" localSheetId="8" hidden="1">Process!$A$1:$D$1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33" l="1"/>
  <c r="H43" i="33"/>
  <c r="H31" i="33"/>
  <c r="H32" i="33"/>
  <c r="H33" i="33"/>
  <c r="H34" i="33"/>
  <c r="H35" i="33"/>
  <c r="H36" i="33"/>
  <c r="H37" i="33"/>
  <c r="H38" i="33"/>
  <c r="H39" i="33"/>
  <c r="H40" i="33"/>
  <c r="H41" i="33"/>
  <c r="H30" i="33"/>
  <c r="R29" i="31" l="1"/>
  <c r="I40" i="30"/>
  <c r="I18" i="30"/>
  <c r="I14" i="30"/>
  <c r="I8" i="30"/>
  <c r="D26" i="30"/>
  <c r="D23" i="30"/>
  <c r="D22" i="30"/>
  <c r="D21" i="30"/>
  <c r="D19" i="30"/>
  <c r="D16" i="30"/>
  <c r="D14" i="30"/>
  <c r="D13" i="30"/>
  <c r="D12" i="30"/>
  <c r="D9" i="30"/>
  <c r="D7" i="30"/>
  <c r="D6" i="30"/>
  <c r="I66" i="30"/>
  <c r="I63" i="30"/>
  <c r="I113" i="30"/>
  <c r="I111" i="30"/>
  <c r="D116" i="30"/>
  <c r="D108" i="30"/>
  <c r="I138" i="30"/>
  <c r="I137" i="30"/>
  <c r="I136" i="30"/>
  <c r="I112" i="30"/>
  <c r="I110" i="30"/>
  <c r="I64" i="30"/>
  <c r="I62" i="30"/>
  <c r="I17" i="30"/>
  <c r="I15" i="30"/>
  <c r="F3" i="4"/>
  <c r="F4" i="4"/>
  <c r="F5" i="4"/>
  <c r="F6" i="4"/>
  <c r="F7" i="4"/>
  <c r="F8" i="4"/>
  <c r="F9" i="4"/>
  <c r="F10" i="4"/>
  <c r="F11" i="4"/>
  <c r="F12" i="4"/>
  <c r="F13" i="4"/>
  <c r="F14" i="4"/>
  <c r="F15" i="4"/>
  <c r="F2" i="4"/>
  <c r="U19" i="4"/>
  <c r="U18" i="4"/>
  <c r="U17" i="4"/>
  <c r="U16" i="4"/>
  <c r="U15" i="4"/>
  <c r="U14" i="4"/>
  <c r="U13" i="4"/>
  <c r="T19" i="4"/>
  <c r="T18" i="4"/>
  <c r="T17" i="4"/>
  <c r="W17" i="4" s="1"/>
  <c r="T16" i="4"/>
  <c r="T15" i="4"/>
  <c r="T14" i="4"/>
  <c r="T13" i="4"/>
  <c r="U12" i="4"/>
  <c r="W12" i="4" s="1"/>
  <c r="U11" i="4"/>
  <c r="U10" i="4"/>
  <c r="U9" i="4"/>
  <c r="U8" i="4"/>
  <c r="U7" i="4"/>
  <c r="U6" i="4"/>
  <c r="T12" i="4"/>
  <c r="T11" i="4"/>
  <c r="T10" i="4"/>
  <c r="W10" i="4" s="1"/>
  <c r="T9" i="4"/>
  <c r="T8" i="4"/>
  <c r="T7" i="4"/>
  <c r="T6" i="4"/>
  <c r="Q33" i="31"/>
  <c r="Q32" i="31"/>
  <c r="Q30" i="31"/>
  <c r="Q29" i="31"/>
  <c r="Q24" i="31"/>
  <c r="Q20" i="31"/>
  <c r="Q15" i="31"/>
  <c r="Q11" i="31"/>
  <c r="Q7" i="31"/>
  <c r="Q27" i="31"/>
  <c r="Q28" i="31"/>
  <c r="Q5" i="31"/>
  <c r="Q3" i="31"/>
  <c r="Q2" i="31"/>
  <c r="M57" i="24"/>
  <c r="M56" i="24"/>
  <c r="M55" i="24"/>
  <c r="M54" i="24"/>
  <c r="M53" i="24"/>
  <c r="M52" i="24"/>
  <c r="M6" i="24"/>
  <c r="M51" i="24"/>
  <c r="M50" i="24"/>
  <c r="M49" i="24"/>
  <c r="M48" i="24"/>
  <c r="M47" i="24"/>
  <c r="M46" i="24"/>
  <c r="M45" i="24"/>
  <c r="M44" i="24"/>
  <c r="M43" i="24"/>
  <c r="M42" i="24"/>
  <c r="M41" i="24"/>
  <c r="M40" i="24"/>
  <c r="M39" i="24"/>
  <c r="M38" i="24"/>
  <c r="M37" i="24"/>
  <c r="M36" i="24"/>
  <c r="M35" i="24"/>
  <c r="M34" i="24"/>
  <c r="M33" i="24"/>
  <c r="M32" i="24"/>
  <c r="M31" i="24"/>
  <c r="M30" i="24"/>
  <c r="M29" i="24"/>
  <c r="M28" i="24"/>
  <c r="M27" i="24"/>
  <c r="M26" i="24"/>
  <c r="M25" i="24"/>
  <c r="M24" i="24"/>
  <c r="M23" i="24"/>
  <c r="M22" i="24"/>
  <c r="M21" i="24"/>
  <c r="M20" i="24"/>
  <c r="M19" i="24"/>
  <c r="M18" i="24"/>
  <c r="M17" i="24"/>
  <c r="M16" i="24"/>
  <c r="M15" i="24"/>
  <c r="M14" i="24"/>
  <c r="M13" i="24"/>
  <c r="M12" i="24"/>
  <c r="M11" i="24"/>
  <c r="M2" i="24"/>
  <c r="M5" i="24"/>
  <c r="M4" i="24"/>
  <c r="M3" i="24"/>
  <c r="M10" i="24"/>
  <c r="M9" i="24"/>
  <c r="M8" i="24"/>
  <c r="M7" i="24"/>
  <c r="M184" i="24"/>
  <c r="I130" i="30" l="1"/>
  <c r="I104" i="30"/>
  <c r="I2" i="30"/>
  <c r="W18" i="4"/>
  <c r="W11" i="4"/>
  <c r="W19" i="4"/>
  <c r="W13" i="4"/>
  <c r="W6" i="4"/>
  <c r="W14" i="4"/>
  <c r="W7" i="4"/>
  <c r="W15" i="4"/>
  <c r="W8" i="4"/>
  <c r="W9" i="4"/>
  <c r="W16" i="4"/>
  <c r="R6" i="31"/>
  <c r="M165" i="24"/>
  <c r="M164" i="24"/>
  <c r="M163" i="24"/>
  <c r="M162" i="24"/>
  <c r="H13" i="8"/>
</calcChain>
</file>

<file path=xl/sharedStrings.xml><?xml version="1.0" encoding="utf-8"?>
<sst xmlns="http://schemas.openxmlformats.org/spreadsheetml/2006/main" count="6808" uniqueCount="1348">
  <si>
    <r>
      <rPr>
        <b/>
        <sz val="11"/>
        <color theme="1"/>
        <rFont val="Aptos Narrow"/>
        <family val="2"/>
      </rPr>
      <t>Title of the article</t>
    </r>
    <r>
      <rPr>
        <sz val="11"/>
        <color theme="1"/>
        <rFont val="Aptos Narrow"/>
        <family val="2"/>
      </rPr>
      <t xml:space="preserve">: </t>
    </r>
  </si>
  <si>
    <r>
      <rPr>
        <b/>
        <sz val="11"/>
        <color theme="1"/>
        <rFont val="Aptos Narrow"/>
        <family val="2"/>
      </rPr>
      <t>Authors</t>
    </r>
    <r>
      <rPr>
        <sz val="11"/>
        <color theme="1"/>
        <rFont val="Aptos Narrow"/>
        <family val="2"/>
      </rPr>
      <t xml:space="preserve">: </t>
    </r>
  </si>
  <si>
    <r>
      <rPr>
        <b/>
        <sz val="11"/>
        <color theme="1"/>
        <rFont val="Aptos Narrow"/>
        <family val="2"/>
      </rPr>
      <t>Affiliations</t>
    </r>
    <r>
      <rPr>
        <sz val="11"/>
        <color theme="1"/>
        <rFont val="Aptos Narrow"/>
        <family val="2"/>
      </rPr>
      <t xml:space="preserve">: </t>
    </r>
  </si>
  <si>
    <t>TAB_NAME</t>
  </si>
  <si>
    <t>SOURCE</t>
  </si>
  <si>
    <t>Northey2014</t>
  </si>
  <si>
    <t>Copper</t>
  </si>
  <si>
    <t>https://linkinghub.elsevier.com/retrieve/pii/S0921344913002127</t>
  </si>
  <si>
    <t>Harpeccht2021</t>
  </si>
  <si>
    <t>Copper, nickel, lead, zinc</t>
  </si>
  <si>
    <t>Harpprecht, Carina, Lauran van Oers, Stephen A. Northey, Yongxiang Yang, and Bernhard Steubing. 2021. “Environmental Impacts of Key Metals’ Supply and Low-Carbon Technologies Are Likely to Decrease in the Future.” Journal of Industrial Ecology 25 (6): 1543–59. https://doi.org/10.1111/jiec.13181.</t>
  </si>
  <si>
    <t>Vandevoet2019</t>
  </si>
  <si>
    <t>Van der Voet, Ester, Lauran Van Oers, Miranda Verboon, and Koen Kuipers. 2019. “Environmental Implications of Future Demand Scenarios for Metals: Methodology and Application to the Case of Seven Major Metals.” Journal of Industrial Ecology 23 (1): 141–55. https://doi.org/10.1111/jiec.12722.</t>
  </si>
  <si>
    <t>Calvo2022</t>
  </si>
  <si>
    <t>Gold</t>
  </si>
  <si>
    <t>https://doi.org/10.1016/j.envdev.2021.100683</t>
  </si>
  <si>
    <t>Kuipers2018</t>
  </si>
  <si>
    <t>https://linkinghub.elsevier.com/retrieve/pii/S0959378017306556</t>
  </si>
  <si>
    <t>Argon</t>
  </si>
  <si>
    <t>Copper, nickel</t>
  </si>
  <si>
    <t>https://publications.anl.gov/anlpubs/2022/12/178670.pdf</t>
  </si>
  <si>
    <t>Calvo2016</t>
  </si>
  <si>
    <t>Copper, gold, zinc</t>
  </si>
  <si>
    <t>https://www.mdpi.com/2079-9276/5/4/36</t>
  </si>
  <si>
    <t>Koppelar2016</t>
  </si>
  <si>
    <t>http://link.springer.com/10.1007/s41247-016-0012-x</t>
  </si>
  <si>
    <t>Norgate2012</t>
  </si>
  <si>
    <t>https://linkinghub.elsevier.com/retrieve/pii/S0959652612000947</t>
  </si>
  <si>
    <t>Norgate2010a</t>
  </si>
  <si>
    <t>https://linkinghub.elsevier.com/retrieve/pii/S0892687509002568</t>
  </si>
  <si>
    <t>Roy2025</t>
  </si>
  <si>
    <t>Nickel</t>
  </si>
  <si>
    <t>https://www.nature.com/articles/s44296-025-00059-7#Sec9</t>
  </si>
  <si>
    <t>Wei2020</t>
  </si>
  <si>
    <t>https://www.mdpi.com/1996-1073/13/21/5664</t>
  </si>
  <si>
    <t>Norgate2010b</t>
  </si>
  <si>
    <t>Iron, bauxite, copper</t>
  </si>
  <si>
    <t>https://linkinghub.elsevier.com/retrieve/pii/S0959652609003199</t>
  </si>
  <si>
    <t>Source</t>
  </si>
  <si>
    <t>Metal</t>
  </si>
  <si>
    <t>Reference flow</t>
  </si>
  <si>
    <t>Reference point</t>
  </si>
  <si>
    <t>Region</t>
  </si>
  <si>
    <t>Parameters value</t>
  </si>
  <si>
    <t>Parameters unit</t>
  </si>
  <si>
    <t>Type</t>
  </si>
  <si>
    <t>Unit</t>
  </si>
  <si>
    <t>Value</t>
  </si>
  <si>
    <t>Comment</t>
  </si>
  <si>
    <t>Mining</t>
  </si>
  <si>
    <t>Not specified</t>
  </si>
  <si>
    <t>Ore grade</t>
  </si>
  <si>
    <t>%</t>
  </si>
  <si>
    <t>Energy use</t>
  </si>
  <si>
    <t>Beneficiation</t>
  </si>
  <si>
    <t>Default value</t>
  </si>
  <si>
    <t>-</t>
  </si>
  <si>
    <t>Ammonium nitrate</t>
  </si>
  <si>
    <t>t/t Cu</t>
  </si>
  <si>
    <t>Lime</t>
  </si>
  <si>
    <t>Road salt</t>
  </si>
  <si>
    <t>Salt solution</t>
  </si>
  <si>
    <t>t/t Ni</t>
  </si>
  <si>
    <t>Steel</t>
  </si>
  <si>
    <t>Sulfuric acid</t>
  </si>
  <si>
    <t>Soda ash</t>
  </si>
  <si>
    <t>Bradley2025</t>
  </si>
  <si>
    <t>Mining - OC</t>
  </si>
  <si>
    <t>Fuel</t>
  </si>
  <si>
    <t>GJ/t</t>
  </si>
  <si>
    <t>Extracted from Table S1.16. Also data for smelting and refining if needed</t>
  </si>
  <si>
    <t>Mining - UG</t>
  </si>
  <si>
    <t>Mining - Combined OC and UG</t>
  </si>
  <si>
    <t>Mining - DSM</t>
  </si>
  <si>
    <t>Electricity</t>
  </si>
  <si>
    <t>Milling and beneficiation</t>
  </si>
  <si>
    <t>Mining - ore</t>
  </si>
  <si>
    <t>Transport fuel</t>
  </si>
  <si>
    <t>?</t>
  </si>
  <si>
    <t>World</t>
  </si>
  <si>
    <t>Energy use, electricity use and diesel use</t>
  </si>
  <si>
    <t>Formula</t>
  </si>
  <si>
    <t>E = 25.65*G^-0.366</t>
  </si>
  <si>
    <t>Extracted from Figure 3</t>
  </si>
  <si>
    <t>E = 169.63*G^-0.275</t>
  </si>
  <si>
    <t>Zinc</t>
  </si>
  <si>
    <t>E = 47.15*G^-0.786</t>
  </si>
  <si>
    <t>Extracted from figures</t>
  </si>
  <si>
    <t>E = 15.63*G^-0.53</t>
  </si>
  <si>
    <t>Lu2023</t>
  </si>
  <si>
    <t>Concentration</t>
  </si>
  <si>
    <t>China</t>
  </si>
  <si>
    <t>Crude oil</t>
  </si>
  <si>
    <t>MJ/t Cu concentrate</t>
  </si>
  <si>
    <t>Extracted from Table 1</t>
  </si>
  <si>
    <t>Hard coal</t>
  </si>
  <si>
    <t>Lignite</t>
  </si>
  <si>
    <t>Natural gas</t>
  </si>
  <si>
    <t>Uranium</t>
  </si>
  <si>
    <t>Primary energy from hydro</t>
  </si>
  <si>
    <t>Primary energy from solar</t>
  </si>
  <si>
    <t>Primary energy from wind</t>
  </si>
  <si>
    <t>OP ore</t>
  </si>
  <si>
    <t>kg/t Cu concentrate</t>
  </si>
  <si>
    <t>UG ore</t>
  </si>
  <si>
    <t>Limestone</t>
  </si>
  <si>
    <t>Water consumption</t>
  </si>
  <si>
    <t>Overburden</t>
  </si>
  <si>
    <t>Tailings</t>
  </si>
  <si>
    <t>Waste rock</t>
  </si>
  <si>
    <t>Meissner2021, Islam2025</t>
  </si>
  <si>
    <t>m3/t</t>
  </si>
  <si>
    <t>208,4</t>
  </si>
  <si>
    <t>Extracted from Table 2</t>
  </si>
  <si>
    <t>Refinery</t>
  </si>
  <si>
    <t>Iron ore</t>
  </si>
  <si>
    <t>240,9</t>
  </si>
  <si>
    <t>193,8</t>
  </si>
  <si>
    <t>11,93</t>
  </si>
  <si>
    <t>MetalliCan</t>
  </si>
  <si>
    <t>Ore processed</t>
  </si>
  <si>
    <t>Canada</t>
  </si>
  <si>
    <t>Extracted value</t>
  </si>
  <si>
    <t>Freshwater withdrawn for use intensity</t>
  </si>
  <si>
    <t>m3 of water/t of ore processed</t>
  </si>
  <si>
    <t>0,0</t>
  </si>
  <si>
    <t>Detour Lake</t>
  </si>
  <si>
    <t>Intermediate metal produced</t>
  </si>
  <si>
    <t>m3 of water/oz of gold</t>
  </si>
  <si>
    <t>0,1</t>
  </si>
  <si>
    <t>0,3</t>
  </si>
  <si>
    <t>Meadowbank</t>
  </si>
  <si>
    <t>2,2</t>
  </si>
  <si>
    <t>Meliadine</t>
  </si>
  <si>
    <t>1,4</t>
  </si>
  <si>
    <t>Electricity intensity</t>
  </si>
  <si>
    <t>kWh/t ore processed</t>
  </si>
  <si>
    <t>32,7</t>
  </si>
  <si>
    <t>Energy intensity</t>
  </si>
  <si>
    <t>GJ/t ore processed</t>
  </si>
  <si>
    <t>42,9</t>
  </si>
  <si>
    <t>1,0</t>
  </si>
  <si>
    <t>69,2</t>
  </si>
  <si>
    <t>GJ/t ore mined</t>
  </si>
  <si>
    <t>1,5</t>
  </si>
  <si>
    <t>Island</t>
  </si>
  <si>
    <t>GJ/oz gold produced</t>
  </si>
  <si>
    <t>4,9</t>
  </si>
  <si>
    <t>0,5</t>
  </si>
  <si>
    <t>Young-Davidson</t>
  </si>
  <si>
    <t>7,2</t>
  </si>
  <si>
    <t>Water withdrawal intensity</t>
  </si>
  <si>
    <t>m3/oz produced</t>
  </si>
  <si>
    <t>23,7</t>
  </si>
  <si>
    <t>Hemlo (Williams)</t>
  </si>
  <si>
    <t>m3/t of ore processed</t>
  </si>
  <si>
    <t>2,64</t>
  </si>
  <si>
    <t>Water consumption intensity</t>
  </si>
  <si>
    <t>7,37</t>
  </si>
  <si>
    <t>0,82</t>
  </si>
  <si>
    <t>6,53</t>
  </si>
  <si>
    <t>GJ/t of ore processed</t>
  </si>
  <si>
    <t>0,73</t>
  </si>
  <si>
    <t>Water intensity</t>
  </si>
  <si>
    <t>ML/thousand geo</t>
  </si>
  <si>
    <t>4,3</t>
  </si>
  <si>
    <t>Éléonore</t>
  </si>
  <si>
    <t>ML/t ore processed</t>
  </si>
  <si>
    <t>0,6</t>
  </si>
  <si>
    <t>18,9</t>
  </si>
  <si>
    <t>Porcupine</t>
  </si>
  <si>
    <t>1,7</t>
  </si>
  <si>
    <t>m3/t milled</t>
  </si>
  <si>
    <t>Eagle River</t>
  </si>
  <si>
    <t>0,4</t>
  </si>
  <si>
    <t>Kiena</t>
  </si>
  <si>
    <t>17,0</t>
  </si>
  <si>
    <t>GJ/t milled</t>
  </si>
  <si>
    <t>GJ/oz</t>
  </si>
  <si>
    <t>5,7</t>
  </si>
  <si>
    <t>1,1</t>
  </si>
  <si>
    <t>5,8</t>
  </si>
  <si>
    <t>Gold, silver</t>
  </si>
  <si>
    <t>Canadian Malartic</t>
  </si>
  <si>
    <t>0,9</t>
  </si>
  <si>
    <t>Goldex</t>
  </si>
  <si>
    <t>12,9</t>
  </si>
  <si>
    <t>Macassa</t>
  </si>
  <si>
    <t>0,8</t>
  </si>
  <si>
    <t>34,4</t>
  </si>
  <si>
    <t>62,0</t>
  </si>
  <si>
    <t>413,4</t>
  </si>
  <si>
    <t>2,6</t>
  </si>
  <si>
    <t>MWh/t of ore processed</t>
  </si>
  <si>
    <t>Red Lake</t>
  </si>
  <si>
    <t>1,6</t>
  </si>
  <si>
    <t>GJ/oz of gold produced</t>
  </si>
  <si>
    <t>12,0</t>
  </si>
  <si>
    <t>3,1</t>
  </si>
  <si>
    <t>Musselwhite</t>
  </si>
  <si>
    <t>Gold, zinc, copper, silver, cadmium</t>
  </si>
  <si>
    <t>LaRonde</t>
  </si>
  <si>
    <t>4,8</t>
  </si>
  <si>
    <t>176,5</t>
  </si>
  <si>
    <t>Nickel, copper, platinum group metals, cobalt</t>
  </si>
  <si>
    <t>m3/t ore</t>
  </si>
  <si>
    <t>Nunavik Nickel</t>
  </si>
  <si>
    <t>kWt/ore milled</t>
  </si>
  <si>
    <t>22,5</t>
  </si>
  <si>
    <t>Aluminium</t>
  </si>
  <si>
    <t>Metal extraction (Hall-Heroult)</t>
  </si>
  <si>
    <t>Extracted from Table 2 (mean value)</t>
  </si>
  <si>
    <t>Metal extraction (pyrometallurgical)</t>
  </si>
  <si>
    <t>Concentration and smelting</t>
  </si>
  <si>
    <t>Ore grade and grind size</t>
  </si>
  <si>
    <t>MJ/kg</t>
  </si>
  <si>
    <t>602-1165</t>
  </si>
  <si>
    <t>Extracted from Table 3 (range value based on grind size). Values for smelting and leaching also available</t>
  </si>
  <si>
    <t>249-474</t>
  </si>
  <si>
    <t>131-244</t>
  </si>
  <si>
    <t>72-129</t>
  </si>
  <si>
    <t>43-71</t>
  </si>
  <si>
    <t>33-52</t>
  </si>
  <si>
    <t>Iron</t>
  </si>
  <si>
    <t>Metal extraction (blast furnace)</t>
  </si>
  <si>
    <t>Lead</t>
  </si>
  <si>
    <t>Metal extraction (pyrometallurgical - blast furnace)</t>
  </si>
  <si>
    <t>791-1421</t>
  </si>
  <si>
    <t>366-618</t>
  </si>
  <si>
    <t>224-350</t>
  </si>
  <si>
    <t>154-216</t>
  </si>
  <si>
    <t>118-150</t>
  </si>
  <si>
    <t>114-141</t>
  </si>
  <si>
    <t>Metal extraction (electrolytic)</t>
  </si>
  <si>
    <t>Australia</t>
  </si>
  <si>
    <t>Extracted from Table 2. Detailed values per process (e.g. drilling if needed)</t>
  </si>
  <si>
    <t>Diesel</t>
  </si>
  <si>
    <t>Explosives</t>
  </si>
  <si>
    <t>MJ/t ore</t>
  </si>
  <si>
    <t>Extracted from Table 3. Detailed values per process (e.g. drilling if needed)</t>
  </si>
  <si>
    <t>MJ/kg Cu</t>
  </si>
  <si>
    <t>Extracted from Figure 2</t>
  </si>
  <si>
    <t>Mineral processing</t>
  </si>
  <si>
    <t>MJ/t concentrate</t>
  </si>
  <si>
    <t>Copper ore</t>
  </si>
  <si>
    <t>t ore/t concentrate</t>
  </si>
  <si>
    <t>Water</t>
  </si>
  <si>
    <t>kWh/t ore</t>
  </si>
  <si>
    <t>kg/t ore</t>
  </si>
  <si>
    <t>Reagents</t>
  </si>
  <si>
    <t>Grinding media</t>
  </si>
  <si>
    <t>t/t ore</t>
  </si>
  <si>
    <t>Mining and refining</t>
  </si>
  <si>
    <t>g/t</t>
  </si>
  <si>
    <t>Embodied energy use</t>
  </si>
  <si>
    <t>GJ/t Au</t>
  </si>
  <si>
    <t>Extracted from Figure 10</t>
  </si>
  <si>
    <t>t/t Au</t>
  </si>
  <si>
    <t>Extracted from Figure 13</t>
  </si>
  <si>
    <t>Strip ratio</t>
  </si>
  <si>
    <t>All technosphere input</t>
  </si>
  <si>
    <t>Scaled factor = (s2+1)*more2/(s1+1)*more1</t>
  </si>
  <si>
    <t xml:space="preserve">Use the "nickel mine operation and beneficiation to nickel concentrate, 16% Ni" inventory as a basis. Inventories for POX leaching, HPAL, bioheap leaching, flash smelting, RKEF-NPI </t>
  </si>
  <si>
    <t>VanDerVoet2019</t>
  </si>
  <si>
    <t>E=75.42*G^-1</t>
  </si>
  <si>
    <t>E = 198.22*G^-0.406 (sulfides); E = 194.9*G^-0.494 (laterites)</t>
  </si>
  <si>
    <t>E=77.65*G^-1</t>
  </si>
  <si>
    <t>Smelting</t>
  </si>
  <si>
    <t>default</t>
  </si>
  <si>
    <t>min</t>
  </si>
  <si>
    <t>max</t>
  </si>
  <si>
    <t>std</t>
  </si>
  <si>
    <t>distribution</t>
  </si>
  <si>
    <t>unit</t>
  </si>
  <si>
    <t>OC mine</t>
  </si>
  <si>
    <t>UG mine</t>
  </si>
  <si>
    <t>Combined OG and UG</t>
  </si>
  <si>
    <t>DSM</t>
  </si>
  <si>
    <t>Nickel ore</t>
  </si>
  <si>
    <t>RKEF</t>
  </si>
  <si>
    <t>BF</t>
  </si>
  <si>
    <t>Caron</t>
  </si>
  <si>
    <t>Flash</t>
  </si>
  <si>
    <t>HPAL</t>
  </si>
  <si>
    <t>HL</t>
  </si>
  <si>
    <t>ATL</t>
  </si>
  <si>
    <t>DNI</t>
  </si>
  <si>
    <t>Electrorefining</t>
  </si>
  <si>
    <t>Electrowining</t>
  </si>
  <si>
    <t>Refined nickel</t>
  </si>
  <si>
    <t xml:space="preserve"> </t>
  </si>
  <si>
    <t>Cu concentrate 22.8%</t>
  </si>
  <si>
    <t>Amount</t>
  </si>
  <si>
    <t>MJ</t>
  </si>
  <si>
    <t>lignite</t>
  </si>
  <si>
    <t>NG</t>
  </si>
  <si>
    <t>Hydropower</t>
  </si>
  <si>
    <t>Solar</t>
  </si>
  <si>
    <t>Wind</t>
  </si>
  <si>
    <t>Energy total</t>
  </si>
  <si>
    <t>Open-pit mine ore</t>
  </si>
  <si>
    <t>Underground extracted ore</t>
  </si>
  <si>
    <t>Ore grade (in %)</t>
  </si>
  <si>
    <t>year</t>
  </si>
  <si>
    <t>Cu (global average)</t>
  </si>
  <si>
    <t>Ni</t>
  </si>
  <si>
    <t>Zn</t>
  </si>
  <si>
    <t>Pb</t>
  </si>
  <si>
    <t>Energy requirements in MJ / kg of metal produced</t>
  </si>
  <si>
    <t xml:space="preserve">Ni </t>
  </si>
  <si>
    <t>FeNi</t>
  </si>
  <si>
    <t>Efficiency improvements</t>
  </si>
  <si>
    <t>Kulczycka 2016</t>
  </si>
  <si>
    <t>Regression model</t>
  </si>
  <si>
    <t>GJ/t Cu</t>
  </si>
  <si>
    <t>kWh/t Cu</t>
  </si>
  <si>
    <t>Parker2016_uranium</t>
  </si>
  <si>
    <t>Roy2025_nickel</t>
  </si>
  <si>
    <t>FU = 1kg U3O8 at the mill gate</t>
  </si>
  <si>
    <t>Parker2016</t>
  </si>
  <si>
    <t>https://pubs.acs.org/doi/10.1021/acs.est.5b06072</t>
  </si>
  <si>
    <t>Stage</t>
  </si>
  <si>
    <t>Flow Type</t>
  </si>
  <si>
    <t>Amount (approx.)</t>
  </si>
  <si>
    <t>Notes / Origin</t>
  </si>
  <si>
    <t>Mining (sulfide ore, 2.05 % Ni)</t>
  </si>
  <si>
    <t>Diesel (mobile equipment)</t>
  </si>
  <si>
    <t>~0.5 MJ</t>
  </si>
  <si>
    <t>MJ/kg Ni</t>
  </si>
  <si>
    <t>For drilling + haulage</t>
  </si>
  <si>
    <t>Electricity (ventilation + pumps)</t>
  </si>
  <si>
    <t>~0.4 kWh</t>
  </si>
  <si>
    <t>kWh/kg Ni</t>
  </si>
  <si>
    <t>Underground mine</t>
  </si>
  <si>
    <t>Explosives (ANFO)</t>
  </si>
  <si>
    <t>1 × 10⁻³</t>
  </si>
  <si>
    <t>kg/kg Ni</t>
  </si>
  <si>
    <t>Drilling/blasting</t>
  </si>
  <si>
    <t>Beneficiation (flotation)</t>
  </si>
  <si>
    <t>Grinding energy</t>
  </si>
  <si>
    <t>6–8 MJ</t>
  </si>
  <si>
    <t>Crushing + milling</t>
  </si>
  <si>
    <t>Reagents (collectors + frothers)</t>
  </si>
  <si>
    <t>0.002–0.004</t>
  </si>
  <si>
    <t>Xanthate, MIBC</t>
  </si>
  <si>
    <t>pH control</t>
  </si>
  <si>
    <t>Concentrate processing – Flash smelting</t>
  </si>
  <si>
    <t>Diesel + coal (furnace fuel)</t>
  </si>
  <si>
    <t>≈ 90 MJ</t>
  </si>
  <si>
    <t>Furnace @ 1450 °C for 11.5 % feed</t>
  </si>
  <si>
    <t>Oxygen (air separation)</t>
  </si>
  <si>
    <t>Blowing</t>
  </si>
  <si>
    <t>Fluxes (SiO₂, CaO)</t>
  </si>
  <si>
    <t>Slag formation</t>
  </si>
  <si>
    <t>Refining (hydrometallurgy)</t>
  </si>
  <si>
    <t>Hydrogen gas</t>
  </si>
  <si>
    <t>Ammoniacal reduction route</t>
  </si>
  <si>
    <t>Ammonia solution</t>
  </si>
  <si>
    <t>Leaching + precipitation</t>
  </si>
  <si>
    <t>Electricity (electro-refining)</t>
  </si>
  <si>
    <t>4–6</t>
  </si>
  <si>
    <t>Smelter + refinery</t>
  </si>
  <si>
    <t>Nickel sulfate conversion</t>
  </si>
  <si>
    <t>Sulfuric acid (98 %)</t>
  </si>
  <si>
    <t>Dissolution step</t>
  </si>
  <si>
    <t>Sodium hydroxide</t>
  </si>
  <si>
    <t>Neutralization</t>
  </si>
  <si>
    <t>Evaporative crystallization energy</t>
  </si>
  <si>
    <t>Conversion to NiSO₄·6H₂O</t>
  </si>
  <si>
    <t>Direct embodied energy (total)</t>
  </si>
  <si>
    <t>Flash smelting route</t>
  </si>
  <si>
    <t>GHG intensity</t>
  </si>
  <si>
    <t>kg CO₂-eq /kg Ni</t>
  </si>
  <si>
    <t>ecoinvent v3.9 smelting; flash smelting ≈ 10 kg</t>
  </si>
  <si>
    <t>Site</t>
  </si>
  <si>
    <t>McArthur River + Key Lake</t>
  </si>
  <si>
    <t>≈ 10 kWh / kg U₃O₈</t>
  </si>
  <si>
    <t>kWh / kg U₃O₈</t>
  </si>
  <si>
    <t>SK grid = 40 % of GHG; main energy input</t>
  </si>
  <si>
    <t>Table S3 (SI p. S6) and text p. 9749 – 9750 of main paper.</t>
  </si>
  <si>
    <t>0.8–1.5 MJ / kg U₃O₈ (~0.02–0.04 L)</t>
  </si>
  <si>
    <t>MJ / kg U₃O₈</t>
  </si>
  <si>
    <t>Mine haulage + mobile equipment</t>
  </si>
  <si>
    <t>Propane (heating)</t>
  </si>
  <si>
    <t>2–4 MJ / kg U₃O₈ (~0.05–0.1 L)</t>
  </si>
  <si>
    <t>Facility heating dominant in cold climate</t>
  </si>
  <si>
    <t>Gasoline (light vehicles)</t>
  </si>
  <si>
    <t>0.2–0.3 MJ / kg U₃O₈ (~0.005 L)</t>
  </si>
  <si>
    <t>Minor (&lt; 1 %) share</t>
  </si>
  <si>
    <t>“Transportation of personnel and materials contributes 7.2 % of total GHG, with an average 700 km distance (truck + air).”</t>
  </si>
  <si>
    <t>Reagents (total)</t>
  </si>
  <si>
    <t>≈ 0.02–0.05 kg / kg U₃O₈</t>
  </si>
  <si>
    <t>kg / kg U₃O₈</t>
  </si>
  <si>
    <t>Lime, H₂O₂, NH₃ = 67 % of reagent GHG</t>
  </si>
  <si>
    <t>Lime (CaO)</t>
  </si>
  <si>
    <t>~0.010 kg</t>
  </si>
  <si>
    <t>Neutralization &amp; precipitation</t>
  </si>
  <si>
    <t>SI Table S3 and p. S7–S8 (lines 33–36)</t>
  </si>
  <si>
    <t>Hydrogen Peroxide (50 %)</t>
  </si>
  <si>
    <t>~0.005 kg</t>
  </si>
  <si>
    <t>Oxidant for leaching</t>
  </si>
  <si>
    <t>Ammonia (NH₃)</t>
  </si>
  <si>
    <t>ADU precipitation</t>
  </si>
  <si>
    <t>Concrete</t>
  </si>
  <si>
    <t>~0.05 kg</t>
  </si>
  <si>
    <t>Used for backfill/support and plant maintenance</t>
  </si>
  <si>
    <t>Concrete usage from SI p. S8 lines 81–82 (“Concrete for support and backfill”).</t>
  </si>
  <si>
    <t>~0.002 kg</t>
  </si>
  <si>
    <t>Drill-and-blast mine use</t>
  </si>
  <si>
    <t>Freight transport</t>
  </si>
  <si>
    <t>~700 km avg (two-way)</t>
  </si>
  <si>
    <t>km / t material</t>
  </si>
  <si>
    <t>Air + truck mix (7 % GHG)</t>
  </si>
  <si>
    <t>Waste emissions</t>
  </si>
  <si>
    <t>≈ 1.5 % of GHG</t>
  </si>
  <si>
    <t>–</t>
  </si>
  <si>
    <t>Landfill CH₄ + CO₂</t>
  </si>
  <si>
    <t>Process CO₂</t>
  </si>
  <si>
    <t>Minor (1 %)</t>
  </si>
  <si>
    <t>kg CO₂ / kg U₃O₈</t>
  </si>
  <si>
    <t>Carbonate reaction with H₂SO₄</t>
  </si>
  <si>
    <t>Land Use Change</t>
  </si>
  <si>
    <t>~1137 kg CO₂e / ha yr</t>
  </si>
  <si>
    <t>kg CO₂e / ha yr</t>
  </si>
  <si>
    <t>Forest conversion</t>
  </si>
  <si>
    <t>SI p. S7 lines 13–14:</t>
  </si>
  <si>
    <t>McClean Lake + Cigar Lake</t>
  </si>
  <si>
    <t>≈ 9 kWh / kg U₃O₈</t>
  </si>
  <si>
    <t>Hydro dominant; lower GHG</t>
  </si>
  <si>
    <t>≈ 0.8 MJ / kg U₃O₈</t>
  </si>
  <si>
    <t>Ore slurry pumping + equipment</t>
  </si>
  <si>
    <t>Propane</t>
  </si>
  <si>
    <t>≈ 2.0 MJ / kg U₃O₈</t>
  </si>
  <si>
    <t>Heating + reagent prep</t>
  </si>
  <si>
    <t>Similar composition (lime, H₂O₂, NH₃) but higher per grade due to mixing with low-grade ore</t>
  </si>
  <si>
    <t>Adapted to 30 % ore capability</t>
  </si>
  <si>
    <t>Corporate HQ allocation</t>
  </si>
  <si>
    <t>Electricity + natural gas</t>
  </si>
  <si>
    <t>1 ⁄ 4 share to each Cameco site; ½ share to McClean Lake**</t>
  </si>
  <si>
    <t>Included in LCA</t>
  </si>
  <si>
    <t>Ore</t>
  </si>
  <si>
    <t>Sulfidic</t>
  </si>
  <si>
    <t>Concentrates</t>
  </si>
  <si>
    <t>Refined</t>
  </si>
  <si>
    <t>Cobalt</t>
  </si>
  <si>
    <t>Molybdenum</t>
  </si>
  <si>
    <t>Palladium</t>
  </si>
  <si>
    <t>Platinum</t>
  </si>
  <si>
    <t>Silver</t>
  </si>
  <si>
    <t>Value_type</t>
  </si>
  <si>
    <t>Parametrization parameters</t>
  </si>
  <si>
    <t>Norgate2010a, Low grade ores – Smelt, leach or concentrate?</t>
  </si>
  <si>
    <t>Norgate2010b, Energy and greenhouse gas impacts of mining and mineral processing operations</t>
  </si>
  <si>
    <t>1t iron ore (lump/fines) ready for port shipment</t>
  </si>
  <si>
    <t>Flow covered</t>
  </si>
  <si>
    <t>Energy (total)</t>
  </si>
  <si>
    <t>Underground</t>
  </si>
  <si>
    <t>Mining and beneficiation</t>
  </si>
  <si>
    <t>Technical attributes</t>
  </si>
  <si>
    <t>OG = 1.8%; CG = 27.3%; RR = 93.7%</t>
  </si>
  <si>
    <t>Detailed</t>
  </si>
  <si>
    <t>Open-pit</t>
  </si>
  <si>
    <t>1kg concentrate mass</t>
  </si>
  <si>
    <t>Materials</t>
  </si>
  <si>
    <t>1kg ore</t>
  </si>
  <si>
    <t>POX leaching of 19% Ni concentrate and refining to nickel metal</t>
  </si>
  <si>
    <t>boric acid, anhydrous, powder</t>
  </si>
  <si>
    <t>cationic resin</t>
  </si>
  <si>
    <t>chemical, organic (proxy for Cyanex 272)</t>
  </si>
  <si>
    <t>chemical, organic (proxy for sodium laurel sulphate)</t>
  </si>
  <si>
    <t>chemical, organic (proxy for DEPHA)</t>
  </si>
  <si>
    <t>chemical, organic (proxy for LIX 84)</t>
  </si>
  <si>
    <t>chemical, organic (proxy for sodium lignosulphonate)</t>
  </si>
  <si>
    <t>electricity, high voltage</t>
  </si>
  <si>
    <t>heat, district or industrial, other than natural gas (light fuel oil)</t>
  </si>
  <si>
    <t>heat, district or industrial, other than natural gas (diesel)</t>
  </si>
  <si>
    <t>hydrochloric acid, without water, in 30% solution state</t>
  </si>
  <si>
    <t>kerosene</t>
  </si>
  <si>
    <t>limestone, crushed, washed</t>
  </si>
  <si>
    <t>oxygen, liquid</t>
  </si>
  <si>
    <t>Polyacrylamide (proxy for flocculants)</t>
  </si>
  <si>
    <t>soda ash, dense</t>
  </si>
  <si>
    <t>sodium chloride, powder</t>
  </si>
  <si>
    <t>sodium hydrogen sulfite (proxy for sodium metabusulphite)</t>
  </si>
  <si>
    <t>sodium hydrosulfide</t>
  </si>
  <si>
    <t>sodium hydroxide, without water, in 50% solution state</t>
  </si>
  <si>
    <t>sulfuric acid</t>
  </si>
  <si>
    <t>Water, unspecified natural origin, CA</t>
  </si>
  <si>
    <t>kg</t>
  </si>
  <si>
    <t>Canada?</t>
  </si>
  <si>
    <t>Nickel concentrate, 19% Ni</t>
  </si>
  <si>
    <t>kWh</t>
  </si>
  <si>
    <t>mm3</t>
  </si>
  <si>
    <t>1kg Ni-equivalent</t>
  </si>
  <si>
    <t>1kg Ni metal</t>
  </si>
  <si>
    <t>scaled material inventory for nickel mine operation and beneficiation to nickel concentrate, 16% Ni</t>
  </si>
  <si>
    <t>Nickel concentrate</t>
  </si>
  <si>
    <t>diesel, burned in building machine</t>
  </si>
  <si>
    <t>electricity, medium voltage (mine operation)</t>
  </si>
  <si>
    <t>Concentrate processing</t>
  </si>
  <si>
    <t>Flash smelting</t>
  </si>
  <si>
    <t>transport, freight, lorry &gt;32 metric ton, EURO4</t>
  </si>
  <si>
    <t>heat, district or industrial, natural gas</t>
  </si>
  <si>
    <t>heat, district or industrial, other than natural gas</t>
  </si>
  <si>
    <t>silica sand</t>
  </si>
  <si>
    <t>Settling furnace</t>
  </si>
  <si>
    <t>Converter</t>
  </si>
  <si>
    <t>Hydrogen reduction to nickel metal</t>
  </si>
  <si>
    <t>ammonia, anhydrous, liquid</t>
  </si>
  <si>
    <t>hydrogen, liquid</t>
  </si>
  <si>
    <t>t*km</t>
  </si>
  <si>
    <t>Extracted from Supplementary Table 19.</t>
  </si>
  <si>
    <t>Site (Province)</t>
  </si>
  <si>
    <t>Main metal(s) &amp; role</t>
  </si>
  <si>
    <t>Predominant refining method in practice</t>
  </si>
  <si>
    <t>Best-fit LCI proxy (for your model)</t>
  </si>
  <si>
    <t>Why this proxy</t>
  </si>
  <si>
    <t>Horne Smelter → CCR (Montréal-Est, QC)</t>
  </si>
  <si>
    <t>Horne produces anodes; CCR explicitly does electrorefining to cathode. Use pyromet → electrorefining chain. (glencore.ca)</t>
  </si>
  <si>
    <t>Copper Cliff Complex (Sudbury, ON) — Vale</t>
  </si>
  <si>
    <t>Vale’s Copper Cliff Nickel Refinery produces pellets/powder via carbonyl process; the Roy pyromet route (flash smelt → hydromet finish) is the closest published, Canada-parametrized end-to-end LCI; carbonyl specifics from Vale product sheets. (Vale)</t>
  </si>
  <si>
    <t>Long Harbour (NL) — Vale</t>
  </si>
  <si>
    <t>The site itself states hydromet; Roy’s POX inventory is region-tuned to NL (CA-NF electricity) and mirrors LHPP flowsheet. (Vale)</t>
  </si>
  <si>
    <t>Port Colborne (ON) — Vale</t>
  </si>
  <si>
    <t>Vale notes electro-cobalt and PM processing at Port Colborne today; for battery-grade CoSO₄, modern Canadian proxy is Electra’s Temiskaming hydromet flows (similar chemistry). (Vale)</t>
  </si>
  <si>
    <t>Sudbury Integrated Nickel Operations (Glencore INO, ON)</t>
  </si>
  <si>
    <t>Glencore states matte is shipped to Nikkelverk for final refining; keep Canadian system boundary at matte or include external refining with Norway grid. (glencore.ca)</t>
  </si>
  <si>
    <t>The Cobalt Refinery Company Inc. (CORE FCO / Fort Saskatchewan, AB — Sherritt legacy)</t>
  </si>
  <si>
    <t>Sherritt’s Fort Saskatchewan refinery is the archetype of ammonia leach + H₂ reduction; Roy’s route captures this chemistry; Sherritt’s own literature confirms process steps. (s2.q4cdn.com)</t>
  </si>
  <si>
    <t>Trail Operations (Trail, BC — Teck)</t>
  </si>
  <si>
    <t>Teck Trail is a zinc/lead complex (not a Ni/Cu refinery). Electrolytic Zn plant explicitly referenced; BC hydro grid is relevant for LCI. (Teck Resources Limited)</t>
  </si>
  <si>
    <t>Cu (Horne smelts → anodes) → CCR refines to cathodes; precious-metals recovery in slimes</t>
  </si>
  <si>
    <t>Copper electrorefining at CCR from ~99% Cu anodes produced at Horne smelter</t>
  </si>
  <si>
    <t>Copper: “pyromet (to blister/anode) + electrorefining” (use Roy’s Cu chapter framing) or ecoinvent “copper, cathode, at refinery” (electrorefining)</t>
  </si>
  <si>
    <t>Ni &amp; Cu complex; smelter + refineries</t>
  </si>
  <si>
    <t>Nickel carbonyl (Mond) refining to pellets/powder; Cu side via pyromet + electrorefining</t>
  </si>
  <si>
    <t>Ni (pyro→refine): Roy “Flash smelting of sulfide ores + ammoniacal-H₂ precipitation” for a Canada-style pyromet route; Ni (carbonyl): supplement with Vale docs / ecoinvent “nickel, metal, at refinery” (carbonyl)</t>
  </si>
  <si>
    <t>Ni from Voisey’s Bay conc.</t>
  </si>
  <si>
    <t>Hydrometallurgy (POX autoclave + SX/EW) → Ni cathode / NiSO₄</t>
  </si>
  <si>
    <t>Roy Supplementary Note 1: POX leaching (sulfide) — Canadian grid (CA-NF)</t>
  </si>
  <si>
    <t>Cobalt, precious metals; packaging/distribution of Ni products; historic Ni/PM refining</t>
  </si>
  <si>
    <t>Hydromet precious-metals &amp; cobalt processing; Ni carbonyl historic</t>
  </si>
  <si>
    <t>For Co: use hydromet cobalt refinery (cobalt sulfate) proxies (e.g., ecoinvent “cobalt sulfate, at plant” or literature LCI); for Ni/PGM by-products, use ecoinvent PM refinery modules</t>
  </si>
  <si>
    <t>Ni-Cu matte producer; refining not in Canada</t>
  </si>
  <si>
    <t>Smelting/converting to matte in Sudbury; refining at Nikkelverk (Norway)</t>
  </si>
  <si>
    <t>Use Roy pyromet (flash smelting to matte) for Canadian stage; treat refining as ex-Canada (documented export)</t>
  </si>
  <si>
    <t>Ni &amp; Co from MSP/MHP/matte</t>
  </si>
  <si>
    <t>Ammoniacal pressure leach + H₂ reduction (Sherritt process) → Ni/Co powders/briquettes; by-product (NH₄)₂SO₄</t>
  </si>
  <si>
    <t>Roy “ammoniacal hydrogen precipitation to nickel metal” (refining segment) as best published proxy; background with Sherritt process notes</t>
  </si>
  <si>
    <t>Zn, Pb (plus indium, etc.) — not a Cu/Ni refinery</t>
  </si>
  <si>
    <t>Electrolytic zinc &amp; lead refining (hydromet + electrolysis), hydro-powered</t>
  </si>
  <si>
    <t>Use ecoinvent “zinc, primary, electrolysis, at refinery (RoW/CA)” and “lead, primary, at refinery”; for region, adjust electricity to BC hydro</t>
  </si>
  <si>
    <t>Facility</t>
  </si>
  <si>
    <t>Province</t>
  </si>
  <si>
    <t>Method</t>
  </si>
  <si>
    <t>Feed</t>
  </si>
  <si>
    <t>Product</t>
  </si>
  <si>
    <t>Notes</t>
  </si>
  <si>
    <t>Vale Long Harbour</t>
  </si>
  <si>
    <t>NL</t>
  </si>
  <si>
    <t>Pressure oxidation (chloride–sulfuric acid), solvent extraction, electrowinning</t>
  </si>
  <si>
    <t>Concentrate / matte</t>
  </si>
  <si>
    <t>Ni cathode (&gt;99.9 %)</t>
  </si>
  <si>
    <t>Can yield NiSO₄</t>
  </si>
  <si>
    <t>Sherritt Fort Saskatchewan</t>
  </si>
  <si>
    <t>AB</t>
  </si>
  <si>
    <t>Ammonia leach + H₂ reduction</t>
  </si>
  <si>
    <t>MSP / concentrate</t>
  </si>
  <si>
    <t>Ni powder</t>
  </si>
  <si>
    <t>By-product (NH₄)₂SO₄</t>
  </si>
  <si>
    <t>Vale Thompson (historic)</t>
  </si>
  <si>
    <t>MB</t>
  </si>
  <si>
    <t>Matte</t>
  </si>
  <si>
    <t>Ni cathode</t>
  </si>
  <si>
    <t>Closed 2018</t>
  </si>
  <si>
    <t>Vale Copper Cliff</t>
  </si>
  <si>
    <t>ON</t>
  </si>
  <si>
    <t>Pyromet + electrorefining</t>
  </si>
  <si>
    <t>Ni + Cu metals</t>
  </si>
  <si>
    <t>Active smelter/refinery complex</t>
  </si>
  <si>
    <r>
      <t xml:space="preserve">Copper sulfide concentrates (e.g., from Sudbury and Raglan) are </t>
    </r>
    <r>
      <rPr>
        <b/>
        <sz val="11"/>
        <color theme="1"/>
        <rFont val="Aptos Narrow"/>
        <family val="2"/>
        <scheme val="minor"/>
      </rPr>
      <t>smelted and converted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blister copper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nickel-copper matte</t>
    </r>
    <r>
      <rPr>
        <sz val="11"/>
        <color theme="1"/>
        <rFont val="Aptos Narrow"/>
        <family val="2"/>
        <scheme val="minor"/>
      </rPr>
      <t>.</t>
    </r>
  </si>
  <si>
    <r>
      <t>Glencore’s Sudbury smelter</t>
    </r>
    <r>
      <rPr>
        <sz val="11"/>
        <color theme="1"/>
        <rFont val="Aptos Narrow"/>
        <family val="2"/>
        <scheme val="minor"/>
      </rPr>
      <t xml:space="preserve"> ships matte to </t>
    </r>
    <r>
      <rPr>
        <b/>
        <sz val="11"/>
        <color theme="1"/>
        <rFont val="Aptos Narrow"/>
        <family val="2"/>
        <scheme val="minor"/>
      </rPr>
      <t>Nikkelverk (Norway)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electrolytic refining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Vale’s Copper Cliff</t>
    </r>
    <r>
      <rPr>
        <sz val="11"/>
        <color theme="1"/>
        <rFont val="Aptos Narrow"/>
        <family val="2"/>
        <scheme val="minor"/>
      </rPr>
      <t xml:space="preserve"> refinery in Ontario performs </t>
    </r>
    <r>
      <rPr>
        <b/>
        <sz val="11"/>
        <color theme="1"/>
        <rFont val="Aptos Narrow"/>
        <family val="2"/>
        <scheme val="minor"/>
      </rPr>
      <t>pyrometallurgical smelting + electrorefining</t>
    </r>
    <r>
      <rPr>
        <sz val="11"/>
        <color theme="1"/>
        <rFont val="Aptos Narrow"/>
        <family val="2"/>
        <scheme val="minor"/>
      </rPr>
      <t xml:space="preserve"> domestically</t>
    </r>
  </si>
  <si>
    <t>Horne smelter</t>
  </si>
  <si>
    <t>Montreal CCR</t>
  </si>
  <si>
    <t>Prymetallurgy to copper anode</t>
  </si>
  <si>
    <t>Copper electrofining plant: anode to cathode</t>
  </si>
  <si>
    <t>Long Harbour Nickel</t>
  </si>
  <si>
    <t>Sudbury Smelter</t>
  </si>
  <si>
    <t>Fort Saskatechwan refinery</t>
  </si>
  <si>
    <t>Hydrometallurgy</t>
  </si>
  <si>
    <t>Pyrometallurgy</t>
  </si>
  <si>
    <t>Copper Cliff Smelter and Refinery</t>
  </si>
  <si>
    <t>Commodity</t>
  </si>
  <si>
    <t>Au</t>
  </si>
  <si>
    <t>Cu</t>
  </si>
  <si>
    <t>Concentrate</t>
  </si>
  <si>
    <t>Allocation</t>
  </si>
  <si>
    <t>Dataset</t>
  </si>
  <si>
    <t>FlowType</t>
  </si>
  <si>
    <t>Substance</t>
  </si>
  <si>
    <t>Medium</t>
  </si>
  <si>
    <t>Copper mine operation and beneficiation, sulfide ore – CA</t>
  </si>
  <si>
    <t>reference_product</t>
  </si>
  <si>
    <t>copper concentrate, sulfide ore</t>
  </si>
  <si>
    <t>technosphere</t>
  </si>
  <si>
    <t>ecoinvent 3.12</t>
  </si>
  <si>
    <t>by_product</t>
  </si>
  <si>
    <t>molybdenite</t>
  </si>
  <si>
    <t>sulfidic tailings</t>
  </si>
  <si>
    <t>input_technosphere</t>
  </si>
  <si>
    <t>limestone, milled, packed</t>
  </si>
  <si>
    <t>sodium cyanide</t>
  </si>
  <si>
    <t>steel, chromium steel 18/8, hot rolled</t>
  </si>
  <si>
    <t>input_environment</t>
  </si>
  <si>
    <t>environment</t>
  </si>
  <si>
    <t>Gangue</t>
  </si>
  <si>
    <t>Water, river</t>
  </si>
  <si>
    <t>m3</t>
  </si>
  <si>
    <t>emission_air</t>
  </si>
  <si>
    <t>Carbon dioxide, fossil</t>
  </si>
  <si>
    <t>air</t>
  </si>
  <si>
    <t>Particulate Matter, &lt;2.5 um</t>
  </si>
  <si>
    <t>Particulate Matter, &gt;10 um</t>
  </si>
  <si>
    <t>Nickel II</t>
  </si>
  <si>
    <t>Nitrogen oxides</t>
  </si>
  <si>
    <t>emission_water</t>
  </si>
  <si>
    <t>Copper ion</t>
  </si>
  <si>
    <t>water</t>
  </si>
  <si>
    <t>Cyanide</t>
  </si>
  <si>
    <t>Sulfate</t>
  </si>
  <si>
    <t>Zinc II</t>
  </si>
  <si>
    <t>Gold-silver mine operation and beneficiation – CA-QC</t>
  </si>
  <si>
    <t>gold-silver, ingot</t>
  </si>
  <si>
    <t>zinc concentrate</t>
  </si>
  <si>
    <t>lead concentrate</t>
  </si>
  <si>
    <t>iron scrap</t>
  </si>
  <si>
    <t>municipal solid waste</t>
  </si>
  <si>
    <t>cement, Portland</t>
  </si>
  <si>
    <t>hydrated lime</t>
  </si>
  <si>
    <t>Water, lake</t>
  </si>
  <si>
    <t>Sulfur dioxide</t>
  </si>
  <si>
    <t>Arsenic ion</t>
  </si>
  <si>
    <t>Nitrate</t>
  </si>
  <si>
    <t>Iron ore mine operation and beneficiation – CA-QC</t>
  </si>
  <si>
    <t>iron ore concentrate</t>
  </si>
  <si>
    <t>spent solvent mixture</t>
  </si>
  <si>
    <t>ammonium nitrate</t>
  </si>
  <si>
    <t>lubricating oil</t>
  </si>
  <si>
    <t>Carbon monoxide, fossil</t>
  </si>
  <si>
    <t>Nickel mine operation and beneficiation to 16% Ni – CA-QC</t>
  </si>
  <si>
    <t>nickel concentrate, 16% Ni</t>
  </si>
  <si>
    <t>cement, CEM II/B</t>
  </si>
  <si>
    <t>polyacrylamide</t>
  </si>
  <si>
    <t>Methane, fossil</t>
  </si>
  <si>
    <t>Dinitrogen monoxide</t>
  </si>
  <si>
    <t>Manganese II</t>
  </si>
  <si>
    <t>Chromium III</t>
  </si>
  <si>
    <t>ALLOCATION</t>
  </si>
  <si>
    <t>COMMENT</t>
  </si>
  <si>
    <t>No allocation discussed; assumed 100% for the main metal</t>
  </si>
  <si>
    <t>metal</t>
  </si>
  <si>
    <t>source</t>
  </si>
  <si>
    <t>parameter_name</t>
  </si>
  <si>
    <t>description</t>
  </si>
  <si>
    <t>ore_grade_energy</t>
  </si>
  <si>
    <t>Total energy as a function of ore grade</t>
  </si>
  <si>
    <t>MJ / t metal</t>
  </si>
  <si>
    <t>mining_beneficiation_share</t>
  </si>
  <si>
    <t>Fraction of total energy from mining vs beneficiation</t>
  </si>
  <si>
    <t>Mining 0.517 / Benef 0.483</t>
  </si>
  <si>
    <t>fraction</t>
  </si>
  <si>
    <t>E_mining=E*0.517; E_benef=E*0.483</t>
  </si>
  <si>
    <t>Elec 0.696 / Diesel 0.304</t>
  </si>
  <si>
    <t>E_elec=E_m*0.696; E_diesel=E_m*0.304</t>
  </si>
  <si>
    <t>1kg Cu</t>
  </si>
  <si>
    <t>1kg Ni</t>
  </si>
  <si>
    <t xml:space="preserve"> Cu is from Kuipers et al (2018) and Northey et al (2013)</t>
  </si>
  <si>
    <t>Ore grade parametrization for energy, data from Wei et al (2020). Material inputs by default</t>
  </si>
  <si>
    <t>E = 15.697 * (G ** -0.573)</t>
  </si>
  <si>
    <t>formula</t>
  </si>
  <si>
    <t>Elec: 1</t>
  </si>
  <si>
    <t>Mining: 0.367; Beneficiation: 0.633</t>
  </si>
  <si>
    <t>Energy mix mining</t>
  </si>
  <si>
    <t>Energy mix beneficiation</t>
  </si>
  <si>
    <t>Diesel: 0.8099; Elec: 0.1846 Natural gas: 0.055</t>
  </si>
  <si>
    <t>energy_mix_mining</t>
  </si>
  <si>
    <t>energy_mix_beneficiation</t>
  </si>
  <si>
    <t xml:space="preserve">Electricity: 0.9965; Natural gas: 0.035 </t>
  </si>
  <si>
    <t>Argonne GREET 2022 from Sanjuan-Delmás et al., 2022</t>
  </si>
  <si>
    <t>Argonne GREET 2022 from Wei et al. 2020</t>
  </si>
  <si>
    <t>Economic allocation factor for Cu is respectively 90.85% and 91.15% for the 2 mines in the study. By-products are molybdenum concentrate and pyrite concentrate</t>
  </si>
  <si>
    <t>1kg Cu concentrate (22.8%)</t>
  </si>
  <si>
    <t>OG = 0.4% and 0.9%; CG = 24.5% and 16.4%)</t>
  </si>
  <si>
    <t>Underground and open-pit</t>
  </si>
  <si>
    <t>Calvo et al. 2016, extracted from Figure 3</t>
  </si>
  <si>
    <t>ore_grade_water</t>
  </si>
  <si>
    <t>Total water consumption as a function of ore grade</t>
  </si>
  <si>
    <t>Norgate &amp; Haque. 2012</t>
  </si>
  <si>
    <t>3.5g/t</t>
  </si>
  <si>
    <t>0.5g/t</t>
  </si>
  <si>
    <t>5g/t</t>
  </si>
  <si>
    <t>comment</t>
  </si>
  <si>
    <t>1kg refined Au</t>
  </si>
  <si>
    <t>Economic allocation, Au/Ag price ratio = 45</t>
  </si>
  <si>
    <t>FU</t>
  </si>
  <si>
    <t>Argonne_Ni_2022</t>
  </si>
  <si>
    <t>Argonne_Cu_2022</t>
  </si>
  <si>
    <t>Norgate &amp; Haque 2012</t>
  </si>
  <si>
    <t>Refractory and non-refractory</t>
  </si>
  <si>
    <t>Economic allocation factor, Au/Ag 45</t>
  </si>
  <si>
    <t>OG = 3.5g/t</t>
  </si>
  <si>
    <t>Various</t>
  </si>
  <si>
    <t>Diesel fuel</t>
  </si>
  <si>
    <t>Comminution</t>
  </si>
  <si>
    <t>Steel balls</t>
  </si>
  <si>
    <t>Oxygen</t>
  </si>
  <si>
    <t>Sulphuric acid</t>
  </si>
  <si>
    <t>Sodium cyanide</t>
  </si>
  <si>
    <t>Carbon</t>
  </si>
  <si>
    <t>Hydrochloric acid</t>
  </si>
  <si>
    <t>Steel wool cathodes</t>
  </si>
  <si>
    <t>Gold refining (Chlorination process)</t>
  </si>
  <si>
    <t>Chlorine</t>
  </si>
  <si>
    <t>Gold refining (Electrolytic process)</t>
  </si>
  <si>
    <t>Silver refining (Electrolytic process)</t>
  </si>
  <si>
    <t>g/t ore</t>
  </si>
  <si>
    <t>kWh/t Au</t>
  </si>
  <si>
    <t>kWh/t dore</t>
  </si>
  <si>
    <t>t/t dore</t>
  </si>
  <si>
    <t>kWh/t Ag</t>
  </si>
  <si>
    <t>Tailings (non-refractory ore)</t>
  </si>
  <si>
    <t>Tailings (refractory ore)</t>
  </si>
  <si>
    <t>Extraction and recovery - Flotation</t>
  </si>
  <si>
    <t>Extraction and recovery - Pressure oxidation</t>
  </si>
  <si>
    <t>Extraction and recovery - Cyanidation</t>
  </si>
  <si>
    <t>Extraction and recovery - CIP</t>
  </si>
  <si>
    <t>Extraction and recovery - Electrowinning</t>
  </si>
  <si>
    <t>Extraction and recovery - Smelting</t>
  </si>
  <si>
    <t>Extraction and recovery - Miscellaneous</t>
  </si>
  <si>
    <t>kWh/t concentrate</t>
  </si>
  <si>
    <t>t/t concentrate</t>
  </si>
  <si>
    <t>g/t concentrate</t>
  </si>
  <si>
    <t>grind_size_energy</t>
  </si>
  <si>
    <t>Bond's formula</t>
  </si>
  <si>
    <t>Calvo et al 2022</t>
  </si>
  <si>
    <t>E = 106.71 * (G ** -1.032)</t>
  </si>
  <si>
    <t>Unclear</t>
  </si>
  <si>
    <t>Facility_name</t>
  </si>
  <si>
    <t>Mass allocation factor of 89% to Ni, co-production of Cu (7%) and Co (4%)</t>
  </si>
  <si>
    <t>Extracted from Supplementary Table 2.</t>
  </si>
  <si>
    <t>No information</t>
  </si>
  <si>
    <t>No information; assumed 100% to main metal</t>
  </si>
  <si>
    <t>Primary extraction extraction</t>
  </si>
  <si>
    <t>Reference points - detailed</t>
  </si>
  <si>
    <t>Sulfur</t>
  </si>
  <si>
    <t>Coke</t>
  </si>
  <si>
    <t>Sand</t>
  </si>
  <si>
    <t>Ammonia</t>
  </si>
  <si>
    <t>Hydrogen</t>
  </si>
  <si>
    <t>Refining</t>
  </si>
  <si>
    <t>Energy</t>
  </si>
  <si>
    <t>Coal</t>
  </si>
  <si>
    <t>Smelting and refining</t>
  </si>
  <si>
    <t>Pyrometallurgical production</t>
  </si>
  <si>
    <t>Residual oil</t>
  </si>
  <si>
    <t>Gasoline</t>
  </si>
  <si>
    <t>LPG</t>
  </si>
  <si>
    <t>Extracted from Table 14 (originally in mmBtu/t).</t>
  </si>
  <si>
    <t>MJ/t Cu</t>
  </si>
  <si>
    <t>Extracted from Table 15 (originally in US t)</t>
  </si>
  <si>
    <t>Silica</t>
  </si>
  <si>
    <t>Soda</t>
  </si>
  <si>
    <t>Baryte</t>
  </si>
  <si>
    <t>Liquid caustic soda (50% NaOH)</t>
  </si>
  <si>
    <t>Sodium hydroxide (99% NaOH)</t>
  </si>
  <si>
    <t>Ammonia (99.9%), compressed gas</t>
  </si>
  <si>
    <t>Caustia ammonia (25% aqueous solution)</t>
  </si>
  <si>
    <t>Graphite electrodes</t>
  </si>
  <si>
    <t>Iron powder</t>
  </si>
  <si>
    <t>Copper powder</t>
  </si>
  <si>
    <t>Nitric acid (65% HNO3)</t>
  </si>
  <si>
    <t>Hydrochloric acid (37% HCl)</t>
  </si>
  <si>
    <t>Hydrogen peroxide (50% H2O2)</t>
  </si>
  <si>
    <t>Extracted from Table 5 (originally in US t)</t>
  </si>
  <si>
    <t>Extracted from Table 6 (originally in mmBtu)</t>
  </si>
  <si>
    <t>MJ/t Ni</t>
  </si>
  <si>
    <t>Norgate &amp; Haque. 2010</t>
  </si>
  <si>
    <t>1t of concentrate for Cu, Fe, Bauxite</t>
  </si>
  <si>
    <t>https://www.sciencedirect.com/science/article/pii/S0959652609003199?via%3Dihub</t>
  </si>
  <si>
    <t>Norgate &amp; Jahanshahi. 2010</t>
  </si>
  <si>
    <t>Norgate &amp; Haque 2010</t>
  </si>
  <si>
    <t>1kg of refined metal for Al, Cu, Fe, Pb, NI, Zn</t>
  </si>
  <si>
    <t>No allocation, assumed single product-systems</t>
  </si>
  <si>
    <t>10.1016/j.mineng.2009.10.002</t>
  </si>
  <si>
    <t>formula_type</t>
  </si>
  <si>
    <t>Power law (E = a * G**-b)</t>
  </si>
  <si>
    <t>Ore grade (% Cu)</t>
  </si>
  <si>
    <t>Energy (MJ/kg Cu)</t>
  </si>
  <si>
    <t>Parameter</t>
  </si>
  <si>
    <t>(a)</t>
  </si>
  <si>
    <t>31.8 ± 2.1</t>
  </si>
  <si>
    <t>(b)</t>
  </si>
  <si>
    <t>0.56 ± 0.02</t>
  </si>
  <si>
    <t>(R^2)</t>
  </si>
  <si>
    <t>41.9 ± 2.3</t>
  </si>
  <si>
    <t>0.55 ± 0.01</t>
  </si>
  <si>
    <t>From Table 3</t>
  </si>
  <si>
    <t>Ore grade (% Ni)</t>
  </si>
  <si>
    <t>Energy (MJ/kg Ni)</t>
  </si>
  <si>
    <t>From Table 4</t>
  </si>
  <si>
    <t>ANFO</t>
  </si>
  <si>
    <t>Generic explosive</t>
  </si>
  <si>
    <t>EF</t>
  </si>
  <si>
    <t>43 MJ/kg</t>
  </si>
  <si>
    <t>2.3MJ/kg</t>
  </si>
  <si>
    <t>3.7MJ/kg</t>
  </si>
  <si>
    <t>3.6MJ/kWh</t>
  </si>
  <si>
    <t>Mmbtu</t>
  </si>
  <si>
    <t>OG %</t>
  </si>
  <si>
    <t>Mining MJ/t</t>
  </si>
  <si>
    <t>Beneficiation MJ/t</t>
  </si>
  <si>
    <t>Share mining</t>
  </si>
  <si>
    <t>Total MJ/t</t>
  </si>
  <si>
    <t>MJ/t</t>
  </si>
  <si>
    <t>carboxymethyl cellulose, powder</t>
  </si>
  <si>
    <t>chemical, inorganic</t>
  </si>
  <si>
    <t>diesel, burned in diesel-electric generating set, 10MW</t>
  </si>
  <si>
    <t>diesel, low-sulfur</t>
  </si>
  <si>
    <t>ethylene glycol</t>
  </si>
  <si>
    <t>foaming agent</t>
  </si>
  <si>
    <t>hydrated lime, packed</t>
  </si>
  <si>
    <t>mine infrastructure, underground, non-ferrous metal</t>
  </si>
  <si>
    <t>sand</t>
  </si>
  <si>
    <t>waste mineral oil</t>
  </si>
  <si>
    <t>hazardous waste, for incineration</t>
  </si>
  <si>
    <t>mine infrastructure, oil</t>
  </si>
  <si>
    <t>solvent, organic</t>
  </si>
  <si>
    <t>transport, freight, train, fleet average</t>
  </si>
  <si>
    <t>t/km</t>
  </si>
  <si>
    <t>aluminium scrap, new</t>
  </si>
  <si>
    <t>electronics scrap</t>
  </si>
  <si>
    <t>iron scrap, sorted, pressed</t>
  </si>
  <si>
    <t>sulfidic tailings, generic</t>
  </si>
  <si>
    <t>waste plastic, mixture</t>
  </si>
  <si>
    <t>waste wood, untreated</t>
  </si>
  <si>
    <t>aluminium sulfate, powder</t>
  </si>
  <si>
    <t>borax, anhydrous, powder</t>
  </si>
  <si>
    <t>carbon dioxide, liquid</t>
  </si>
  <si>
    <t>chromium</t>
  </si>
  <si>
    <t>copper sulfate</t>
  </si>
  <si>
    <t>fatty alcohol</t>
  </si>
  <si>
    <t>hydrated lime, loose</t>
  </si>
  <si>
    <t>hydrogen peroxide, without water in 50% solution state</t>
  </si>
  <si>
    <t>iron sulfate</t>
  </si>
  <si>
    <t>manganese oxide</t>
  </si>
  <si>
    <t>phosphoric acid, industrial grade, without water, in 85% solution state</t>
  </si>
  <si>
    <t>polycarboxylates, 40% active substance</t>
  </si>
  <si>
    <t>quicklime, milled, loose</t>
  </si>
  <si>
    <t>soap</t>
  </si>
  <si>
    <t>sodium nitrate</t>
  </si>
  <si>
    <t>sodium silicate, spray powder, 80%</t>
  </si>
  <si>
    <t>steel, unalloyed</t>
  </si>
  <si>
    <t>sulfur dioxide, liquid</t>
  </si>
  <si>
    <t>synthetic rubber</t>
  </si>
  <si>
    <t>transport, passenger, car, petrol, large size, EURO 3</t>
  </si>
  <si>
    <t>zinc</t>
  </si>
  <si>
    <t>zinc monosulfate</t>
  </si>
  <si>
    <t>km</t>
  </si>
  <si>
    <t>non-sulfidic tailings, off-site</t>
  </si>
  <si>
    <t>sulfidic tailings, from copper mine operation</t>
  </si>
  <si>
    <t>aluminium hydroxide factory</t>
  </si>
  <si>
    <t>blasting</t>
  </si>
  <si>
    <t>carbon disulfide</t>
  </si>
  <si>
    <t>chemical, organic, basic precursors and materials</t>
  </si>
  <si>
    <t>conveyor belt</t>
  </si>
  <si>
    <t>diesel</t>
  </si>
  <si>
    <t>dithiocarbamate-compound</t>
  </si>
  <si>
    <t>m</t>
  </si>
  <si>
    <t>electricity, medium voltage</t>
  </si>
  <si>
    <t>iron pellet</t>
  </si>
  <si>
    <t>mine infrastructure, open cast, non-ferrous metal</t>
  </si>
  <si>
    <t>potassium carbonate</t>
  </si>
  <si>
    <t>Mine</t>
  </si>
  <si>
    <t>Company</t>
  </si>
  <si>
    <t>Main_Metals</t>
  </si>
  <si>
    <t>Mine_Type</t>
  </si>
  <si>
    <t>Mine_Process</t>
  </si>
  <si>
    <t>Production_2013_t_or_kg</t>
  </si>
  <si>
    <t>Average_kWh_per_t_ore</t>
  </si>
  <si>
    <t>StdDev_kWh</t>
  </si>
  <si>
    <t>N_kWh</t>
  </si>
  <si>
    <t>Average_L_diesel_per_t_rock</t>
  </si>
  <si>
    <t>StdDev_L</t>
  </si>
  <si>
    <t>N_L</t>
  </si>
  <si>
    <t>Period_Reported</t>
  </si>
  <si>
    <t>Granny Smith</t>
  </si>
  <si>
    <t>Goldfields</t>
  </si>
  <si>
    <t>OC+UG</t>
  </si>
  <si>
    <t>MCL</t>
  </si>
  <si>
    <t>7185 kg</t>
  </si>
  <si>
    <t>1989–2013</t>
  </si>
  <si>
    <t>Agnew</t>
  </si>
  <si>
    <t>6718 kg</t>
  </si>
  <si>
    <t>1991–2009</t>
  </si>
  <si>
    <t>St Ives</t>
  </si>
  <si>
    <t>12533 kg</t>
  </si>
  <si>
    <t>Darlot</t>
  </si>
  <si>
    <t>UG</t>
  </si>
  <si>
    <t>2482 kg</t>
  </si>
  <si>
    <t>1993–2007</t>
  </si>
  <si>
    <t>Cadia Valley</t>
  </si>
  <si>
    <t>Newcrest Mining</t>
  </si>
  <si>
    <t>Cu-Au</t>
  </si>
  <si>
    <t>OC</t>
  </si>
  <si>
    <t>MS</t>
  </si>
  <si>
    <t>56971 t</t>
  </si>
  <si>
    <t>2004–2009</t>
  </si>
  <si>
    <t>Ernest Henry</t>
  </si>
  <si>
    <t>Glencore</t>
  </si>
  <si>
    <t>MC</t>
  </si>
  <si>
    <t>35562 t</t>
  </si>
  <si>
    <t>1998–2007</t>
  </si>
  <si>
    <t>Mount Isa (Cu)</t>
  </si>
  <si>
    <t>Cu-Ag</t>
  </si>
  <si>
    <t>MCS</t>
  </si>
  <si>
    <t>142705 t</t>
  </si>
  <si>
    <t>2005–2012</t>
  </si>
  <si>
    <t>Osborne</t>
  </si>
  <si>
    <t>Barrick</t>
  </si>
  <si>
    <t>41270 t</t>
  </si>
  <si>
    <t>Prominent Hill</t>
  </si>
  <si>
    <t>OZ Minerals</t>
  </si>
  <si>
    <t>73362 t</t>
  </si>
  <si>
    <t>2009–2014</t>
  </si>
  <si>
    <t>Olympic Dam</t>
  </si>
  <si>
    <t>BHP Billiton</t>
  </si>
  <si>
    <t>Cu-U-Ag-Au</t>
  </si>
  <si>
    <t>MCSRL</t>
  </si>
  <si>
    <t>166200 t</t>
  </si>
  <si>
    <t>1991–2014</t>
  </si>
  <si>
    <t>Telfer</t>
  </si>
  <si>
    <t>32906 t</t>
  </si>
  <si>
    <t>2005–2009</t>
  </si>
  <si>
    <t>Cannington</t>
  </si>
  <si>
    <t>Pb-Ag</t>
  </si>
  <si>
    <t>210815 t</t>
  </si>
  <si>
    <t>McArthur River</t>
  </si>
  <si>
    <t>Zn-Pb-Ag</t>
  </si>
  <si>
    <t>203300 t</t>
  </si>
  <si>
    <t>2006–2010</t>
  </si>
  <si>
    <t>Century</t>
  </si>
  <si>
    <t>MMG</t>
  </si>
  <si>
    <t>488233 t</t>
  </si>
  <si>
    <t>Golden Grove</t>
  </si>
  <si>
    <t>Zn-Cu-Ag-Au</t>
  </si>
  <si>
    <t>23619 t</t>
  </si>
  <si>
    <t>Rosebery</t>
  </si>
  <si>
    <t>Zn-Pb-Cu-Ag-Au</t>
  </si>
  <si>
    <t>88369 t</t>
  </si>
  <si>
    <t>Mantos Blancos</t>
  </si>
  <si>
    <t>AngloAmerican</t>
  </si>
  <si>
    <t>MCSL</t>
  </si>
  <si>
    <t>54600 t</t>
  </si>
  <si>
    <t>2002–2014</t>
  </si>
  <si>
    <t>El Soldado</t>
  </si>
  <si>
    <t>51500 t</t>
  </si>
  <si>
    <t>Mantoverde</t>
  </si>
  <si>
    <t>ML</t>
  </si>
  <si>
    <t>56800 t</t>
  </si>
  <si>
    <t>El Tesoro</t>
  </si>
  <si>
    <t>Antofagasta Minerals</t>
  </si>
  <si>
    <t>102600 t</t>
  </si>
  <si>
    <t>2007–2014</t>
  </si>
  <si>
    <t>Michilla</t>
  </si>
  <si>
    <t>38300 t</t>
  </si>
  <si>
    <t>Escondida</t>
  </si>
  <si>
    <t>1193680 t</t>
  </si>
  <si>
    <t>2001–2014</t>
  </si>
  <si>
    <t>Radomiro Tomic</t>
  </si>
  <si>
    <t>CODELCO</t>
  </si>
  <si>
    <t>379589 t</t>
  </si>
  <si>
    <t>2011–2013</t>
  </si>
  <si>
    <t>Collahuasi</t>
  </si>
  <si>
    <t>AngloAmerican+Glencore</t>
  </si>
  <si>
    <t>Cu-Mo</t>
  </si>
  <si>
    <t>444509 t</t>
  </si>
  <si>
    <t>Los Pelambres</t>
  </si>
  <si>
    <t>405300 t</t>
  </si>
  <si>
    <t>Chuquicamata</t>
  </si>
  <si>
    <t>339012 t</t>
  </si>
  <si>
    <t>2000–2013</t>
  </si>
  <si>
    <t>Los Bronces</t>
  </si>
  <si>
    <t>416300 t</t>
  </si>
  <si>
    <t>División Andina</t>
  </si>
  <si>
    <t>Cu-Mo-Ag</t>
  </si>
  <si>
    <t>236715 t</t>
  </si>
  <si>
    <t>2001–2012013</t>
  </si>
  <si>
    <t>Salvador</t>
  </si>
  <si>
    <t>Cu-Mo-Ag-Au</t>
  </si>
  <si>
    <t>MSCL</t>
  </si>
  <si>
    <t>54242 t</t>
  </si>
  <si>
    <t>2001–2013</t>
  </si>
  <si>
    <t>El Teniente</t>
  </si>
  <si>
    <t>450390 t</t>
  </si>
  <si>
    <t>Sepon</t>
  </si>
  <si>
    <t>90030 t</t>
  </si>
  <si>
    <t>2008–2014</t>
  </si>
  <si>
    <t>El Porvenir</t>
  </si>
  <si>
    <t>Milpo</t>
  </si>
  <si>
    <t>Zn-Pb-Cu</t>
  </si>
  <si>
    <t>117628 t</t>
  </si>
  <si>
    <t>2008–2013</t>
  </si>
  <si>
    <t>Cerro Lindo</t>
  </si>
  <si>
    <t>278234 t</t>
  </si>
  <si>
    <t>Antamina</t>
  </si>
  <si>
    <t>BHP+Glencore+Teck</t>
  </si>
  <si>
    <t>Zn-Cu-Mo</t>
  </si>
  <si>
    <t>73913 t (2012)</t>
  </si>
  <si>
    <t>Neves-Corvo</t>
  </si>
  <si>
    <t>Lundin Mining</t>
  </si>
  <si>
    <t>Zn-Cu-Pb-Ag</t>
  </si>
  <si>
    <t>53385 t</t>
  </si>
  <si>
    <t>Aguablanca</t>
  </si>
  <si>
    <t>Ni-Cu</t>
  </si>
  <si>
    <t>6242 t</t>
  </si>
  <si>
    <t>Zinkgruvan</t>
  </si>
  <si>
    <t>Zn-Pb-Cu-Ag</t>
  </si>
  <si>
    <t>71366 t</t>
  </si>
  <si>
    <t>Bingham Canyon</t>
  </si>
  <si>
    <t>Rio Tinto</t>
  </si>
  <si>
    <t>MCSR</t>
  </si>
  <si>
    <t>212200 t (2007)</t>
  </si>
  <si>
    <t>2003–2007</t>
  </si>
  <si>
    <t>Country</t>
  </si>
  <si>
    <t>Chile</t>
  </si>
  <si>
    <t>Laos</t>
  </si>
  <si>
    <t>Peru</t>
  </si>
  <si>
    <t>United States</t>
  </si>
  <si>
    <t>Sweden</t>
  </si>
  <si>
    <t>Portugal</t>
  </si>
  <si>
    <t>Spain</t>
  </si>
  <si>
    <t>Au_non_refractory</t>
  </si>
  <si>
    <t>NorgateHaque2012</t>
  </si>
  <si>
    <t>OG</t>
  </si>
  <si>
    <t>OG_unit</t>
  </si>
  <si>
    <t>Embodied energy</t>
  </si>
  <si>
    <t>Energy consumption</t>
  </si>
  <si>
    <t>Mining+beneficiation</t>
  </si>
  <si>
    <t>Au_Refractory</t>
  </si>
  <si>
    <t>Embodied water</t>
  </si>
  <si>
    <t>NorgateHaque2010</t>
  </si>
  <si>
    <t>Cu (pyrometallurgical)</t>
  </si>
  <si>
    <t>Norgate&amp;Haque 2012</t>
  </si>
  <si>
    <t>Chen 2018</t>
  </si>
  <si>
    <t>Konaré 2024</t>
  </si>
  <si>
    <t xml:space="preserve">Process stage </t>
  </si>
  <si>
    <t xml:space="preserve"> Material </t>
  </si>
  <si>
    <t xml:space="preserve"> Purpose</t>
  </si>
  <si>
    <t xml:space="preserve">Mining </t>
  </si>
  <si>
    <t xml:space="preserve"> Explosives (ANFO, emulsions) </t>
  </si>
  <si>
    <t xml:space="preserve"> Fragmentation of ore and waste rock</t>
  </si>
  <si>
    <t xml:space="preserve"> Ammonium nitrate </t>
  </si>
  <si>
    <t xml:space="preserve"> Precursor for ANFO explosives</t>
  </si>
  <si>
    <t xml:space="preserve"> Diesel fuel </t>
  </si>
  <si>
    <t xml:space="preserve"> Energy for haul trucks, loaders, drills, generators</t>
  </si>
  <si>
    <t xml:space="preserve"> Lubricants and oils </t>
  </si>
  <si>
    <t xml:space="preserve"> Maintenance of mobile mining equipment</t>
  </si>
  <si>
    <t xml:space="preserve"> Hydraulic fluid </t>
  </si>
  <si>
    <t xml:space="preserve"> Operation and maintenance of heavy machinery</t>
  </si>
  <si>
    <t xml:space="preserve"> Cement / shotcrete </t>
  </si>
  <si>
    <t xml:space="preserve"> Ground support in underground operations</t>
  </si>
  <si>
    <t xml:space="preserve"> Steel bolts, mesh, rebar </t>
  </si>
  <si>
    <t xml:space="preserve"> Ground support and rock stabilization</t>
  </si>
  <si>
    <t xml:space="preserve"> Timber </t>
  </si>
  <si>
    <t xml:space="preserve"> Roof and wall support (UG mines)</t>
  </si>
  <si>
    <t xml:space="preserve"> Calcium chloride / sodium chloride </t>
  </si>
  <si>
    <t xml:space="preserve"> Dust suppression on roads</t>
  </si>
  <si>
    <t xml:space="preserve"> Water </t>
  </si>
  <si>
    <t xml:space="preserve"> Drilling, dust control</t>
  </si>
  <si>
    <t xml:space="preserve">Comminution (Crushing &amp; Grinding) </t>
  </si>
  <si>
    <t xml:space="preserve"> Grinding media (steel balls) </t>
  </si>
  <si>
    <t xml:space="preserve"> Grinding ore in ball mills</t>
  </si>
  <si>
    <t xml:space="preserve"> Mill liners (rubber or steel) </t>
  </si>
  <si>
    <t xml:space="preserve"> Protecting mill shell from wear</t>
  </si>
  <si>
    <t xml:space="preserve"> Process water </t>
  </si>
  <si>
    <t xml:space="preserve"> Ore slurry formation</t>
  </si>
  <si>
    <t xml:space="preserve"> Flocculants </t>
  </si>
  <si>
    <t xml:space="preserve"> Thickening, solid–liquid separation</t>
  </si>
  <si>
    <t xml:space="preserve"> Regrind reagents </t>
  </si>
  <si>
    <t xml:space="preserve"> Fines management or flotation prep (site-specific)</t>
  </si>
  <si>
    <t xml:space="preserve">Gravity concentration </t>
  </si>
  <si>
    <t xml:space="preserve"> Operation of gravity concentrators (Knelson/Falcon)</t>
  </si>
  <si>
    <t xml:space="preserve"> Smelting fluxes (borax, silica, soda ash) </t>
  </si>
  <si>
    <t xml:space="preserve"> Smelting gravity gold concentrate into doré</t>
  </si>
  <si>
    <t xml:space="preserve">Cyanidation (CIL/CIP) </t>
  </si>
  <si>
    <t xml:space="preserve"> Sodium cyanide (NaCN) </t>
  </si>
  <si>
    <t xml:space="preserve"> Leaching agent to dissolve gold</t>
  </si>
  <si>
    <t xml:space="preserve"> Lime (CaO) </t>
  </si>
  <si>
    <t xml:space="preserve"> pH control to prevent HCN gas formation and enhance leaching</t>
  </si>
  <si>
    <t xml:space="preserve"> Caustic soda (NaOH) </t>
  </si>
  <si>
    <t xml:space="preserve"> pH adjustment and reagent preparation</t>
  </si>
  <si>
    <t xml:space="preserve"> Lead nitrate </t>
  </si>
  <si>
    <t xml:space="preserve"> Enhances gold dissolution and prevents passivation</t>
  </si>
  <si>
    <t xml:space="preserve"> Hydrogen peroxide </t>
  </si>
  <si>
    <t xml:space="preserve"> Oxidation of impurities, cyanide destruction</t>
  </si>
  <si>
    <t xml:space="preserve"> Copper sulfate </t>
  </si>
  <si>
    <t xml:space="preserve"> Reagent control; sometimes used in detox circuits</t>
  </si>
  <si>
    <t xml:space="preserve"> Leach slurry preparation</t>
  </si>
  <si>
    <t xml:space="preserve"> Antiscalants </t>
  </si>
  <si>
    <t xml:space="preserve"> Prevent scaling in tanks and pipelines</t>
  </si>
  <si>
    <t xml:space="preserve">Carbon adsorption (CIL/CIP) </t>
  </si>
  <si>
    <t xml:space="preserve"> Activated carbon </t>
  </si>
  <si>
    <t xml:space="preserve"> Adsorbs dissolved gold from slurry</t>
  </si>
  <si>
    <t xml:space="preserve"> Hydrochloric acid (HCl) </t>
  </si>
  <si>
    <t xml:space="preserve"> Carbon acid-wash to remove scale/fouling</t>
  </si>
  <si>
    <t xml:space="preserve"> Steam / heat </t>
  </si>
  <si>
    <t xml:space="preserve"> Regenerating carbon or heating for elution</t>
  </si>
  <si>
    <t xml:space="preserve">Stripping &amp; Electrowinning </t>
  </si>
  <si>
    <t xml:space="preserve"> Sodium hydroxide (NaOH) </t>
  </si>
  <si>
    <t xml:space="preserve"> Stripping solution in elution circuit (Zadra/AARL)</t>
  </si>
  <si>
    <t xml:space="preserve"> Part of elution solution chemistry</t>
  </si>
  <si>
    <t xml:space="preserve"> Steel wool cathodes </t>
  </si>
  <si>
    <t xml:space="preserve"> Deposition substrate for electrowinning gold</t>
  </si>
  <si>
    <t xml:space="preserve"> Electricity </t>
  </si>
  <si>
    <t xml:space="preserve"> Power for electrowinning cells</t>
  </si>
  <si>
    <t xml:space="preserve"> Acid (HCl) </t>
  </si>
  <si>
    <t xml:space="preserve"> Cleaning or reactivating cathodes</t>
  </si>
  <si>
    <t xml:space="preserve">Smelting (doré) </t>
  </si>
  <si>
    <t xml:space="preserve"> Fluxes (silica, borax, soda ash) </t>
  </si>
  <si>
    <t xml:space="preserve"> Separate precious metals from impurities</t>
  </si>
  <si>
    <t xml:space="preserve"> Natural gas / propane </t>
  </si>
  <si>
    <t xml:space="preserve"> Furnace fuel for melting</t>
  </si>
  <si>
    <t xml:space="preserve"> Nitric acid (limited use) </t>
  </si>
  <si>
    <t xml:space="preserve"> Small-scale purification or matte treatment</t>
  </si>
  <si>
    <t xml:space="preserve"> Crucibles &amp; refractory materials </t>
  </si>
  <si>
    <t xml:space="preserve"> Contain molten metal during smelting</t>
  </si>
  <si>
    <t xml:space="preserve">Tailings management &amp; Detox </t>
  </si>
  <si>
    <t xml:space="preserve"> Lime </t>
  </si>
  <si>
    <t xml:space="preserve"> pH adjustment for cyanide detoxification</t>
  </si>
  <si>
    <t xml:space="preserve"> Sodium metabisulfite (SMBS) </t>
  </si>
  <si>
    <t xml:space="preserve"> SO₂ source for INCO cyanide destruction</t>
  </si>
  <si>
    <t xml:space="preserve"> Catalyst for INCO SO₂–air cyanide destruction</t>
  </si>
  <si>
    <t xml:space="preserve"> Alternative cyanide destruction reagent</t>
  </si>
  <si>
    <t xml:space="preserve"> Tailings thickening and water clarification</t>
  </si>
  <si>
    <t xml:space="preserve"> Coagulants </t>
  </si>
  <si>
    <t xml:space="preserve"> Water treatment and solids settling</t>
  </si>
  <si>
    <t xml:space="preserve"> Tailings transport and reclaim</t>
  </si>
  <si>
    <t xml:space="preserve"> Fragmentation of ore and waste rock in open-pit or underground stopes</t>
  </si>
  <si>
    <t xml:space="preserve"> Oxidizer for ANFO explosive mixtures</t>
  </si>
  <si>
    <t xml:space="preserve"> Energy for haul trucks, loaders, drills and generators</t>
  </si>
  <si>
    <t xml:space="preserve"> Maintenance of mobile mining and haulage equipment</t>
  </si>
  <si>
    <t xml:space="preserve"> Hydraulic fluids </t>
  </si>
  <si>
    <t xml:space="preserve"> Power transmission in drills, loaders, haul trucks</t>
  </si>
  <si>
    <t xml:space="preserve"> Ground support and backfill in underground workings</t>
  </si>
  <si>
    <t xml:space="preserve"> Calcium chloride / road salt </t>
  </si>
  <si>
    <t xml:space="preserve"> Dust suppression and road conditioning</t>
  </si>
  <si>
    <t xml:space="preserve"> Drilling, dust suppression, equipment washing</t>
  </si>
  <si>
    <t xml:space="preserve">Crushing &amp; primary grinding </t>
  </si>
  <si>
    <t xml:space="preserve"> Grinding media (steel balls/rods) </t>
  </si>
  <si>
    <t xml:space="preserve"> Size reduction of ore in SAG/ball mills</t>
  </si>
  <si>
    <t xml:space="preserve"> Mill liners (steel, rubber) </t>
  </si>
  <si>
    <t xml:space="preserve"> Protect mill shell from wear</t>
  </si>
  <si>
    <t xml:space="preserve"> Formation of slurry and mill cooling</t>
  </si>
  <si>
    <t xml:space="preserve"> Solid–liquid separation in thickeners between circuits</t>
  </si>
  <si>
    <t xml:space="preserve">Flotation – collectors </t>
  </si>
  <si>
    <t xml:space="preserve"> Xanthates (e.g. PAX, SIPX) </t>
  </si>
  <si>
    <t xml:space="preserve"> Collectors for Cu, Ni and associated sulphide minerals</t>
  </si>
  <si>
    <t xml:space="preserve"> Dithiophosphates / dithiocarbamates </t>
  </si>
  <si>
    <t xml:space="preserve"> Secondary collectors for precious metals and complex sulphides</t>
  </si>
  <si>
    <t xml:space="preserve">Flotation – frothers </t>
  </si>
  <si>
    <t xml:space="preserve"> MIBC, Dowfroth or similar </t>
  </si>
  <si>
    <t xml:space="preserve"> Creates stable froth to carry hydrophobic particles</t>
  </si>
  <si>
    <t xml:space="preserve">Flotation – pH modifiers </t>
  </si>
  <si>
    <t xml:space="preserve"> Raises pH; depresses pyrite; improves selectivity for Cu/Ni vs gangue</t>
  </si>
  <si>
    <t xml:space="preserve"> Sulphuric acid / soda ash </t>
  </si>
  <si>
    <t xml:space="preserve"> Occasional pH adjustment depending on circuit</t>
  </si>
  <si>
    <t xml:space="preserve">Flotation – depressants </t>
  </si>
  <si>
    <t xml:space="preserve"> Sodium cyanide (low dosage) </t>
  </si>
  <si>
    <t xml:space="preserve"> Depresses sphalerite/pyrite in Cu circuits (selective Cu flotation)</t>
  </si>
  <si>
    <t xml:space="preserve"> Zinc sulphate </t>
  </si>
  <si>
    <t xml:space="preserve"> Depresses sphalerite where Zn is not targeted</t>
  </si>
  <si>
    <t xml:space="preserve"> Sodium hydrosulphide (NaHS) or SO₂ </t>
  </si>
  <si>
    <t xml:space="preserve"> Activates/depresses specific sulphides for differential flotation</t>
  </si>
  <si>
    <t xml:space="preserve">Flotation – modifiers </t>
  </si>
  <si>
    <t xml:space="preserve"> Copper sulphate </t>
  </si>
  <si>
    <t xml:space="preserve"> Activator for sphalerite or nickel sulphides in some circuits</t>
  </si>
  <si>
    <t xml:space="preserve">Flotation – conditioners </t>
  </si>
  <si>
    <t xml:space="preserve"> Starch / CMC / guar </t>
  </si>
  <si>
    <t xml:space="preserve"> Depresses talc and clays; improves froth stability</t>
  </si>
  <si>
    <t xml:space="preserve">Flotation – water </t>
  </si>
  <si>
    <t xml:space="preserve"> Process water / recycled water </t>
  </si>
  <si>
    <t xml:space="preserve"> Slurry transport and reagent distribution</t>
  </si>
  <si>
    <t xml:space="preserve">Regrind &amp; cleaning </t>
  </si>
  <si>
    <t xml:space="preserve"> Grinding media </t>
  </si>
  <si>
    <t xml:space="preserve"> Further size reduction of intermediate concentrates for liberation</t>
  </si>
  <si>
    <t xml:space="preserve"> Slurry in regrind mills and cleaning stages</t>
  </si>
  <si>
    <t xml:space="preserve"> Thickener aid ahead of cleaning flotation</t>
  </si>
  <si>
    <t xml:space="preserve">Concentrate thickening &amp; filtration </t>
  </si>
  <si>
    <t xml:space="preserve"> Flocculants (polyacrylamide) </t>
  </si>
  <si>
    <t xml:space="preserve"> Enhance settling in concentrate thickeners</t>
  </si>
  <si>
    <t xml:space="preserve"> Filter cloths and filter aids </t>
  </si>
  <si>
    <t xml:space="preserve"> Improve filtration and cake moisture reduction</t>
  </si>
  <si>
    <t xml:space="preserve"> Reagents for concentrate heating (steam) </t>
  </si>
  <si>
    <t xml:space="preserve"> Reduce viscosity and aid filtration where used</t>
  </si>
  <si>
    <t xml:space="preserve">Tailings thickening &amp; disposal </t>
  </si>
  <si>
    <t xml:space="preserve"> Improve settling of fine tailings solids</t>
  </si>
  <si>
    <t xml:space="preserve"> Assist in water clarification and recycle</t>
  </si>
  <si>
    <t xml:space="preserve"> Lime or caustic </t>
  </si>
  <si>
    <t xml:space="preserve"> pH adjustment for environmental compliance</t>
  </si>
  <si>
    <t xml:space="preserve"> Transport of tailings slurry to TSF and reclaim water circuit</t>
  </si>
  <si>
    <t>Cu-Ni sulfide</t>
  </si>
  <si>
    <t>Au free-milling</t>
  </si>
  <si>
    <t xml:space="preserve">Ore concentrate reception &amp; preparation </t>
  </si>
  <si>
    <t xml:space="preserve"> Slurry make-up and washing of concentrate</t>
  </si>
  <si>
    <t xml:space="preserve"> Final grinding of concentrate for leaching</t>
  </si>
  <si>
    <t xml:space="preserve"> Lime / limestone </t>
  </si>
  <si>
    <t xml:space="preserve"> Neutralization and pH control before/after leach</t>
  </si>
  <si>
    <t xml:space="preserve">Pressure / atmospheric leaching </t>
  </si>
  <si>
    <t xml:space="preserve"> Sulphuric acid (H2SO4) </t>
  </si>
  <si>
    <t xml:space="preserve"> Main leaching agent for Ni, Cu, Co sulphides</t>
  </si>
  <si>
    <t xml:space="preserve"> Oxygen / air </t>
  </si>
  <si>
    <t xml:space="preserve"> Oxidant to convert sulphides to soluble sulphates</t>
  </si>
  <si>
    <t xml:space="preserve"> Steam </t>
  </si>
  <si>
    <t xml:space="preserve"> Provides heat and pressure for autoclave operation</t>
  </si>
  <si>
    <t xml:space="preserve"> Antifoam agents </t>
  </si>
  <si>
    <t xml:space="preserve"> Control foaming in autoclaves and leach tanks</t>
  </si>
  <si>
    <t xml:space="preserve">Solution purification – neutralization </t>
  </si>
  <si>
    <t xml:space="preserve"> Precipitation of iron and impurities</t>
  </si>
  <si>
    <t xml:space="preserve"> Magnesium oxide / hydroxide </t>
  </si>
  <si>
    <t xml:space="preserve"> Additional neutralization reagent in some circuits</t>
  </si>
  <si>
    <t xml:space="preserve">Solution purification – SX / ion exchange </t>
  </si>
  <si>
    <t xml:space="preserve"> Organic extractants (e.g. Cyanex, D2EHPA) </t>
  </si>
  <si>
    <t xml:space="preserve"> Selective extraction of Ni, Cu, Co from leach liquor</t>
  </si>
  <si>
    <t xml:space="preserve"> Kerosene or similar diluent </t>
  </si>
  <si>
    <t xml:space="preserve"> Carrier phase for organic extractant</t>
  </si>
  <si>
    <t xml:space="preserve"> Strip acids / bases </t>
  </si>
  <si>
    <t xml:space="preserve"> Regenerate loaded organic and transfer metals to electrolyte</t>
  </si>
  <si>
    <t xml:space="preserve">Metal recovery – Cu/Co/Ni </t>
  </si>
  <si>
    <t xml:space="preserve"> Electrolyte salts (e.g. NiSO4, CoSO4) </t>
  </si>
  <si>
    <t xml:space="preserve"> Maintain ionic strength for electrowinning</t>
  </si>
  <si>
    <t xml:space="preserve"> Stainless or inert cathodes </t>
  </si>
  <si>
    <t xml:space="preserve"> Deposition surface for Ni/Cu/Co metals</t>
  </si>
  <si>
    <t xml:space="preserve"> Anodes (Pb, Pb–Ca–Sn etc.) </t>
  </si>
  <si>
    <t xml:space="preserve"> Anodic source in electrolysis cells</t>
  </si>
  <si>
    <t xml:space="preserve">Residue &amp; effluent treatment </t>
  </si>
  <si>
    <t xml:space="preserve"> Lime / caustic soda </t>
  </si>
  <si>
    <t xml:space="preserve"> Neutralization of acidic effluents</t>
  </si>
  <si>
    <t xml:space="preserve"> Barium chloride / sulphate scavengers </t>
  </si>
  <si>
    <t xml:space="preserve"> Precipitation of sulphate/radium where required</t>
  </si>
  <si>
    <t xml:space="preserve"> Flocculants &amp; coagulants </t>
  </si>
  <si>
    <t xml:space="preserve"> Solid–liquid separation and water clarification</t>
  </si>
  <si>
    <t xml:space="preserve"> Filter aids / geotextiles </t>
  </si>
  <si>
    <t xml:space="preserve"> Dewatering of hydromet residues</t>
  </si>
  <si>
    <t>Ni hydrometallurgical refining</t>
  </si>
  <si>
    <t xml:space="preserve">Ore receiving &amp; blending </t>
  </si>
  <si>
    <t xml:space="preserve"> Slurry transport from mine and blending in tanks</t>
  </si>
  <si>
    <t xml:space="preserve"> Lime / caustic </t>
  </si>
  <si>
    <t xml:space="preserve"> pH adjustment for safe handling and blending</t>
  </si>
  <si>
    <t xml:space="preserve"> Ferric sulphate / ferric iron </t>
  </si>
  <si>
    <t xml:space="preserve"> Oxidant or redox control in some circuits</t>
  </si>
  <si>
    <t xml:space="preserve">Crushing &amp; grinding </t>
  </si>
  <si>
    <t xml:space="preserve"> Size reduction of ore/slurry to leach feed size</t>
  </si>
  <si>
    <t xml:space="preserve"> Mill liners </t>
  </si>
  <si>
    <t xml:space="preserve"> Protection of mills from abrasion</t>
  </si>
  <si>
    <t xml:space="preserve"> Formation of slurry</t>
  </si>
  <si>
    <t xml:space="preserve">Acid leaching </t>
  </si>
  <si>
    <t xml:space="preserve"> Primary leachant to dissolve uranium from ore</t>
  </si>
  <si>
    <t xml:space="preserve"> Oxidants (H2O2, MnO2, NaClO3, O2) </t>
  </si>
  <si>
    <t xml:space="preserve"> Oxidize U4+ to soluble U6+ in leach</t>
  </si>
  <si>
    <t xml:space="preserve"> Heating leach reactors or pachucas</t>
  </si>
  <si>
    <t xml:space="preserve"> Foam control in leach tanks</t>
  </si>
  <si>
    <t xml:space="preserve"> Lead nitrate / catalysts </t>
  </si>
  <si>
    <t xml:space="preserve"> Improve oxidation/kinetics in some leach conditions</t>
  </si>
  <si>
    <t xml:space="preserve">Counter-current decantation (CCD) </t>
  </si>
  <si>
    <t xml:space="preserve"> Aid settling of leach residues in CCD thickeners</t>
  </si>
  <si>
    <t xml:space="preserve"> Enhance clarity of overflow solution</t>
  </si>
  <si>
    <t xml:space="preserve"> Wash water </t>
  </si>
  <si>
    <t xml:space="preserve"> Recovery of dissolved uranium from residue</t>
  </si>
  <si>
    <t xml:space="preserve"> Organic extractant (e.g. tertiary amines, organophosphorus) </t>
  </si>
  <si>
    <t xml:space="preserve"> Selectively extract U from leach liquor</t>
  </si>
  <si>
    <t xml:space="preserve"> Carrier for extractant in SX circuits</t>
  </si>
  <si>
    <t xml:space="preserve"> Strip reagents (ammonia, sodium carbonate) </t>
  </si>
  <si>
    <t xml:space="preserve"> Strip U from loaded organic into aqueous product stream</t>
  </si>
  <si>
    <t xml:space="preserve"> Anti-solvent / phase modifiers </t>
  </si>
  <si>
    <t xml:space="preserve"> Improve phase separation and stability</t>
  </si>
  <si>
    <t xml:space="preserve">Precipitation &amp; calcining </t>
  </si>
  <si>
    <t xml:space="preserve"> Ammonia (NH3 / NH4OH) </t>
  </si>
  <si>
    <t xml:space="preserve"> Precipitate ammonium diuranate (ADU) from purified solution</t>
  </si>
  <si>
    <t xml:space="preserve"> Hydrogen peroxide (H2O2) </t>
  </si>
  <si>
    <t xml:space="preserve"> Alternative precipitant (uranium peroxide)</t>
  </si>
  <si>
    <t xml:space="preserve"> Lime / magnesia </t>
  </si>
  <si>
    <t xml:space="preserve"> Neutralization and by-product salt formation (e.g., ammonium sulphate)</t>
  </si>
  <si>
    <t xml:space="preserve"> Natural gas / fuel oil </t>
  </si>
  <si>
    <t xml:space="preserve"> Heat source for drying and calcining to U3O8</t>
  </si>
  <si>
    <t xml:space="preserve"> Filter cloths &amp; aids </t>
  </si>
  <si>
    <t xml:space="preserve"> Dewatering of yellowcake prior to calcining</t>
  </si>
  <si>
    <t xml:space="preserve">Tailings &amp; effluent treatment </t>
  </si>
  <si>
    <t xml:space="preserve"> Neutralization of acidic tailings and effluents</t>
  </si>
  <si>
    <t xml:space="preserve"> Barium chloride / barium sulphate </t>
  </si>
  <si>
    <t xml:space="preserve"> Radium and sulphate precipitation</t>
  </si>
  <si>
    <t xml:space="preserve"> Ferrous sulphate / reducing agents </t>
  </si>
  <si>
    <t xml:space="preserve"> Control of redox and metal speciation</t>
  </si>
  <si>
    <t xml:space="preserve"> Settling and water clarification in TMF</t>
  </si>
  <si>
    <t xml:space="preserve"> Covers/liners materials </t>
  </si>
  <si>
    <t xml:space="preserve"> Ensure containment of tailings (geomembranes, clay)</t>
  </si>
  <si>
    <t>U</t>
  </si>
  <si>
    <t xml:space="preserve"> Fragmentation of iron ore and waste rock in open pits</t>
  </si>
  <si>
    <t xml:space="preserve"> Energy for haul trucks, drills and shovels</t>
  </si>
  <si>
    <t xml:space="preserve"> Maintenance of mining equipment</t>
  </si>
  <si>
    <t xml:space="preserve"> Operation of shovels, drills, loaders</t>
  </si>
  <si>
    <t xml:space="preserve"> Dust suppression, drilling, equipment washing</t>
  </si>
  <si>
    <t xml:space="preserve"> Size reduction of ore prior to separation</t>
  </si>
  <si>
    <t xml:space="preserve"> Protect mills from wear</t>
  </si>
  <si>
    <t xml:space="preserve"> Slurry formation for grinding and classification</t>
  </si>
  <si>
    <t xml:space="preserve"> Thickening between grinding and separation stages</t>
  </si>
  <si>
    <t xml:space="preserve">Magnetic / gravity separation </t>
  </si>
  <si>
    <t xml:space="preserve"> Transport medium in wet magnetic separators / spirals</t>
  </si>
  <si>
    <t xml:space="preserve"> Starch / carboxymethyl cellulose </t>
  </si>
  <si>
    <t xml:space="preserve"> Depressant for silica or clays in some circuits</t>
  </si>
  <si>
    <t xml:space="preserve"> Assist settling of concentrates and tailings</t>
  </si>
  <si>
    <t xml:space="preserve"> Improve thickener performance for iron concentrate</t>
  </si>
  <si>
    <t xml:space="preserve"> Dewater concentrate to suitable moisture for transport or pelletizing</t>
  </si>
  <si>
    <t xml:space="preserve">Pelletizing – mixing </t>
  </si>
  <si>
    <t xml:space="preserve"> Iron ore concentrate </t>
  </si>
  <si>
    <t xml:space="preserve"> Main feed for pellet production</t>
  </si>
  <si>
    <t xml:space="preserve"> Bentonite </t>
  </si>
  <si>
    <t xml:space="preserve"> Binder that imparts green strength to pellets</t>
  </si>
  <si>
    <t xml:space="preserve"> Limestone / dolomite </t>
  </si>
  <si>
    <t xml:space="preserve"> Flux to adjust basicity of pellets</t>
  </si>
  <si>
    <t xml:space="preserve"> Olivine / dolomitic additives </t>
  </si>
  <si>
    <t xml:space="preserve"> Improve pellet strength and reducibility</t>
  </si>
  <si>
    <t xml:space="preserve"> Coke breeze / anthracite </t>
  </si>
  <si>
    <t xml:space="preserve"> Solid fuel within pellets for induration heat</t>
  </si>
  <si>
    <t xml:space="preserve">Pelletizing – balling &amp; induration </t>
  </si>
  <si>
    <t xml:space="preserve"> Green ball formation and pelletizing</t>
  </si>
  <si>
    <t xml:space="preserve"> Natural gas / oil </t>
  </si>
  <si>
    <t xml:space="preserve"> Fuel for induration furnace/straight grate</t>
  </si>
  <si>
    <t xml:space="preserve"> Refractory bricks </t>
  </si>
  <si>
    <t xml:space="preserve"> High-temperature lining in induration furnaces</t>
  </si>
  <si>
    <t xml:space="preserve">Tailings management </t>
  </si>
  <si>
    <t xml:space="preserve"> Settling of fine tailings particles</t>
  </si>
  <si>
    <t xml:space="preserve"> Tailings transport and reclaim water system</t>
  </si>
  <si>
    <t xml:space="preserve"> pH adjustment and control of metal solubility where needed</t>
  </si>
  <si>
    <t>Fe ore (magnetite/hematite) concentrator &amp; pellet</t>
  </si>
  <si>
    <t>Pyrometallurgical treatment of sulfide ores</t>
  </si>
  <si>
    <t>https://linkinghub.elsevier.com/retrieve/pii/S0959652612004982</t>
  </si>
  <si>
    <t>Originally from Northey et al (2013), used in Argonne GREET 2022, Kuipers et al. 2018, in Van der Voet. 2019, Harpeccht et al 2021</t>
  </si>
  <si>
    <t>Need to extract from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</si>
</sst>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0"/>
    <numFmt numFmtId="167" formatCode="#,##0.0000"/>
  </numFmts>
  <fonts count="30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</font>
    <font>
      <u/>
      <sz val="11"/>
      <color rgb="FF0000FF"/>
      <name val="Aptos Narrow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24" fillId="0" borderId="0" applyNumberFormat="0" applyFill="0" applyBorder="0" applyAlignment="0" applyProtection="0"/>
    <xf numFmtId="0" fontId="8" fillId="0" borderId="0"/>
  </cellStyleXfs>
  <cellXfs count="124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2" borderId="0" xfId="0" applyFont="1" applyFill="1"/>
    <xf numFmtId="0" fontId="17" fillId="3" borderId="0" xfId="0" applyFont="1" applyFill="1"/>
    <xf numFmtId="10" fontId="17" fillId="0" borderId="0" xfId="0" applyNumberFormat="1" applyFo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0" fontId="18" fillId="0" borderId="0" xfId="0" applyFont="1"/>
    <xf numFmtId="0" fontId="19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1" fontId="21" fillId="0" borderId="6" xfId="0" applyNumberFormat="1" applyFont="1" applyBorder="1"/>
    <xf numFmtId="2" fontId="20" fillId="0" borderId="0" xfId="0" applyNumberFormat="1" applyFont="1"/>
    <xf numFmtId="2" fontId="20" fillId="0" borderId="7" xfId="0" applyNumberFormat="1" applyFont="1" applyBorder="1"/>
    <xf numFmtId="0" fontId="21" fillId="0" borderId="6" xfId="0" applyFont="1" applyBorder="1"/>
    <xf numFmtId="165" fontId="20" fillId="0" borderId="0" xfId="0" applyNumberFormat="1" applyFont="1"/>
    <xf numFmtId="165" fontId="20" fillId="0" borderId="7" xfId="0" applyNumberFormat="1" applyFont="1" applyBorder="1"/>
    <xf numFmtId="0" fontId="21" fillId="0" borderId="8" xfId="0" applyFont="1" applyBorder="1"/>
    <xf numFmtId="2" fontId="20" fillId="0" borderId="9" xfId="0" applyNumberFormat="1" applyFont="1" applyBorder="1"/>
    <xf numFmtId="2" fontId="20" fillId="0" borderId="10" xfId="0" applyNumberFormat="1" applyFont="1" applyBorder="1"/>
    <xf numFmtId="0" fontId="12" fillId="0" borderId="1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/>
    <xf numFmtId="0" fontId="12" fillId="0" borderId="8" xfId="0" applyFont="1" applyBorder="1"/>
    <xf numFmtId="0" fontId="20" fillId="0" borderId="13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0" fillId="0" borderId="6" xfId="0" applyFont="1" applyBorder="1"/>
    <xf numFmtId="0" fontId="20" fillId="0" borderId="14" xfId="0" applyFont="1" applyBorder="1"/>
    <xf numFmtId="0" fontId="20" fillId="0" borderId="10" xfId="0" applyFont="1" applyBorder="1"/>
    <xf numFmtId="0" fontId="20" fillId="0" borderId="9" xfId="0" applyFont="1" applyBorder="1"/>
    <xf numFmtId="11" fontId="20" fillId="0" borderId="15" xfId="0" applyNumberFormat="1" applyFont="1" applyBorder="1"/>
    <xf numFmtId="11" fontId="20" fillId="0" borderId="7" xfId="0" applyNumberFormat="1" applyFont="1" applyBorder="1"/>
    <xf numFmtId="11" fontId="20" fillId="0" borderId="0" xfId="0" applyNumberFormat="1" applyFont="1"/>
    <xf numFmtId="0" fontId="20" fillId="0" borderId="15" xfId="0" applyFont="1" applyBorder="1"/>
    <xf numFmtId="11" fontId="20" fillId="0" borderId="14" xfId="0" applyNumberFormat="1" applyFont="1" applyBorder="1"/>
    <xf numFmtId="11" fontId="20" fillId="0" borderId="10" xfId="0" applyNumberFormat="1" applyFont="1" applyBorder="1"/>
    <xf numFmtId="11" fontId="20" fillId="0" borderId="9" xfId="0" applyNumberFormat="1" applyFont="1" applyBorder="1"/>
    <xf numFmtId="0" fontId="23" fillId="0" borderId="0" xfId="0" applyFont="1"/>
    <xf numFmtId="0" fontId="0" fillId="0" borderId="0" xfId="0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right"/>
    </xf>
    <xf numFmtId="11" fontId="18" fillId="0" borderId="0" xfId="0" applyNumberFormat="1" applyFont="1"/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0" xfId="0" applyFont="1" applyAlignment="1">
      <alignment vertical="center"/>
    </xf>
    <xf numFmtId="0" fontId="27" fillId="0" borderId="0" xfId="1" applyFont="1" applyAlignment="1">
      <alignment vertical="center"/>
    </xf>
    <xf numFmtId="0" fontId="9" fillId="0" borderId="0" xfId="0" applyFont="1"/>
    <xf numFmtId="0" fontId="9" fillId="4" borderId="0" xfId="0" applyFont="1" applyFill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0" fontId="22" fillId="0" borderId="16" xfId="0" applyFont="1" applyBorder="1" applyAlignment="1">
      <alignment horizontal="center" vertical="top"/>
    </xf>
    <xf numFmtId="0" fontId="0" fillId="4" borderId="0" xfId="0" applyFill="1"/>
    <xf numFmtId="0" fontId="20" fillId="0" borderId="0" xfId="0" applyFont="1"/>
    <xf numFmtId="0" fontId="20" fillId="0" borderId="0" xfId="0" applyFont="1" applyAlignment="1">
      <alignment wrapText="1"/>
    </xf>
    <xf numFmtId="0" fontId="8" fillId="0" borderId="0" xfId="2"/>
    <xf numFmtId="0" fontId="8" fillId="0" borderId="0" xfId="0" applyFont="1"/>
    <xf numFmtId="0" fontId="8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15" fillId="5" borderId="0" xfId="0" applyFont="1" applyFill="1"/>
    <xf numFmtId="0" fontId="0" fillId="5" borderId="0" xfId="0" applyFill="1"/>
    <xf numFmtId="0" fontId="15" fillId="6" borderId="0" xfId="0" applyFont="1" applyFill="1"/>
    <xf numFmtId="0" fontId="0" fillId="6" borderId="0" xfId="0" applyFill="1"/>
    <xf numFmtId="0" fontId="22" fillId="0" borderId="0" xfId="2" applyFont="1" applyAlignment="1">
      <alignment horizontal="center" vertical="top"/>
    </xf>
    <xf numFmtId="3" fontId="0" fillId="0" borderId="0" xfId="0" applyNumberFormat="1"/>
    <xf numFmtId="0" fontId="6" fillId="0" borderId="0" xfId="0" applyFont="1"/>
    <xf numFmtId="0" fontId="22" fillId="0" borderId="17" xfId="0" applyFont="1" applyBorder="1" applyAlignment="1">
      <alignment horizontal="center" vertical="top"/>
    </xf>
    <xf numFmtId="11" fontId="0" fillId="0" borderId="0" xfId="0" applyNumberForma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/>
    <xf numFmtId="0" fontId="22" fillId="0" borderId="18" xfId="0" applyFont="1" applyBorder="1" applyAlignment="1">
      <alignment horizontal="center" vertical="top"/>
    </xf>
    <xf numFmtId="0" fontId="22" fillId="0" borderId="19" xfId="0" applyFont="1" applyBorder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left" vertical="top"/>
    </xf>
    <xf numFmtId="0" fontId="3" fillId="0" borderId="0" xfId="0" applyFont="1"/>
    <xf numFmtId="0" fontId="17" fillId="5" borderId="0" xfId="0" applyFont="1" applyFill="1"/>
    <xf numFmtId="3" fontId="17" fillId="5" borderId="0" xfId="0" applyNumberFormat="1" applyFont="1" applyFill="1" applyAlignment="1">
      <alignment horizontal="right"/>
    </xf>
    <xf numFmtId="0" fontId="17" fillId="5" borderId="0" xfId="0" applyFont="1" applyFill="1" applyAlignment="1">
      <alignment horizontal="right"/>
    </xf>
    <xf numFmtId="0" fontId="2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166" fontId="8" fillId="7" borderId="0" xfId="0" applyNumberFormat="1" applyFont="1" applyFill="1" applyAlignment="1">
      <alignment vertical="center"/>
    </xf>
    <xf numFmtId="164" fontId="8" fillId="7" borderId="0" xfId="0" applyNumberFormat="1" applyFont="1" applyFill="1" applyAlignment="1">
      <alignment vertical="center"/>
    </xf>
    <xf numFmtId="3" fontId="8" fillId="7" borderId="0" xfId="0" applyNumberFormat="1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28" fillId="7" borderId="0" xfId="0" applyFont="1" applyFill="1"/>
    <xf numFmtId="0" fontId="0" fillId="7" borderId="0" xfId="0" applyFill="1"/>
    <xf numFmtId="167" fontId="8" fillId="7" borderId="0" xfId="0" applyNumberFormat="1" applyFont="1" applyFill="1" applyAlignment="1">
      <alignment vertical="center"/>
    </xf>
    <xf numFmtId="4" fontId="8" fillId="7" borderId="0" xfId="0" applyNumberFormat="1" applyFont="1" applyFill="1" applyAlignment="1">
      <alignment vertical="center"/>
    </xf>
    <xf numFmtId="0" fontId="15" fillId="8" borderId="0" xfId="0" applyFont="1" applyFill="1"/>
    <xf numFmtId="0" fontId="0" fillId="8" borderId="0" xfId="0" applyFill="1"/>
  </cellXfs>
  <cellStyles count="3">
    <cellStyle name="Lien hypertexte" xfId="1" builtinId="8"/>
    <cellStyle name="Normal" xfId="0" builtinId="0"/>
    <cellStyle name="Normal 2" xfId="2" xr:uid="{EBD01FCB-D219-46C5-876B-3C48BF458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4" Type="http://schemas.openxmlformats.org/officeDocument/2006/relationships/image" Target="../media/image5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4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</xdr:rowOff>
    </xdr:from>
    <xdr:to>
      <xdr:col>1</xdr:col>
      <xdr:colOff>5439929</xdr:colOff>
      <xdr:row>34</xdr:row>
      <xdr:rowOff>57149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85FDE78-69C1-D0DD-E63C-91E78B10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4"/>
          <a:ext cx="7087754" cy="599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</xdr:row>
      <xdr:rowOff>92075</xdr:rowOff>
    </xdr:from>
    <xdr:to>
      <xdr:col>9</xdr:col>
      <xdr:colOff>82787</xdr:colOff>
      <xdr:row>20</xdr:row>
      <xdr:rowOff>16051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BD28C90-C5FD-722D-7D71-39C1C00F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1539875"/>
          <a:ext cx="4610337" cy="336250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</xdr:row>
      <xdr:rowOff>161925</xdr:rowOff>
    </xdr:from>
    <xdr:to>
      <xdr:col>17</xdr:col>
      <xdr:colOff>628917</xdr:colOff>
      <xdr:row>28</xdr:row>
      <xdr:rowOff>162176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2A83C13-0215-5ABA-1444-3B31F6A7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30350" y="1609725"/>
          <a:ext cx="5191392" cy="4886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29046</xdr:colOff>
      <xdr:row>28</xdr:row>
      <xdr:rowOff>57413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371E2AA-0E00-E92E-4AF7-CB439A87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73046" cy="5124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76200</xdr:rowOff>
    </xdr:from>
    <xdr:to>
      <xdr:col>7</xdr:col>
      <xdr:colOff>44726</xdr:colOff>
      <xdr:row>57</xdr:row>
      <xdr:rowOff>162190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0843B8F-9B5B-C8DA-84D5-C6D92C0D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24475"/>
          <a:ext cx="5378726" cy="515329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29</xdr:row>
      <xdr:rowOff>57150</xdr:rowOff>
    </xdr:from>
    <xdr:to>
      <xdr:col>15</xdr:col>
      <xdr:colOff>733736</xdr:colOff>
      <xdr:row>54</xdr:row>
      <xdr:rowOff>16105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892B833-94A4-F03F-D7EC-4980077A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5050" y="5305425"/>
          <a:ext cx="6048686" cy="44833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286274</xdr:colOff>
      <xdr:row>26</xdr:row>
      <xdr:rowOff>25643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F7FF67-E712-ED88-2E77-3F66A8B4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92274" cy="4730993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0</xdr:row>
      <xdr:rowOff>0</xdr:rowOff>
    </xdr:from>
    <xdr:to>
      <xdr:col>27</xdr:col>
      <xdr:colOff>324375</xdr:colOff>
      <xdr:row>16</xdr:row>
      <xdr:rowOff>162082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06A9D94-BB78-5AAC-043C-5249F967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7050" y="0"/>
          <a:ext cx="10211325" cy="3057682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17</xdr:row>
      <xdr:rowOff>28575</xdr:rowOff>
    </xdr:from>
    <xdr:to>
      <xdr:col>27</xdr:col>
      <xdr:colOff>152915</xdr:colOff>
      <xdr:row>39</xdr:row>
      <xdr:rowOff>6554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43B4979-DD4E-7210-AD07-3A0A77E9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96575" y="3105150"/>
          <a:ext cx="10030340" cy="3959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168088</xdr:rowOff>
    </xdr:from>
    <xdr:to>
      <xdr:col>12</xdr:col>
      <xdr:colOff>743399</xdr:colOff>
      <xdr:row>109</xdr:row>
      <xdr:rowOff>104775</xdr:rowOff>
    </xdr:to>
    <xdr:pic>
      <xdr:nvPicPr>
        <xdr:cNvPr id="5" name="Image 4" descr="Fig. 7">
          <a:extLst>
            <a:ext uri="{FF2B5EF4-FFF2-40B4-BE49-F238E27FC236}">
              <a16:creationId xmlns:a16="http://schemas.microsoft.com/office/drawing/2014/main" id="{D1F58E5F-90A0-46C6-A083-0D0FEF2E8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0559"/>
          <a:ext cx="9887399" cy="1248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409575</xdr:colOff>
      <xdr:row>56</xdr:row>
      <xdr:rowOff>25214</xdr:rowOff>
    </xdr:from>
    <xdr:to>
      <xdr:col>20</xdr:col>
      <xdr:colOff>387623</xdr:colOff>
      <xdr:row>75</xdr:row>
      <xdr:rowOff>76379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7B033B7-758F-4575-9967-E7D166DA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15575" y="10065685"/>
          <a:ext cx="5312048" cy="34577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1575" cy="4162425"/>
    <xdr:pic>
      <xdr:nvPicPr>
        <xdr:cNvPr id="2" name="image32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01575" cy="4162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82550</xdr:rowOff>
    </xdr:from>
    <xdr:ext cx="12525375" cy="4219575"/>
    <xdr:pic>
      <xdr:nvPicPr>
        <xdr:cNvPr id="3" name="image27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244975"/>
          <a:ext cx="12525375" cy="42195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44450</xdr:rowOff>
    </xdr:from>
    <xdr:ext cx="6153150" cy="3695700"/>
    <xdr:pic>
      <xdr:nvPicPr>
        <xdr:cNvPr id="4" name="image38.pn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8550275"/>
          <a:ext cx="6153150" cy="3695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866775</xdr:colOff>
      <xdr:row>24</xdr:row>
      <xdr:rowOff>158750</xdr:rowOff>
    </xdr:from>
    <xdr:ext cx="4876800" cy="5238750"/>
    <xdr:pic>
      <xdr:nvPicPr>
        <xdr:cNvPr id="2" name="image40.pn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1725" y="4730750"/>
          <a:ext cx="4876800" cy="52387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0</xdr:row>
      <xdr:rowOff>0</xdr:rowOff>
    </xdr:from>
    <xdr:ext cx="6181725" cy="4543425"/>
    <xdr:pic>
      <xdr:nvPicPr>
        <xdr:cNvPr id="3" name="image30.png" title="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81725" y="0"/>
          <a:ext cx="6181725" cy="45434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44450</xdr:colOff>
      <xdr:row>0</xdr:row>
      <xdr:rowOff>0</xdr:rowOff>
    </xdr:from>
    <xdr:ext cx="6096000" cy="4400550"/>
    <xdr:pic>
      <xdr:nvPicPr>
        <xdr:cNvPr id="4" name="image20.png" title="Image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46000" y="0"/>
          <a:ext cx="6096000" cy="4400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866775</xdr:colOff>
      <xdr:row>27</xdr:row>
      <xdr:rowOff>95250</xdr:rowOff>
    </xdr:from>
    <xdr:ext cx="4876800" cy="3981450"/>
    <xdr:pic>
      <xdr:nvPicPr>
        <xdr:cNvPr id="5" name="image36.png" title="Image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96675" y="5238750"/>
          <a:ext cx="4876800" cy="39814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819150</xdr:colOff>
      <xdr:row>26</xdr:row>
      <xdr:rowOff>139700</xdr:rowOff>
    </xdr:from>
    <xdr:ext cx="4876800" cy="4876800"/>
    <xdr:pic>
      <xdr:nvPicPr>
        <xdr:cNvPr id="6" name="image31.png" title="Image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764000" y="5092700"/>
          <a:ext cx="4876800" cy="48768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9525</xdr:colOff>
      <xdr:row>0</xdr:row>
      <xdr:rowOff>0</xdr:rowOff>
    </xdr:from>
    <xdr:ext cx="5076825" cy="3695700"/>
    <xdr:pic>
      <xdr:nvPicPr>
        <xdr:cNvPr id="2" name="image35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10875" y="0"/>
          <a:ext cx="5076825" cy="3695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0</xdr:row>
      <xdr:rowOff>0</xdr:rowOff>
    </xdr:from>
    <xdr:ext cx="5181600" cy="3829050"/>
    <xdr:pic>
      <xdr:nvPicPr>
        <xdr:cNvPr id="3" name="image24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34000" y="0"/>
          <a:ext cx="5181600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22</xdr:row>
      <xdr:rowOff>120650</xdr:rowOff>
    </xdr:from>
    <xdr:ext cx="10372725" cy="2390775"/>
    <xdr:pic>
      <xdr:nvPicPr>
        <xdr:cNvPr id="4" name="image37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34000" y="4102100"/>
          <a:ext cx="10372725" cy="2390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36</xdr:row>
      <xdr:rowOff>63500</xdr:rowOff>
    </xdr:from>
    <xdr:ext cx="10325100" cy="2343150"/>
    <xdr:pic>
      <xdr:nvPicPr>
        <xdr:cNvPr id="5" name="image3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34000" y="6578600"/>
          <a:ext cx="10325100" cy="23431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49</xdr:row>
      <xdr:rowOff>133350</xdr:rowOff>
    </xdr:from>
    <xdr:ext cx="10410825" cy="3876675"/>
    <xdr:pic>
      <xdr:nvPicPr>
        <xdr:cNvPr id="6" name="image41.pn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34000" y="9001125"/>
          <a:ext cx="10410825" cy="38766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72</xdr:row>
      <xdr:rowOff>44450</xdr:rowOff>
    </xdr:from>
    <xdr:ext cx="9620250" cy="3771900"/>
    <xdr:pic>
      <xdr:nvPicPr>
        <xdr:cNvPr id="7" name="image42.pn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34000" y="13074650"/>
          <a:ext cx="9620250" cy="3771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94</xdr:row>
      <xdr:rowOff>0</xdr:rowOff>
    </xdr:from>
    <xdr:ext cx="9639300" cy="3733800"/>
    <xdr:pic>
      <xdr:nvPicPr>
        <xdr:cNvPr id="8" name="image44.png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34000" y="17011650"/>
          <a:ext cx="9639300" cy="37338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370115</xdr:colOff>
      <xdr:row>12</xdr:row>
      <xdr:rowOff>48986</xdr:rowOff>
    </xdr:from>
    <xdr:ext cx="11953875" cy="3790950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57340" y="2220686"/>
          <a:ext cx="11953875" cy="379095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161926</xdr:colOff>
      <xdr:row>40</xdr:row>
      <xdr:rowOff>37646</xdr:rowOff>
    </xdr:from>
    <xdr:ext cx="11991975" cy="3667125"/>
    <xdr:pic>
      <xdr:nvPicPr>
        <xdr:cNvPr id="3" name="image39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02376" y="7276646"/>
          <a:ext cx="11991975" cy="3667125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410481</xdr:colOff>
      <xdr:row>28</xdr:row>
      <xdr:rowOff>168729</xdr:rowOff>
    </xdr:from>
    <xdr:ext cx="9096375" cy="219075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051156" y="5236029"/>
          <a:ext cx="9096375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120650</xdr:colOff>
      <xdr:row>71</xdr:row>
      <xdr:rowOff>39007</xdr:rowOff>
    </xdr:from>
    <xdr:ext cx="9220200" cy="26479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088507" y="12598400"/>
          <a:ext cx="9220200" cy="264795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35379</xdr:colOff>
      <xdr:row>36</xdr:row>
      <xdr:rowOff>38553</xdr:rowOff>
    </xdr:from>
    <xdr:ext cx="4876800" cy="235267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276504" y="6553653"/>
          <a:ext cx="4876800" cy="23526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121103</xdr:colOff>
      <xdr:row>87</xdr:row>
      <xdr:rowOff>30842</xdr:rowOff>
    </xdr:from>
    <xdr:ext cx="8839200" cy="6096000"/>
    <xdr:pic>
      <xdr:nvPicPr>
        <xdr:cNvPr id="7" name="image21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088960" y="15420521"/>
          <a:ext cx="8839200" cy="6096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0</xdr:colOff>
      <xdr:row>30</xdr:row>
      <xdr:rowOff>0</xdr:rowOff>
    </xdr:from>
    <xdr:to>
      <xdr:col>47</xdr:col>
      <xdr:colOff>57150</xdr:colOff>
      <xdr:row>82</xdr:row>
      <xdr:rowOff>85725</xdr:rowOff>
    </xdr:to>
    <xdr:sp macro="" textlink="">
      <xdr:nvSpPr>
        <xdr:cNvPr id="3073" name="AutoShape 1" descr="Image générée">
          <a:extLst>
            <a:ext uri="{FF2B5EF4-FFF2-40B4-BE49-F238E27FC236}">
              <a16:creationId xmlns:a16="http://schemas.microsoft.com/office/drawing/2014/main" id="{8F4599E7-4C1D-9935-C744-09FBB6A4EEF4}"/>
            </a:ext>
          </a:extLst>
        </xdr:cNvPr>
        <xdr:cNvSpPr>
          <a:spLocks noChangeAspect="1" noChangeArrowheads="1"/>
        </xdr:cNvSpPr>
      </xdr:nvSpPr>
      <xdr:spPr bwMode="auto">
        <a:xfrm>
          <a:off x="13823950" y="5334000"/>
          <a:ext cx="22663150" cy="933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8763000" cy="79248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38100</xdr:rowOff>
    </xdr:from>
    <xdr:ext cx="12287250" cy="3019425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190500</xdr:rowOff>
    </xdr:from>
    <xdr:ext cx="12287250" cy="6429375"/>
    <xdr:pic>
      <xdr:nvPicPr>
        <xdr:cNvPr id="4" name="image18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876800" cy="3524250"/>
    <xdr:pic>
      <xdr:nvPicPr>
        <xdr:cNvPr id="2" name="image43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876800" cy="6200775"/>
    <xdr:pic>
      <xdr:nvPicPr>
        <xdr:cNvPr id="2" name="image29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80200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2857500"/>
    <xdr:pic>
      <xdr:nvPicPr>
        <xdr:cNvPr id="2" name="image25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57150</xdr:rowOff>
    </xdr:from>
    <xdr:ext cx="4876800" cy="2933700"/>
    <xdr:pic>
      <xdr:nvPicPr>
        <xdr:cNvPr id="3" name="image15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190500</xdr:rowOff>
    </xdr:from>
    <xdr:ext cx="4876800" cy="2924175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1</xdr:row>
      <xdr:rowOff>19050</xdr:rowOff>
    </xdr:from>
    <xdr:ext cx="4876800" cy="2924175"/>
    <xdr:pic>
      <xdr:nvPicPr>
        <xdr:cNvPr id="5" name="image17.png" title="Imag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3675" cy="4724400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26</xdr:row>
      <xdr:rowOff>76200</xdr:rowOff>
    </xdr:from>
    <xdr:ext cx="7162800" cy="3476625"/>
    <xdr:pic>
      <xdr:nvPicPr>
        <xdr:cNvPr id="2" name="image19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0</xdr:row>
      <xdr:rowOff>0</xdr:rowOff>
    </xdr:from>
    <xdr:ext cx="10410825" cy="43719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444500</xdr:colOff>
      <xdr:row>1</xdr:row>
      <xdr:rowOff>44450</xdr:rowOff>
    </xdr:from>
    <xdr:ext cx="8772525" cy="5400675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4500" y="234950"/>
          <a:ext cx="8772525" cy="54006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7029450" cy="1485900"/>
    <xdr:pic>
      <xdr:nvPicPr>
        <xdr:cNvPr id="2" name="image34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0</xdr:row>
      <xdr:rowOff>0</xdr:rowOff>
    </xdr:from>
    <xdr:ext cx="5724525" cy="5743575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</xdr:row>
      <xdr:rowOff>152400</xdr:rowOff>
    </xdr:from>
    <xdr:ext cx="5448300" cy="2247900"/>
    <xdr:pic>
      <xdr:nvPicPr>
        <xdr:cNvPr id="4" name="image45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67300" cy="48768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1</xdr:row>
      <xdr:rowOff>47625</xdr:rowOff>
    </xdr:from>
    <xdr:ext cx="9248775" cy="2581275"/>
    <xdr:pic>
      <xdr:nvPicPr>
        <xdr:cNvPr id="3" name="image23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67275" cy="779145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2</xdr:row>
      <xdr:rowOff>142875</xdr:rowOff>
    </xdr:from>
    <xdr:ext cx="7219950" cy="4619625"/>
    <xdr:pic>
      <xdr:nvPicPr>
        <xdr:cNvPr id="2" name="image2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44375" y="504825"/>
          <a:ext cx="7219950" cy="461962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28575</xdr:colOff>
      <xdr:row>8</xdr:row>
      <xdr:rowOff>15875</xdr:rowOff>
    </xdr:from>
    <xdr:ext cx="11214100" cy="6711949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83100" y="1463675"/>
          <a:ext cx="11214100" cy="6711949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244475</xdr:colOff>
      <xdr:row>39</xdr:row>
      <xdr:rowOff>19050</xdr:rowOff>
    </xdr:from>
    <xdr:ext cx="7439025" cy="4191000"/>
    <xdr:pic>
      <xdr:nvPicPr>
        <xdr:cNvPr id="4" name="image46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798925" y="7077075"/>
          <a:ext cx="7439025" cy="419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152400</xdr:rowOff>
    </xdr:from>
    <xdr:ext cx="7962900" cy="4324350"/>
    <xdr:pic>
      <xdr:nvPicPr>
        <xdr:cNvPr id="5" name="image26.png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34275" cy="5219700"/>
    <xdr:pic>
      <xdr:nvPicPr>
        <xdr:cNvPr id="2" name="image28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9</xdr:col>
      <xdr:colOff>530530</xdr:colOff>
      <xdr:row>15</xdr:row>
      <xdr:rowOff>168419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FD3798-D270-EA70-4118-9AA6937C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5931205" cy="2806844"/>
        </a:xfrm>
        <a:prstGeom prst="rect">
          <a:avLst/>
        </a:prstGeom>
      </xdr:spPr>
    </xdr:pic>
    <xdr:clientData/>
  </xdr:twoCellAnchor>
  <xdr:twoCellAnchor editAs="oneCell">
    <xdr:from>
      <xdr:col>10</xdr:col>
      <xdr:colOff>323850</xdr:colOff>
      <xdr:row>0</xdr:row>
      <xdr:rowOff>0</xdr:rowOff>
    </xdr:from>
    <xdr:to>
      <xdr:col>19</xdr:col>
      <xdr:colOff>540039</xdr:colOff>
      <xdr:row>15</xdr:row>
      <xdr:rowOff>73168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0D79CDC-3C75-7C33-85FB-1059EA68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0"/>
          <a:ext cx="5616864" cy="2787793"/>
        </a:xfrm>
        <a:prstGeom prst="rect">
          <a:avLst/>
        </a:prstGeom>
      </xdr:spPr>
    </xdr:pic>
    <xdr:clientData/>
  </xdr:twoCellAnchor>
  <xdr:twoCellAnchor editAs="oneCell">
    <xdr:from>
      <xdr:col>20</xdr:col>
      <xdr:colOff>428625</xdr:colOff>
      <xdr:row>0</xdr:row>
      <xdr:rowOff>0</xdr:rowOff>
    </xdr:from>
    <xdr:to>
      <xdr:col>28</xdr:col>
      <xdr:colOff>254267</xdr:colOff>
      <xdr:row>15</xdr:row>
      <xdr:rowOff>101745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8A7D515-0C2B-9815-FD97-06C3AA427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30125" y="0"/>
          <a:ext cx="5197742" cy="2816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47625</xdr:rowOff>
    </xdr:from>
    <xdr:to>
      <xdr:col>8</xdr:col>
      <xdr:colOff>362215</xdr:colOff>
      <xdr:row>31</xdr:row>
      <xdr:rowOff>168421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E7F72CF-D03D-01BC-6496-A299A73CE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43225"/>
          <a:ext cx="5162815" cy="283542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inghub.elsevier.com/retrieve/pii/S0959652612000947" TargetMode="External"/><Relationship Id="rId13" Type="http://schemas.openxmlformats.org/officeDocument/2006/relationships/hyperlink" Target="https://publications.anl.gov/anlpubs/2022/12/178670.pdf" TargetMode="External"/><Relationship Id="rId3" Type="http://schemas.openxmlformats.org/officeDocument/2006/relationships/hyperlink" Target="https://doi.org/10.1016/j.envdev.2021.100683" TargetMode="External"/><Relationship Id="rId7" Type="http://schemas.openxmlformats.org/officeDocument/2006/relationships/hyperlink" Target="http://link.springer.com/10.1007/s41247-016-0012-x" TargetMode="External"/><Relationship Id="rId12" Type="http://schemas.openxmlformats.org/officeDocument/2006/relationships/hyperlink" Target="https://linkinghub.elsevier.com/retrieve/pii/S0959652609003199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111/jiec.12722" TargetMode="External"/><Relationship Id="rId16" Type="http://schemas.openxmlformats.org/officeDocument/2006/relationships/hyperlink" Target="https://www.nature.com/articles/s44296-025-00059-7" TargetMode="External"/><Relationship Id="rId1" Type="http://schemas.openxmlformats.org/officeDocument/2006/relationships/hyperlink" Target="https://doi.org/10.1111/jiec.13181" TargetMode="External"/><Relationship Id="rId6" Type="http://schemas.openxmlformats.org/officeDocument/2006/relationships/hyperlink" Target="https://www.mdpi.com/2079-9276/5/4/36" TargetMode="External"/><Relationship Id="rId11" Type="http://schemas.openxmlformats.org/officeDocument/2006/relationships/hyperlink" Target="https://www.mdpi.com/1996-1073/13/21/5664" TargetMode="External"/><Relationship Id="rId5" Type="http://schemas.openxmlformats.org/officeDocument/2006/relationships/hyperlink" Target="https://publications.anl.gov/anlpubs/2022/12/178670.pdf" TargetMode="External"/><Relationship Id="rId15" Type="http://schemas.openxmlformats.org/officeDocument/2006/relationships/hyperlink" Target="https://linkinghub.elsevier.com/retrieve/pii/S0959652612000947" TargetMode="External"/><Relationship Id="rId10" Type="http://schemas.openxmlformats.org/officeDocument/2006/relationships/hyperlink" Target="https://www.nature.com/articles/s44296-025-00059-7" TargetMode="External"/><Relationship Id="rId4" Type="http://schemas.openxmlformats.org/officeDocument/2006/relationships/hyperlink" Target="https://linkinghub.elsevier.com/retrieve/pii/S0959378017306556" TargetMode="External"/><Relationship Id="rId9" Type="http://schemas.openxmlformats.org/officeDocument/2006/relationships/hyperlink" Target="https://linkinghub.elsevier.com/retrieve/pii/S0892687509002568" TargetMode="External"/><Relationship Id="rId14" Type="http://schemas.openxmlformats.org/officeDocument/2006/relationships/hyperlink" Target="https://publications.anl.gov/anlpubs/2022/12/17867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vale.com/long-harbour?utm_source=chatgpt.com" TargetMode="External"/><Relationship Id="rId7" Type="http://schemas.openxmlformats.org/officeDocument/2006/relationships/hyperlink" Target="https://www.teck.com/operations/canada/operations/trail-operations/?utm_source=chatgpt.com" TargetMode="External"/><Relationship Id="rId2" Type="http://schemas.openxmlformats.org/officeDocument/2006/relationships/hyperlink" Target="https://vale.com/documents/d/guest/nickel_pellets_can-2?utm_source=chatgpt.com" TargetMode="External"/><Relationship Id="rId1" Type="http://schemas.openxmlformats.org/officeDocument/2006/relationships/hyperlink" Target="https://www.glencore.ca/en/horne?utm_source=chatgpt.com" TargetMode="External"/><Relationship Id="rId6" Type="http://schemas.openxmlformats.org/officeDocument/2006/relationships/hyperlink" Target="https://s2.q4cdn.com/343762060/files/doc_downloads/How_Sherritt_Refines_Metals_2017.pdf?utm_source=chatgpt.com" TargetMode="External"/><Relationship Id="rId5" Type="http://schemas.openxmlformats.org/officeDocument/2006/relationships/hyperlink" Target="https://www.glencore.ca/en/sudburyino/who-we-are/at-a-glance?utm_source=chatgpt.com" TargetMode="External"/><Relationship Id="rId4" Type="http://schemas.openxmlformats.org/officeDocument/2006/relationships/hyperlink" Target="https://vale.com/port-colborne?utm_source=chatgpt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0000"/>
  </sheetPr>
  <dimension ref="A1:E1013"/>
  <sheetViews>
    <sheetView workbookViewId="0">
      <selection activeCell="A4" sqref="A4:XFD4"/>
    </sheetView>
  </sheetViews>
  <sheetFormatPr baseColWidth="10" defaultColWidth="12.5703125" defaultRowHeight="15" customHeight="1"/>
  <cols>
    <col min="1" max="1" width="88.7109375" bestFit="1" customWidth="1"/>
    <col min="2" max="2" width="37.7109375" bestFit="1" customWidth="1"/>
    <col min="3" max="3" width="51.5703125" bestFit="1" customWidth="1"/>
    <col min="4" max="4" width="75.5703125" customWidth="1"/>
    <col min="5" max="5" width="244" customWidth="1"/>
    <col min="6" max="28" width="8.5703125" customWidth="1"/>
  </cols>
  <sheetData>
    <row r="1" spans="1:5" ht="14.25" customHeight="1">
      <c r="A1" s="1" t="s">
        <v>0</v>
      </c>
    </row>
    <row r="2" spans="1:5" ht="14.25" customHeight="1">
      <c r="A2" s="1" t="s">
        <v>1</v>
      </c>
    </row>
    <row r="3" spans="1:5" ht="14.25" customHeight="1">
      <c r="A3" s="1" t="s">
        <v>2</v>
      </c>
    </row>
    <row r="4" spans="1:5" ht="14.25" customHeight="1">
      <c r="A4" s="1"/>
    </row>
    <row r="5" spans="1:5" ht="14.25" customHeight="1"/>
    <row r="6" spans="1:5" ht="14.25" customHeight="1"/>
    <row r="7" spans="1:5" ht="14.25" customHeight="1">
      <c r="A7" s="2" t="s">
        <v>3</v>
      </c>
      <c r="B7" s="2" t="s">
        <v>704</v>
      </c>
      <c r="C7" s="2" t="s">
        <v>657</v>
      </c>
      <c r="D7" s="2" t="s">
        <v>658</v>
      </c>
      <c r="E7" s="2" t="s">
        <v>4</v>
      </c>
    </row>
    <row r="8" spans="1:5" s="82" customFormat="1" ht="14.25" customHeight="1">
      <c r="A8" s="79" t="s">
        <v>316</v>
      </c>
      <c r="B8" s="79" t="s">
        <v>318</v>
      </c>
      <c r="C8" s="79"/>
      <c r="D8" s="79"/>
      <c r="E8" s="79" t="s">
        <v>320</v>
      </c>
    </row>
    <row r="9" spans="1:5" s="82" customFormat="1" ht="14.25" customHeight="1">
      <c r="A9" s="79" t="s">
        <v>317</v>
      </c>
      <c r="B9" s="79" t="s">
        <v>318</v>
      </c>
      <c r="C9" s="79"/>
      <c r="D9" s="79"/>
      <c r="E9" s="4" t="s">
        <v>32</v>
      </c>
    </row>
    <row r="10" spans="1:5" s="82" customFormat="1" ht="14.25" customHeight="1">
      <c r="A10" s="79" t="s">
        <v>705</v>
      </c>
      <c r="B10" s="79" t="s">
        <v>675</v>
      </c>
      <c r="C10" s="79" t="s">
        <v>659</v>
      </c>
      <c r="D10" s="80" t="s">
        <v>677</v>
      </c>
      <c r="E10" s="4" t="s">
        <v>20</v>
      </c>
    </row>
    <row r="11" spans="1:5" s="82" customFormat="1" ht="14.25" customHeight="1">
      <c r="A11" s="79" t="s">
        <v>706</v>
      </c>
      <c r="B11" s="79" t="s">
        <v>674</v>
      </c>
      <c r="C11" s="79" t="s">
        <v>659</v>
      </c>
      <c r="D11" s="79" t="s">
        <v>676</v>
      </c>
      <c r="E11" s="4" t="s">
        <v>20</v>
      </c>
    </row>
    <row r="12" spans="1:5" s="82" customFormat="1" ht="14.25" customHeight="1">
      <c r="A12" s="7" t="s">
        <v>697</v>
      </c>
      <c r="B12" s="79" t="s">
        <v>702</v>
      </c>
      <c r="C12" s="79" t="s">
        <v>703</v>
      </c>
      <c r="D12" s="79"/>
      <c r="E12" s="3" t="s">
        <v>27</v>
      </c>
    </row>
    <row r="13" spans="1:5" s="82" customFormat="1" ht="14.25" customHeight="1">
      <c r="A13" s="79" t="s">
        <v>786</v>
      </c>
      <c r="B13" s="79" t="s">
        <v>787</v>
      </c>
      <c r="C13" s="79" t="s">
        <v>792</v>
      </c>
      <c r="D13" s="79"/>
      <c r="E13" s="79" t="s">
        <v>788</v>
      </c>
    </row>
    <row r="14" spans="1:5" s="82" customFormat="1" ht="14.25" customHeight="1">
      <c r="A14" s="79" t="s">
        <v>789</v>
      </c>
      <c r="B14" s="79" t="s">
        <v>791</v>
      </c>
      <c r="C14" s="79" t="s">
        <v>792</v>
      </c>
      <c r="D14" s="79"/>
      <c r="E14" s="79" t="s">
        <v>793</v>
      </c>
    </row>
    <row r="15" spans="1:5" s="82" customFormat="1" ht="14.25" customHeight="1">
      <c r="A15" s="79"/>
      <c r="B15" s="79"/>
      <c r="C15" s="79"/>
      <c r="D15" s="79"/>
      <c r="E15" s="79"/>
    </row>
    <row r="16" spans="1:5" ht="14.25" customHeight="1">
      <c r="A16" s="2"/>
      <c r="B16" s="2"/>
      <c r="C16" s="2"/>
      <c r="D16" s="2"/>
      <c r="E16" s="2"/>
    </row>
    <row r="17" spans="1:5" ht="14.25" customHeight="1">
      <c r="A17" s="2"/>
      <c r="B17" s="2"/>
      <c r="C17" s="2"/>
      <c r="D17" s="2"/>
      <c r="E17" s="2"/>
    </row>
    <row r="18" spans="1:5" ht="14.25" customHeight="1">
      <c r="A18" s="2"/>
      <c r="B18" s="2"/>
      <c r="C18" s="2"/>
      <c r="D18" s="2"/>
      <c r="E18" s="2"/>
    </row>
    <row r="19" spans="1:5" ht="14.25" customHeight="1">
      <c r="A19" s="2"/>
      <c r="B19" s="2"/>
      <c r="C19" s="2"/>
      <c r="D19" s="2"/>
      <c r="E19" s="2"/>
    </row>
    <row r="20" spans="1:5" ht="14.25" customHeight="1">
      <c r="A20" s="57" t="s">
        <v>319</v>
      </c>
      <c r="B20" s="2" t="s">
        <v>98</v>
      </c>
      <c r="C20" s="2"/>
      <c r="D20" s="2"/>
      <c r="E20" s="2" t="s">
        <v>320</v>
      </c>
    </row>
    <row r="21" spans="1:5" ht="14.25" customHeight="1">
      <c r="A21" s="1" t="s">
        <v>5</v>
      </c>
      <c r="B21" s="1" t="s">
        <v>6</v>
      </c>
      <c r="C21" s="1" t="s">
        <v>1345</v>
      </c>
      <c r="D21" s="1"/>
      <c r="E21" s="3" t="s">
        <v>7</v>
      </c>
    </row>
    <row r="22" spans="1:5" ht="14.25" customHeight="1">
      <c r="A22" s="1" t="s">
        <v>8</v>
      </c>
      <c r="B22" s="1" t="s">
        <v>9</v>
      </c>
      <c r="C22" s="1"/>
      <c r="D22" s="1"/>
      <c r="E22" s="3" t="s">
        <v>10</v>
      </c>
    </row>
    <row r="23" spans="1:5" ht="14.25" customHeight="1">
      <c r="A23" s="1" t="s">
        <v>11</v>
      </c>
      <c r="B23" s="1" t="s">
        <v>9</v>
      </c>
      <c r="C23" s="1"/>
      <c r="D23" s="1"/>
      <c r="E23" s="3" t="s">
        <v>12</v>
      </c>
    </row>
    <row r="24" spans="1:5" ht="14.25" customHeight="1">
      <c r="A24" s="1" t="s">
        <v>13</v>
      </c>
      <c r="B24" s="1" t="s">
        <v>14</v>
      </c>
      <c r="C24" s="1"/>
      <c r="D24" s="1"/>
      <c r="E24" s="3" t="s">
        <v>15</v>
      </c>
    </row>
    <row r="25" spans="1:5" ht="14.25" customHeight="1">
      <c r="A25" s="1" t="s">
        <v>16</v>
      </c>
      <c r="B25" s="1" t="s">
        <v>6</v>
      </c>
      <c r="C25" s="1"/>
      <c r="D25" s="1"/>
      <c r="E25" s="3" t="s">
        <v>17</v>
      </c>
    </row>
    <row r="26" spans="1:5" ht="14.25" customHeight="1">
      <c r="A26" s="1" t="s">
        <v>18</v>
      </c>
      <c r="B26" s="1" t="s">
        <v>19</v>
      </c>
      <c r="C26" s="1"/>
      <c r="D26" s="1"/>
      <c r="E26" s="4" t="s">
        <v>20</v>
      </c>
    </row>
    <row r="27" spans="1:5" ht="14.25" customHeight="1">
      <c r="A27" s="1" t="s">
        <v>21</v>
      </c>
      <c r="B27" s="1" t="s">
        <v>22</v>
      </c>
      <c r="C27" s="1"/>
      <c r="D27" s="1"/>
      <c r="E27" s="3" t="s">
        <v>23</v>
      </c>
    </row>
    <row r="28" spans="1:5" ht="14.25" customHeight="1">
      <c r="A28" s="1" t="s">
        <v>24</v>
      </c>
      <c r="B28" s="1" t="s">
        <v>6</v>
      </c>
      <c r="C28" s="1"/>
      <c r="D28" s="1"/>
      <c r="E28" s="3" t="s">
        <v>25</v>
      </c>
    </row>
    <row r="29" spans="1:5" ht="14.25" customHeight="1">
      <c r="A29" s="1" t="s">
        <v>26</v>
      </c>
      <c r="B29" s="1" t="s">
        <v>14</v>
      </c>
      <c r="C29" s="1"/>
      <c r="D29" s="1"/>
      <c r="E29" s="3" t="s">
        <v>27</v>
      </c>
    </row>
    <row r="30" spans="1:5" ht="14.25" customHeight="1">
      <c r="A30" s="5" t="s">
        <v>451</v>
      </c>
      <c r="B30" s="1" t="s">
        <v>19</v>
      </c>
      <c r="C30" s="1"/>
      <c r="D30" s="1"/>
      <c r="E30" s="3" t="s">
        <v>29</v>
      </c>
    </row>
    <row r="31" spans="1:5" ht="14.25" customHeight="1">
      <c r="A31" s="5" t="s">
        <v>30</v>
      </c>
      <c r="B31" s="5" t="s">
        <v>31</v>
      </c>
      <c r="C31" s="5"/>
      <c r="D31" s="5"/>
      <c r="E31" s="4" t="s">
        <v>32</v>
      </c>
    </row>
    <row r="32" spans="1:5" ht="14.25" customHeight="1">
      <c r="A32" s="5" t="s">
        <v>33</v>
      </c>
      <c r="B32" s="5" t="s">
        <v>31</v>
      </c>
      <c r="C32" s="5"/>
      <c r="D32" s="5"/>
      <c r="E32" s="4" t="s">
        <v>34</v>
      </c>
    </row>
    <row r="33" spans="1:5" ht="14.25" customHeight="1">
      <c r="A33" s="5" t="s">
        <v>452</v>
      </c>
      <c r="B33" s="5" t="s">
        <v>36</v>
      </c>
      <c r="C33" s="5"/>
      <c r="D33" s="5"/>
      <c r="E33" s="4" t="s">
        <v>37</v>
      </c>
    </row>
    <row r="34" spans="1:5" ht="14.25" customHeight="1"/>
    <row r="35" spans="1:5" ht="14.25" customHeight="1"/>
    <row r="36" spans="1:5" ht="14.25" customHeight="1"/>
    <row r="37" spans="1:5" ht="14.25" customHeight="1"/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hyperlinks>
    <hyperlink ref="E22" r:id="rId1" xr:uid="{00000000-0004-0000-0000-000000000000}"/>
    <hyperlink ref="E23" r:id="rId2" xr:uid="{00000000-0004-0000-0000-000001000000}"/>
    <hyperlink ref="E24" r:id="rId3" xr:uid="{00000000-0004-0000-0000-000002000000}"/>
    <hyperlink ref="E25" r:id="rId4" xr:uid="{00000000-0004-0000-0000-000003000000}"/>
    <hyperlink ref="E26" r:id="rId5" xr:uid="{00000000-0004-0000-0000-000004000000}"/>
    <hyperlink ref="E27" r:id="rId6" xr:uid="{00000000-0004-0000-0000-000005000000}"/>
    <hyperlink ref="E28" r:id="rId7" xr:uid="{00000000-0004-0000-0000-000006000000}"/>
    <hyperlink ref="E29" r:id="rId8" xr:uid="{00000000-0004-0000-0000-000007000000}"/>
    <hyperlink ref="E30" r:id="rId9" xr:uid="{00000000-0004-0000-0000-000008000000}"/>
    <hyperlink ref="E31" r:id="rId10" location="Sec9" xr:uid="{00000000-0004-0000-0000-000009000000}"/>
    <hyperlink ref="E32" r:id="rId11" xr:uid="{00000000-0004-0000-0000-00000A000000}"/>
    <hyperlink ref="E33" r:id="rId12" xr:uid="{00000000-0004-0000-0000-00000B000000}"/>
    <hyperlink ref="E10" r:id="rId13" xr:uid="{881CB4B0-1F0C-45C7-B5B1-AF050941FF49}"/>
    <hyperlink ref="E11" r:id="rId14" xr:uid="{B2D9F3C6-8CEB-4053-B56A-D3E952EC9914}"/>
    <hyperlink ref="E12" r:id="rId15" xr:uid="{25679726-3AA7-484D-8902-84AC043D2600}"/>
    <hyperlink ref="E9" r:id="rId16" location="Sec9" xr:uid="{E4056287-3EAF-43C4-8476-A7648D3CBB08}"/>
  </hyperlinks>
  <pageMargins left="0.7" right="0.7" top="0.75" bottom="0.75" header="0" footer="0"/>
  <pageSetup orientation="landscape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850C-F978-4A1A-8710-8EE833C1EFB8}">
  <dimension ref="A1:I159"/>
  <sheetViews>
    <sheetView workbookViewId="0">
      <selection activeCell="B127" sqref="B127"/>
    </sheetView>
  </sheetViews>
  <sheetFormatPr baseColWidth="10" defaultColWidth="8.7109375" defaultRowHeight="15"/>
  <cols>
    <col min="1" max="1" width="50.85546875" customWidth="1"/>
    <col min="2" max="2" width="17.7109375" bestFit="1" customWidth="1"/>
    <col min="3" max="3" width="60.85546875" bestFit="1" customWidth="1"/>
    <col min="4" max="4" width="12.140625" customWidth="1"/>
    <col min="5" max="5" width="9" bestFit="1" customWidth="1"/>
    <col min="6" max="6" width="12.42578125" bestFit="1" customWidth="1"/>
    <col min="7" max="7" width="12.85546875" bestFit="1" customWidth="1"/>
    <col min="9" max="9" width="10.5703125" bestFit="1" customWidth="1"/>
  </cols>
  <sheetData>
    <row r="1" spans="1:9">
      <c r="A1" s="77" t="s">
        <v>597</v>
      </c>
      <c r="B1" s="77" t="s">
        <v>598</v>
      </c>
      <c r="C1" s="77" t="s">
        <v>599</v>
      </c>
      <c r="D1" s="77" t="s">
        <v>292</v>
      </c>
      <c r="E1" s="77" t="s">
        <v>46</v>
      </c>
      <c r="F1" s="77" t="s">
        <v>600</v>
      </c>
      <c r="G1" s="77" t="s">
        <v>38</v>
      </c>
      <c r="I1" s="98" t="s">
        <v>823</v>
      </c>
    </row>
    <row r="2" spans="1:9">
      <c r="A2" s="78" t="s">
        <v>601</v>
      </c>
      <c r="B2" s="78" t="s">
        <v>602</v>
      </c>
      <c r="C2" s="78" t="s">
        <v>603</v>
      </c>
      <c r="D2" s="78">
        <v>1</v>
      </c>
      <c r="E2" s="78" t="s">
        <v>488</v>
      </c>
      <c r="F2" s="78" t="s">
        <v>604</v>
      </c>
      <c r="G2" s="78" t="s">
        <v>605</v>
      </c>
      <c r="I2" s="96">
        <f>SUM(I3:I39)</f>
        <v>6104.1501049999997</v>
      </c>
    </row>
    <row r="3" spans="1:9">
      <c r="A3" t="s">
        <v>601</v>
      </c>
      <c r="B3" t="s">
        <v>606</v>
      </c>
      <c r="C3" t="s">
        <v>607</v>
      </c>
      <c r="D3">
        <v>2E-3</v>
      </c>
      <c r="E3" t="s">
        <v>488</v>
      </c>
      <c r="F3" t="s">
        <v>604</v>
      </c>
      <c r="G3" t="s">
        <v>605</v>
      </c>
      <c r="I3" s="96"/>
    </row>
    <row r="4" spans="1:9">
      <c r="A4" t="s">
        <v>601</v>
      </c>
      <c r="B4" t="s">
        <v>606</v>
      </c>
      <c r="C4" s="100" t="s">
        <v>868</v>
      </c>
      <c r="D4">
        <v>160</v>
      </c>
      <c r="E4" t="s">
        <v>488</v>
      </c>
      <c r="F4" t="s">
        <v>604</v>
      </c>
      <c r="G4" t="s">
        <v>605</v>
      </c>
      <c r="I4" s="96"/>
    </row>
    <row r="5" spans="1:9">
      <c r="A5" t="s">
        <v>601</v>
      </c>
      <c r="B5" t="s">
        <v>606</v>
      </c>
      <c r="C5" s="100" t="s">
        <v>869</v>
      </c>
      <c r="D5">
        <v>91.5</v>
      </c>
      <c r="E5" t="s">
        <v>488</v>
      </c>
      <c r="F5" t="s">
        <v>604</v>
      </c>
      <c r="G5" t="s">
        <v>605</v>
      </c>
      <c r="I5" s="96"/>
    </row>
    <row r="6" spans="1:9">
      <c r="A6" t="s">
        <v>601</v>
      </c>
      <c r="B6" t="s">
        <v>606</v>
      </c>
      <c r="C6" s="100" t="s">
        <v>870</v>
      </c>
      <c r="D6">
        <f>0.000000000783</f>
        <v>7.8299999999999998E-10</v>
      </c>
      <c r="E6" t="s">
        <v>488</v>
      </c>
      <c r="F6" t="s">
        <v>604</v>
      </c>
      <c r="G6" t="s">
        <v>605</v>
      </c>
      <c r="I6" s="96"/>
    </row>
    <row r="7" spans="1:9">
      <c r="A7" t="s">
        <v>601</v>
      </c>
      <c r="B7" t="s">
        <v>606</v>
      </c>
      <c r="C7" s="100" t="s">
        <v>845</v>
      </c>
      <c r="D7" s="100">
        <f>0.000000211</f>
        <v>2.11E-7</v>
      </c>
      <c r="E7" t="s">
        <v>488</v>
      </c>
      <c r="F7" t="s">
        <v>604</v>
      </c>
      <c r="G7" t="s">
        <v>605</v>
      </c>
      <c r="I7" s="96"/>
    </row>
    <row r="8" spans="1:9">
      <c r="A8" t="s">
        <v>601</v>
      </c>
      <c r="B8" t="s">
        <v>606</v>
      </c>
      <c r="C8" s="100" t="s">
        <v>871</v>
      </c>
      <c r="D8" s="100">
        <v>5.1200000000000002E-2</v>
      </c>
      <c r="E8" t="s">
        <v>488</v>
      </c>
      <c r="F8" t="s">
        <v>604</v>
      </c>
      <c r="G8" t="s">
        <v>605</v>
      </c>
      <c r="I8" s="96">
        <f>D8*3*1000</f>
        <v>153.60000000000002</v>
      </c>
    </row>
    <row r="9" spans="1:9">
      <c r="A9" t="s">
        <v>601</v>
      </c>
      <c r="B9" t="s">
        <v>606</v>
      </c>
      <c r="C9" s="100" t="s">
        <v>872</v>
      </c>
      <c r="D9">
        <f>0.00000016</f>
        <v>1.6E-7</v>
      </c>
      <c r="E9" t="s">
        <v>488</v>
      </c>
      <c r="F9" t="s">
        <v>604</v>
      </c>
      <c r="G9" t="s">
        <v>605</v>
      </c>
      <c r="I9" s="96"/>
    </row>
    <row r="10" spans="1:9">
      <c r="A10" t="s">
        <v>601</v>
      </c>
      <c r="B10" t="s">
        <v>606</v>
      </c>
      <c r="C10" s="100" t="s">
        <v>825</v>
      </c>
      <c r="D10">
        <v>3.9300000000000002E-2</v>
      </c>
      <c r="E10" t="s">
        <v>488</v>
      </c>
      <c r="F10" t="s">
        <v>604</v>
      </c>
      <c r="G10" t="s">
        <v>605</v>
      </c>
      <c r="I10" s="96"/>
    </row>
    <row r="11" spans="1:9">
      <c r="A11" t="s">
        <v>601</v>
      </c>
      <c r="B11" t="s">
        <v>606</v>
      </c>
      <c r="C11" s="100" t="s">
        <v>873</v>
      </c>
      <c r="D11">
        <v>2.1000000000000001E-2</v>
      </c>
      <c r="E11" t="s">
        <v>488</v>
      </c>
      <c r="F11" t="s">
        <v>604</v>
      </c>
      <c r="G11" t="s">
        <v>605</v>
      </c>
      <c r="I11" s="96"/>
    </row>
    <row r="12" spans="1:9">
      <c r="A12" t="s">
        <v>601</v>
      </c>
      <c r="B12" t="s">
        <v>606</v>
      </c>
      <c r="C12" s="100" t="s">
        <v>874</v>
      </c>
      <c r="D12">
        <f>0.00000705</f>
        <v>7.0500000000000003E-6</v>
      </c>
      <c r="E12" s="100" t="s">
        <v>877</v>
      </c>
      <c r="F12" t="s">
        <v>604</v>
      </c>
      <c r="G12" t="s">
        <v>605</v>
      </c>
      <c r="I12" s="96"/>
    </row>
    <row r="13" spans="1:9">
      <c r="A13" t="s">
        <v>601</v>
      </c>
      <c r="B13" t="s">
        <v>606</v>
      </c>
      <c r="C13" s="100" t="s">
        <v>849</v>
      </c>
      <c r="D13">
        <f>0.000000473</f>
        <v>4.7300000000000001E-7</v>
      </c>
      <c r="E13" s="100" t="s">
        <v>488</v>
      </c>
      <c r="F13" t="s">
        <v>604</v>
      </c>
      <c r="G13" t="s">
        <v>605</v>
      </c>
      <c r="I13" s="96"/>
    </row>
    <row r="14" spans="1:9">
      <c r="A14" t="s">
        <v>601</v>
      </c>
      <c r="B14" t="s">
        <v>606</v>
      </c>
      <c r="C14" s="100" t="s">
        <v>875</v>
      </c>
      <c r="D14" s="100">
        <f>0.000000235</f>
        <v>2.35E-7</v>
      </c>
      <c r="E14" s="100" t="s">
        <v>488</v>
      </c>
      <c r="F14" t="s">
        <v>604</v>
      </c>
      <c r="G14" t="s">
        <v>605</v>
      </c>
      <c r="I14" s="96">
        <f>D14*43*1000</f>
        <v>1.0105000000000001E-2</v>
      </c>
    </row>
    <row r="15" spans="1:9">
      <c r="A15" t="s">
        <v>601</v>
      </c>
      <c r="B15" t="s">
        <v>606</v>
      </c>
      <c r="C15" t="s">
        <v>497</v>
      </c>
      <c r="D15">
        <v>3.3400000000000001E-3</v>
      </c>
      <c r="E15" t="s">
        <v>293</v>
      </c>
      <c r="F15" t="s">
        <v>604</v>
      </c>
      <c r="G15" t="s">
        <v>605</v>
      </c>
      <c r="I15" s="96">
        <f>D15*1000</f>
        <v>3.3400000000000003</v>
      </c>
    </row>
    <row r="16" spans="1:9">
      <c r="A16" t="s">
        <v>601</v>
      </c>
      <c r="B16" t="s">
        <v>606</v>
      </c>
      <c r="C16" t="s">
        <v>876</v>
      </c>
      <c r="D16">
        <f>0.000000352</f>
        <v>3.5199999999999998E-7</v>
      </c>
      <c r="E16" s="100" t="s">
        <v>488</v>
      </c>
      <c r="F16" t="s">
        <v>604</v>
      </c>
      <c r="G16" t="s">
        <v>605</v>
      </c>
      <c r="I16" s="96"/>
    </row>
    <row r="17" spans="1:9">
      <c r="A17" t="s">
        <v>601</v>
      </c>
      <c r="B17" t="s">
        <v>606</v>
      </c>
      <c r="C17" t="s">
        <v>473</v>
      </c>
      <c r="D17">
        <v>1.21</v>
      </c>
      <c r="E17" t="s">
        <v>491</v>
      </c>
      <c r="F17" t="s">
        <v>604</v>
      </c>
      <c r="G17" t="s">
        <v>605</v>
      </c>
      <c r="I17" s="96">
        <f>D17*3.6*1000</f>
        <v>4356</v>
      </c>
    </row>
    <row r="18" spans="1:9">
      <c r="A18" t="s">
        <v>601</v>
      </c>
      <c r="B18" t="s">
        <v>606</v>
      </c>
      <c r="C18" s="100" t="s">
        <v>878</v>
      </c>
      <c r="D18">
        <v>0.442</v>
      </c>
      <c r="E18" s="100" t="s">
        <v>491</v>
      </c>
      <c r="F18" t="s">
        <v>604</v>
      </c>
      <c r="G18" t="s">
        <v>605</v>
      </c>
      <c r="I18" s="96">
        <f>D18*3.6*1000</f>
        <v>1591.2</v>
      </c>
    </row>
    <row r="19" spans="1:9">
      <c r="A19" t="s">
        <v>601</v>
      </c>
      <c r="B19" t="s">
        <v>606</v>
      </c>
      <c r="C19" s="100" t="s">
        <v>879</v>
      </c>
      <c r="D19">
        <f>0.00000194</f>
        <v>1.9400000000000001E-6</v>
      </c>
      <c r="E19" s="100" t="s">
        <v>488</v>
      </c>
      <c r="F19" t="s">
        <v>604</v>
      </c>
      <c r="G19" t="s">
        <v>605</v>
      </c>
      <c r="I19" s="96"/>
    </row>
    <row r="20" spans="1:9">
      <c r="A20" t="s">
        <v>601</v>
      </c>
      <c r="B20" t="s">
        <v>606</v>
      </c>
      <c r="C20" t="s">
        <v>610</v>
      </c>
      <c r="D20">
        <v>6.6400000000000001E-2</v>
      </c>
      <c r="E20" t="s">
        <v>488</v>
      </c>
      <c r="F20" t="s">
        <v>604</v>
      </c>
      <c r="G20" t="s">
        <v>605</v>
      </c>
      <c r="I20" s="96"/>
    </row>
    <row r="21" spans="1:9">
      <c r="A21" t="s">
        <v>601</v>
      </c>
      <c r="B21" t="s">
        <v>606</v>
      </c>
      <c r="C21" s="100" t="s">
        <v>880</v>
      </c>
      <c r="D21">
        <f>0.000000000879</f>
        <v>8.7899999999999996E-10</v>
      </c>
      <c r="E21" s="100" t="s">
        <v>273</v>
      </c>
      <c r="F21" t="s">
        <v>604</v>
      </c>
      <c r="G21" t="s">
        <v>605</v>
      </c>
      <c r="I21" s="96"/>
    </row>
    <row r="22" spans="1:9">
      <c r="A22" t="s">
        <v>601</v>
      </c>
      <c r="B22" t="s">
        <v>606</v>
      </c>
      <c r="C22" s="100" t="s">
        <v>831</v>
      </c>
      <c r="D22">
        <f>0.000000000383</f>
        <v>3.8300000000000002E-10</v>
      </c>
      <c r="E22" s="100" t="s">
        <v>273</v>
      </c>
      <c r="F22" t="s">
        <v>604</v>
      </c>
      <c r="G22" t="s">
        <v>605</v>
      </c>
      <c r="I22" s="96"/>
    </row>
    <row r="23" spans="1:9">
      <c r="A23" t="s">
        <v>601</v>
      </c>
      <c r="B23" t="s">
        <v>606</v>
      </c>
      <c r="C23" s="100" t="s">
        <v>881</v>
      </c>
      <c r="D23">
        <f>0.00000000252</f>
        <v>2.52E-9</v>
      </c>
      <c r="E23" s="100" t="s">
        <v>488</v>
      </c>
      <c r="F23" t="s">
        <v>604</v>
      </c>
      <c r="G23" t="s">
        <v>605</v>
      </c>
      <c r="I23" s="96"/>
    </row>
    <row r="24" spans="1:9">
      <c r="A24" t="s">
        <v>601</v>
      </c>
      <c r="B24" t="s">
        <v>606</v>
      </c>
      <c r="C24" t="s">
        <v>611</v>
      </c>
      <c r="D24">
        <v>1.7899999999999999E-3</v>
      </c>
      <c r="E24" t="s">
        <v>488</v>
      </c>
      <c r="F24" t="s">
        <v>604</v>
      </c>
      <c r="G24" t="s">
        <v>605</v>
      </c>
      <c r="I24" s="96"/>
    </row>
    <row r="25" spans="1:9">
      <c r="A25" t="s">
        <v>601</v>
      </c>
      <c r="B25" t="s">
        <v>606</v>
      </c>
      <c r="C25" t="s">
        <v>612</v>
      </c>
      <c r="D25">
        <v>6.7400000000000002E-2</v>
      </c>
      <c r="E25" t="s">
        <v>488</v>
      </c>
      <c r="F25" t="s">
        <v>604</v>
      </c>
      <c r="G25" t="s">
        <v>605</v>
      </c>
      <c r="I25" s="96"/>
    </row>
    <row r="26" spans="1:9">
      <c r="A26" t="s">
        <v>601</v>
      </c>
      <c r="B26" t="s">
        <v>606</v>
      </c>
      <c r="C26" s="100" t="s">
        <v>863</v>
      </c>
      <c r="D26">
        <f>0.000000525</f>
        <v>5.2499999999999995E-7</v>
      </c>
      <c r="E26" s="100" t="s">
        <v>488</v>
      </c>
      <c r="F26" t="s">
        <v>604</v>
      </c>
      <c r="G26" t="s">
        <v>605</v>
      </c>
      <c r="I26" s="96"/>
    </row>
    <row r="27" spans="1:9">
      <c r="A27" t="s">
        <v>601</v>
      </c>
      <c r="B27" t="s">
        <v>613</v>
      </c>
      <c r="C27" t="s">
        <v>6</v>
      </c>
      <c r="D27">
        <v>0.28599999999999998</v>
      </c>
      <c r="E27" t="s">
        <v>488</v>
      </c>
      <c r="F27" t="s">
        <v>614</v>
      </c>
      <c r="G27" t="s">
        <v>605</v>
      </c>
      <c r="I27" s="96"/>
    </row>
    <row r="28" spans="1:9">
      <c r="A28" t="s">
        <v>601</v>
      </c>
      <c r="B28" t="s">
        <v>613</v>
      </c>
      <c r="C28" t="s">
        <v>615</v>
      </c>
      <c r="D28">
        <v>177</v>
      </c>
      <c r="E28" t="s">
        <v>488</v>
      </c>
      <c r="F28" t="s">
        <v>614</v>
      </c>
      <c r="G28" t="s">
        <v>605</v>
      </c>
      <c r="I28" s="96"/>
    </row>
    <row r="29" spans="1:9">
      <c r="A29" t="s">
        <v>601</v>
      </c>
      <c r="B29" t="s">
        <v>613</v>
      </c>
      <c r="C29" t="s">
        <v>14</v>
      </c>
      <c r="D29">
        <v>2.7199999999999998E-6</v>
      </c>
      <c r="E29" t="s">
        <v>488</v>
      </c>
      <c r="F29" t="s">
        <v>614</v>
      </c>
      <c r="G29" t="s">
        <v>605</v>
      </c>
      <c r="I29" s="96"/>
    </row>
    <row r="30" spans="1:9">
      <c r="A30" t="s">
        <v>601</v>
      </c>
      <c r="B30" t="s">
        <v>613</v>
      </c>
      <c r="C30" t="s">
        <v>616</v>
      </c>
      <c r="D30">
        <v>9.2100000000000001E-2</v>
      </c>
      <c r="E30" t="s">
        <v>617</v>
      </c>
      <c r="F30" t="s">
        <v>614</v>
      </c>
      <c r="G30" t="s">
        <v>605</v>
      </c>
      <c r="I30" s="96"/>
    </row>
    <row r="31" spans="1:9">
      <c r="A31" t="s">
        <v>601</v>
      </c>
      <c r="B31" t="s">
        <v>618</v>
      </c>
      <c r="C31" t="s">
        <v>619</v>
      </c>
      <c r="D31">
        <v>5.28E-2</v>
      </c>
      <c r="E31" t="s">
        <v>488</v>
      </c>
      <c r="F31" t="s">
        <v>620</v>
      </c>
      <c r="G31" t="s">
        <v>605</v>
      </c>
      <c r="I31" s="96"/>
    </row>
    <row r="32" spans="1:9">
      <c r="A32" t="s">
        <v>601</v>
      </c>
      <c r="B32" t="s">
        <v>618</v>
      </c>
      <c r="C32" t="s">
        <v>621</v>
      </c>
      <c r="D32">
        <v>2.0899999999999998E-3</v>
      </c>
      <c r="E32" t="s">
        <v>488</v>
      </c>
      <c r="F32" t="s">
        <v>620</v>
      </c>
      <c r="G32" t="s">
        <v>605</v>
      </c>
      <c r="I32" s="96"/>
    </row>
    <row r="33" spans="1:9">
      <c r="A33" t="s">
        <v>601</v>
      </c>
      <c r="B33" t="s">
        <v>618</v>
      </c>
      <c r="C33" t="s">
        <v>622</v>
      </c>
      <c r="D33">
        <v>2.1600000000000001E-2</v>
      </c>
      <c r="E33" t="s">
        <v>488</v>
      </c>
      <c r="F33" t="s">
        <v>620</v>
      </c>
      <c r="G33" t="s">
        <v>605</v>
      </c>
      <c r="I33" s="96"/>
    </row>
    <row r="34" spans="1:9">
      <c r="A34" t="s">
        <v>601</v>
      </c>
      <c r="B34" t="s">
        <v>618</v>
      </c>
      <c r="C34" t="s">
        <v>623</v>
      </c>
      <c r="D34">
        <v>3.4000000000000001E-6</v>
      </c>
      <c r="E34" t="s">
        <v>488</v>
      </c>
      <c r="F34" t="s">
        <v>620</v>
      </c>
      <c r="G34" t="s">
        <v>605</v>
      </c>
      <c r="I34" s="96"/>
    </row>
    <row r="35" spans="1:9">
      <c r="A35" t="s">
        <v>601</v>
      </c>
      <c r="B35" t="s">
        <v>618</v>
      </c>
      <c r="C35" t="s">
        <v>624</v>
      </c>
      <c r="D35">
        <v>5.0699999999999997E-8</v>
      </c>
      <c r="E35" t="s">
        <v>488</v>
      </c>
      <c r="F35" t="s">
        <v>620</v>
      </c>
      <c r="G35" t="s">
        <v>605</v>
      </c>
      <c r="I35" s="96"/>
    </row>
    <row r="36" spans="1:9">
      <c r="A36" t="s">
        <v>601</v>
      </c>
      <c r="B36" t="s">
        <v>625</v>
      </c>
      <c r="C36" t="s">
        <v>626</v>
      </c>
      <c r="D36">
        <v>1.31E-7</v>
      </c>
      <c r="E36" t="s">
        <v>488</v>
      </c>
      <c r="F36" t="s">
        <v>627</v>
      </c>
      <c r="G36" t="s">
        <v>605</v>
      </c>
      <c r="I36" s="96"/>
    </row>
    <row r="37" spans="1:9">
      <c r="A37" t="s">
        <v>601</v>
      </c>
      <c r="B37" t="s">
        <v>625</v>
      </c>
      <c r="C37" t="s">
        <v>628</v>
      </c>
      <c r="D37">
        <v>5.6499999999999998E-5</v>
      </c>
      <c r="E37" t="s">
        <v>488</v>
      </c>
      <c r="F37" t="s">
        <v>627</v>
      </c>
      <c r="G37" t="s">
        <v>605</v>
      </c>
      <c r="I37" s="96"/>
    </row>
    <row r="38" spans="1:9">
      <c r="A38" t="s">
        <v>601</v>
      </c>
      <c r="B38" t="s">
        <v>625</v>
      </c>
      <c r="C38" t="s">
        <v>629</v>
      </c>
      <c r="D38">
        <v>3.9E-2</v>
      </c>
      <c r="E38" t="s">
        <v>488</v>
      </c>
      <c r="F38" t="s">
        <v>627</v>
      </c>
      <c r="G38" t="s">
        <v>605</v>
      </c>
      <c r="I38" s="96"/>
    </row>
    <row r="39" spans="1:9">
      <c r="A39" t="s">
        <v>601</v>
      </c>
      <c r="B39" t="s">
        <v>625</v>
      </c>
      <c r="C39" t="s">
        <v>630</v>
      </c>
      <c r="D39">
        <v>1.26E-6</v>
      </c>
      <c r="E39" t="s">
        <v>488</v>
      </c>
      <c r="F39" t="s">
        <v>627</v>
      </c>
      <c r="G39" t="s">
        <v>605</v>
      </c>
      <c r="I39" s="96"/>
    </row>
    <row r="40" spans="1:9">
      <c r="A40" s="78" t="s">
        <v>631</v>
      </c>
      <c r="B40" s="78" t="s">
        <v>602</v>
      </c>
      <c r="C40" s="78" t="s">
        <v>632</v>
      </c>
      <c r="D40" s="78">
        <v>1</v>
      </c>
      <c r="E40" s="78" t="s">
        <v>488</v>
      </c>
      <c r="F40" s="78" t="s">
        <v>604</v>
      </c>
      <c r="G40" s="78" t="s">
        <v>605</v>
      </c>
      <c r="I40" s="96">
        <f>SUM(I41:I103)</f>
        <v>103626140</v>
      </c>
    </row>
    <row r="41" spans="1:9">
      <c r="A41" t="s">
        <v>631</v>
      </c>
      <c r="B41" t="s">
        <v>606</v>
      </c>
      <c r="C41" t="s">
        <v>839</v>
      </c>
      <c r="D41">
        <v>1.48</v>
      </c>
      <c r="E41" t="s">
        <v>488</v>
      </c>
      <c r="F41" t="s">
        <v>604</v>
      </c>
      <c r="G41" t="s">
        <v>605</v>
      </c>
      <c r="I41" s="96"/>
    </row>
    <row r="42" spans="1:9">
      <c r="A42" t="s">
        <v>631</v>
      </c>
      <c r="B42" t="s">
        <v>606</v>
      </c>
      <c r="C42" t="s">
        <v>603</v>
      </c>
      <c r="D42">
        <v>2620</v>
      </c>
      <c r="E42" t="s">
        <v>488</v>
      </c>
      <c r="F42" t="s">
        <v>604</v>
      </c>
      <c r="G42" t="s">
        <v>605</v>
      </c>
      <c r="I42" s="96"/>
    </row>
    <row r="43" spans="1:9">
      <c r="A43" t="s">
        <v>631</v>
      </c>
      <c r="B43" t="s">
        <v>606</v>
      </c>
      <c r="C43" t="s">
        <v>840</v>
      </c>
      <c r="D43">
        <v>3.2000000000000001E-2</v>
      </c>
      <c r="E43" t="s">
        <v>488</v>
      </c>
      <c r="F43" t="s">
        <v>604</v>
      </c>
      <c r="G43" t="s">
        <v>605</v>
      </c>
      <c r="I43" s="96"/>
    </row>
    <row r="44" spans="1:9">
      <c r="A44" t="s">
        <v>631</v>
      </c>
      <c r="B44" t="s">
        <v>606</v>
      </c>
      <c r="C44" t="s">
        <v>841</v>
      </c>
      <c r="D44">
        <v>58.6</v>
      </c>
      <c r="E44" t="s">
        <v>488</v>
      </c>
      <c r="F44" t="s">
        <v>604</v>
      </c>
      <c r="G44" t="s">
        <v>605</v>
      </c>
      <c r="I44" s="96"/>
    </row>
    <row r="45" spans="1:9">
      <c r="A45" t="s">
        <v>631</v>
      </c>
      <c r="B45" t="s">
        <v>606</v>
      </c>
      <c r="C45" t="s">
        <v>833</v>
      </c>
      <c r="D45">
        <v>14.9</v>
      </c>
      <c r="E45" t="s">
        <v>488</v>
      </c>
      <c r="F45" t="s">
        <v>604</v>
      </c>
      <c r="G45" t="s">
        <v>605</v>
      </c>
      <c r="I45" s="96"/>
    </row>
    <row r="46" spans="1:9">
      <c r="A46" t="s">
        <v>631</v>
      </c>
      <c r="B46" t="s">
        <v>606</v>
      </c>
      <c r="C46" t="s">
        <v>843</v>
      </c>
      <c r="D46">
        <v>0.36299999999999999</v>
      </c>
      <c r="E46" t="s">
        <v>488</v>
      </c>
      <c r="F46" t="s">
        <v>604</v>
      </c>
      <c r="G46" t="s">
        <v>605</v>
      </c>
      <c r="I46" s="96"/>
    </row>
    <row r="47" spans="1:9">
      <c r="A47" t="s">
        <v>631</v>
      </c>
      <c r="B47" t="s">
        <v>606</v>
      </c>
      <c r="C47" t="s">
        <v>844</v>
      </c>
      <c r="D47">
        <v>25.3</v>
      </c>
      <c r="E47" t="s">
        <v>488</v>
      </c>
      <c r="F47" t="s">
        <v>604</v>
      </c>
      <c r="G47" t="s">
        <v>605</v>
      </c>
      <c r="I47" s="96"/>
    </row>
    <row r="48" spans="1:9">
      <c r="A48" t="s">
        <v>631</v>
      </c>
      <c r="B48" t="s">
        <v>606</v>
      </c>
      <c r="C48" t="s">
        <v>633</v>
      </c>
      <c r="D48">
        <v>5590</v>
      </c>
      <c r="E48" t="s">
        <v>488</v>
      </c>
      <c r="F48" t="s">
        <v>604</v>
      </c>
      <c r="G48" t="s">
        <v>605</v>
      </c>
      <c r="I48" s="96"/>
    </row>
    <row r="49" spans="1:9">
      <c r="A49" t="s">
        <v>631</v>
      </c>
      <c r="B49" t="s">
        <v>606</v>
      </c>
      <c r="C49" t="s">
        <v>634</v>
      </c>
      <c r="D49">
        <v>145</v>
      </c>
      <c r="E49" t="s">
        <v>488</v>
      </c>
      <c r="F49" t="s">
        <v>604</v>
      </c>
      <c r="G49" t="s">
        <v>605</v>
      </c>
      <c r="I49" s="96"/>
    </row>
    <row r="50" spans="1:9">
      <c r="A50" t="s">
        <v>631</v>
      </c>
      <c r="B50" t="s">
        <v>606</v>
      </c>
      <c r="C50" t="s">
        <v>635</v>
      </c>
      <c r="D50">
        <v>58.6</v>
      </c>
      <c r="E50" t="s">
        <v>488</v>
      </c>
      <c r="F50" t="s">
        <v>604</v>
      </c>
      <c r="G50" t="s">
        <v>605</v>
      </c>
      <c r="I50" s="96"/>
    </row>
    <row r="51" spans="1:9">
      <c r="A51" t="s">
        <v>631</v>
      </c>
      <c r="B51" t="s">
        <v>606</v>
      </c>
      <c r="C51" t="s">
        <v>842</v>
      </c>
      <c r="D51">
        <v>120000</v>
      </c>
      <c r="E51" t="s">
        <v>488</v>
      </c>
      <c r="F51" t="s">
        <v>604</v>
      </c>
      <c r="G51" t="s">
        <v>605</v>
      </c>
      <c r="I51" s="96"/>
    </row>
    <row r="52" spans="1:9">
      <c r="A52" t="s">
        <v>631</v>
      </c>
      <c r="B52" t="s">
        <v>606</v>
      </c>
      <c r="C52" t="s">
        <v>636</v>
      </c>
      <c r="D52">
        <v>25.4</v>
      </c>
      <c r="E52" t="s">
        <v>488</v>
      </c>
      <c r="F52" t="s">
        <v>604</v>
      </c>
      <c r="G52" t="s">
        <v>605</v>
      </c>
      <c r="I52" s="96"/>
    </row>
    <row r="53" spans="1:9">
      <c r="A53" t="s">
        <v>631</v>
      </c>
      <c r="B53" t="s">
        <v>609</v>
      </c>
      <c r="C53" t="s">
        <v>845</v>
      </c>
      <c r="D53">
        <v>10.6</v>
      </c>
      <c r="E53" t="s">
        <v>488</v>
      </c>
      <c r="F53" t="s">
        <v>604</v>
      </c>
      <c r="G53" t="s">
        <v>605</v>
      </c>
      <c r="I53" s="96"/>
    </row>
    <row r="54" spans="1:9">
      <c r="A54" t="s">
        <v>631</v>
      </c>
      <c r="B54" t="s">
        <v>609</v>
      </c>
      <c r="C54" t="s">
        <v>646</v>
      </c>
      <c r="D54">
        <v>64</v>
      </c>
      <c r="E54" t="s">
        <v>488</v>
      </c>
      <c r="F54" t="s">
        <v>604</v>
      </c>
      <c r="G54" t="s">
        <v>605</v>
      </c>
      <c r="I54" s="96"/>
    </row>
    <row r="55" spans="1:9">
      <c r="A55" t="s">
        <v>631</v>
      </c>
      <c r="B55" t="s">
        <v>609</v>
      </c>
      <c r="C55" t="s">
        <v>846</v>
      </c>
      <c r="D55">
        <v>10.8</v>
      </c>
      <c r="E55" t="s">
        <v>488</v>
      </c>
      <c r="F55" t="s">
        <v>604</v>
      </c>
      <c r="G55" t="s">
        <v>605</v>
      </c>
      <c r="I55" s="96"/>
    </row>
    <row r="56" spans="1:9">
      <c r="A56" t="s">
        <v>631</v>
      </c>
      <c r="B56" t="s">
        <v>609</v>
      </c>
      <c r="C56" t="s">
        <v>847</v>
      </c>
      <c r="D56">
        <v>14.6</v>
      </c>
      <c r="E56" t="s">
        <v>488</v>
      </c>
      <c r="F56" t="s">
        <v>604</v>
      </c>
      <c r="G56" t="s">
        <v>605</v>
      </c>
      <c r="I56" s="96"/>
    </row>
    <row r="57" spans="1:9">
      <c r="A57" t="s">
        <v>631</v>
      </c>
      <c r="B57" t="s">
        <v>609</v>
      </c>
      <c r="C57" t="s">
        <v>824</v>
      </c>
      <c r="D57">
        <v>33.299999999999997</v>
      </c>
      <c r="E57" t="s">
        <v>488</v>
      </c>
      <c r="F57" t="s">
        <v>604</v>
      </c>
      <c r="G57" t="s">
        <v>605</v>
      </c>
      <c r="I57" s="96"/>
    </row>
    <row r="58" spans="1:9">
      <c r="A58" t="s">
        <v>631</v>
      </c>
      <c r="B58" t="s">
        <v>609</v>
      </c>
      <c r="C58" t="s">
        <v>637</v>
      </c>
      <c r="D58" s="99">
        <v>2160</v>
      </c>
      <c r="E58" t="s">
        <v>488</v>
      </c>
      <c r="F58" t="s">
        <v>604</v>
      </c>
      <c r="G58" t="s">
        <v>605</v>
      </c>
      <c r="I58" s="96"/>
    </row>
    <row r="59" spans="1:9">
      <c r="A59" t="s">
        <v>631</v>
      </c>
      <c r="B59" t="s">
        <v>609</v>
      </c>
      <c r="C59" t="s">
        <v>825</v>
      </c>
      <c r="D59">
        <v>7.59</v>
      </c>
      <c r="E59" t="s">
        <v>488</v>
      </c>
      <c r="F59" t="s">
        <v>604</v>
      </c>
      <c r="G59" t="s">
        <v>605</v>
      </c>
      <c r="I59" s="96"/>
    </row>
    <row r="60" spans="1:9">
      <c r="A60" t="s">
        <v>631</v>
      </c>
      <c r="B60" t="s">
        <v>609</v>
      </c>
      <c r="C60" t="s">
        <v>848</v>
      </c>
      <c r="D60">
        <v>36.700000000000003</v>
      </c>
      <c r="E60" t="s">
        <v>488</v>
      </c>
      <c r="F60" t="s">
        <v>604</v>
      </c>
      <c r="G60" t="s">
        <v>605</v>
      </c>
      <c r="I60" s="96"/>
    </row>
    <row r="61" spans="1:9">
      <c r="A61" t="s">
        <v>631</v>
      </c>
      <c r="B61" t="s">
        <v>609</v>
      </c>
      <c r="C61" t="s">
        <v>849</v>
      </c>
      <c r="D61">
        <v>19</v>
      </c>
      <c r="E61" t="s">
        <v>488</v>
      </c>
      <c r="F61" t="s">
        <v>604</v>
      </c>
      <c r="G61" t="s">
        <v>605</v>
      </c>
      <c r="I61" s="96"/>
    </row>
    <row r="62" spans="1:9">
      <c r="A62" t="s">
        <v>631</v>
      </c>
      <c r="B62" t="s">
        <v>609</v>
      </c>
      <c r="C62" t="s">
        <v>497</v>
      </c>
      <c r="D62">
        <v>12000</v>
      </c>
      <c r="E62" t="s">
        <v>293</v>
      </c>
      <c r="F62" t="s">
        <v>604</v>
      </c>
      <c r="G62" t="s">
        <v>605</v>
      </c>
      <c r="I62" s="96">
        <f>D62*1000</f>
        <v>12000000</v>
      </c>
    </row>
    <row r="63" spans="1:9">
      <c r="A63" t="s">
        <v>631</v>
      </c>
      <c r="B63" t="s">
        <v>609</v>
      </c>
      <c r="C63" t="s">
        <v>827</v>
      </c>
      <c r="D63">
        <v>4.08</v>
      </c>
      <c r="E63" t="s">
        <v>488</v>
      </c>
      <c r="F63" t="s">
        <v>604</v>
      </c>
      <c r="G63" t="s">
        <v>605</v>
      </c>
      <c r="I63" s="96">
        <f>D63*43*1000</f>
        <v>175440</v>
      </c>
    </row>
    <row r="64" spans="1:9">
      <c r="A64" t="s">
        <v>631</v>
      </c>
      <c r="B64" t="s">
        <v>609</v>
      </c>
      <c r="C64" t="s">
        <v>473</v>
      </c>
      <c r="D64">
        <v>25400</v>
      </c>
      <c r="E64" t="s">
        <v>491</v>
      </c>
      <c r="F64" t="s">
        <v>604</v>
      </c>
      <c r="G64" t="s">
        <v>605</v>
      </c>
      <c r="I64" s="96">
        <f>D64*1000*3.6</f>
        <v>91440000</v>
      </c>
    </row>
    <row r="65" spans="1:9">
      <c r="A65" t="s">
        <v>631</v>
      </c>
      <c r="B65" t="s">
        <v>609</v>
      </c>
      <c r="C65" t="s">
        <v>850</v>
      </c>
      <c r="D65">
        <v>2.1800000000000002</v>
      </c>
      <c r="E65" t="s">
        <v>488</v>
      </c>
      <c r="F65" t="s">
        <v>604</v>
      </c>
      <c r="G65" t="s">
        <v>605</v>
      </c>
      <c r="I65" s="96"/>
    </row>
    <row r="66" spans="1:9">
      <c r="A66" t="s">
        <v>631</v>
      </c>
      <c r="B66" t="s">
        <v>609</v>
      </c>
      <c r="C66" t="s">
        <v>502</v>
      </c>
      <c r="D66" s="99">
        <v>10700</v>
      </c>
      <c r="E66" t="s">
        <v>293</v>
      </c>
      <c r="F66" t="s">
        <v>604</v>
      </c>
      <c r="G66" t="s">
        <v>605</v>
      </c>
      <c r="I66" s="96">
        <f>D66</f>
        <v>10700</v>
      </c>
    </row>
    <row r="67" spans="1:9">
      <c r="A67" t="s">
        <v>631</v>
      </c>
      <c r="B67" t="s">
        <v>609</v>
      </c>
      <c r="C67" t="s">
        <v>851</v>
      </c>
      <c r="D67" s="99">
        <v>121</v>
      </c>
      <c r="E67" t="s">
        <v>488</v>
      </c>
      <c r="F67" t="s">
        <v>604</v>
      </c>
      <c r="G67" t="s">
        <v>605</v>
      </c>
      <c r="I67" s="96"/>
    </row>
    <row r="68" spans="1:9">
      <c r="A68" t="s">
        <v>631</v>
      </c>
      <c r="B68" t="s">
        <v>609</v>
      </c>
      <c r="C68" t="s">
        <v>852</v>
      </c>
      <c r="D68" s="99">
        <v>195</v>
      </c>
      <c r="E68" t="s">
        <v>488</v>
      </c>
      <c r="F68" t="s">
        <v>604</v>
      </c>
      <c r="G68" t="s">
        <v>605</v>
      </c>
      <c r="I68" s="96"/>
    </row>
    <row r="69" spans="1:9">
      <c r="A69" t="s">
        <v>631</v>
      </c>
      <c r="B69" t="s">
        <v>609</v>
      </c>
      <c r="C69" t="s">
        <v>853</v>
      </c>
      <c r="D69" s="99">
        <v>29.4</v>
      </c>
      <c r="E69" t="s">
        <v>488</v>
      </c>
      <c r="F69" t="s">
        <v>604</v>
      </c>
      <c r="G69" t="s">
        <v>605</v>
      </c>
      <c r="I69" s="96"/>
    </row>
    <row r="70" spans="1:9">
      <c r="A70" t="s">
        <v>631</v>
      </c>
      <c r="B70" t="s">
        <v>609</v>
      </c>
      <c r="C70" t="s">
        <v>647</v>
      </c>
      <c r="D70" s="99">
        <v>0.151</v>
      </c>
      <c r="E70" t="s">
        <v>488</v>
      </c>
      <c r="F70" t="s">
        <v>604</v>
      </c>
      <c r="G70" t="s">
        <v>605</v>
      </c>
      <c r="I70" s="96"/>
    </row>
    <row r="71" spans="1:9">
      <c r="A71" t="s">
        <v>631</v>
      </c>
      <c r="B71" t="s">
        <v>609</v>
      </c>
      <c r="C71" t="s">
        <v>854</v>
      </c>
      <c r="D71" s="99">
        <v>3.71</v>
      </c>
      <c r="E71" t="s">
        <v>488</v>
      </c>
      <c r="F71" t="s">
        <v>604</v>
      </c>
      <c r="G71" t="s">
        <v>605</v>
      </c>
      <c r="I71" s="96"/>
    </row>
    <row r="72" spans="1:9">
      <c r="A72" t="s">
        <v>631</v>
      </c>
      <c r="B72" t="s">
        <v>609</v>
      </c>
      <c r="C72" t="s">
        <v>831</v>
      </c>
      <c r="D72" s="99">
        <v>1.3799999999999999E-6</v>
      </c>
      <c r="E72" t="s">
        <v>273</v>
      </c>
      <c r="F72" t="s">
        <v>604</v>
      </c>
      <c r="G72" t="s">
        <v>605</v>
      </c>
      <c r="I72" s="96"/>
    </row>
    <row r="73" spans="1:9">
      <c r="A73" t="s">
        <v>631</v>
      </c>
      <c r="B73" t="s">
        <v>609</v>
      </c>
      <c r="C73" t="s">
        <v>479</v>
      </c>
      <c r="D73" s="99">
        <v>142</v>
      </c>
      <c r="E73" t="s">
        <v>488</v>
      </c>
      <c r="F73" t="s">
        <v>604</v>
      </c>
      <c r="G73" t="s">
        <v>605</v>
      </c>
      <c r="I73" s="96"/>
    </row>
    <row r="74" spans="1:9">
      <c r="A74" t="s">
        <v>631</v>
      </c>
      <c r="B74" t="s">
        <v>609</v>
      </c>
      <c r="C74" t="s">
        <v>855</v>
      </c>
      <c r="D74" s="99">
        <v>1.87</v>
      </c>
      <c r="E74" t="s">
        <v>488</v>
      </c>
      <c r="F74" t="s">
        <v>604</v>
      </c>
      <c r="G74" t="s">
        <v>605</v>
      </c>
      <c r="I74" s="96"/>
    </row>
    <row r="75" spans="1:9">
      <c r="A75" t="s">
        <v>631</v>
      </c>
      <c r="B75" t="s">
        <v>609</v>
      </c>
      <c r="C75" t="s">
        <v>652</v>
      </c>
      <c r="D75" s="99">
        <v>1.1299999999999999</v>
      </c>
      <c r="E75" t="s">
        <v>488</v>
      </c>
      <c r="F75" t="s">
        <v>604</v>
      </c>
      <c r="G75" t="s">
        <v>605</v>
      </c>
      <c r="I75" s="96"/>
    </row>
    <row r="76" spans="1:9">
      <c r="A76" t="s">
        <v>631</v>
      </c>
      <c r="B76" t="s">
        <v>609</v>
      </c>
      <c r="C76" t="s">
        <v>856</v>
      </c>
      <c r="D76" s="99">
        <v>2.27</v>
      </c>
      <c r="E76" t="s">
        <v>488</v>
      </c>
      <c r="F76" t="s">
        <v>604</v>
      </c>
      <c r="G76" t="s">
        <v>605</v>
      </c>
      <c r="I76" s="96"/>
    </row>
    <row r="77" spans="1:9">
      <c r="A77" t="s">
        <v>631</v>
      </c>
      <c r="B77" t="s">
        <v>609</v>
      </c>
      <c r="C77" t="s">
        <v>857</v>
      </c>
      <c r="D77" s="99">
        <v>305</v>
      </c>
      <c r="E77" t="s">
        <v>488</v>
      </c>
      <c r="F77" t="s">
        <v>604</v>
      </c>
      <c r="G77" t="s">
        <v>605</v>
      </c>
      <c r="I77" s="96"/>
    </row>
    <row r="78" spans="1:9">
      <c r="A78" t="s">
        <v>631</v>
      </c>
      <c r="B78" t="s">
        <v>609</v>
      </c>
      <c r="C78" t="s">
        <v>504</v>
      </c>
      <c r="D78" s="99">
        <v>3.71</v>
      </c>
      <c r="E78" t="s">
        <v>488</v>
      </c>
      <c r="F78" t="s">
        <v>604</v>
      </c>
      <c r="G78" t="s">
        <v>605</v>
      </c>
      <c r="I78" s="96"/>
    </row>
    <row r="79" spans="1:9">
      <c r="A79" t="s">
        <v>631</v>
      </c>
      <c r="B79" t="s">
        <v>609</v>
      </c>
      <c r="C79" t="s">
        <v>858</v>
      </c>
      <c r="D79" s="99">
        <v>2.2599999999999998</v>
      </c>
      <c r="E79" t="s">
        <v>488</v>
      </c>
      <c r="F79" t="s">
        <v>604</v>
      </c>
      <c r="G79" t="s">
        <v>605</v>
      </c>
      <c r="I79" s="96"/>
    </row>
    <row r="80" spans="1:9">
      <c r="A80" t="s">
        <v>631</v>
      </c>
      <c r="B80" t="s">
        <v>609</v>
      </c>
      <c r="C80" t="s">
        <v>481</v>
      </c>
      <c r="D80" s="99">
        <v>93.7</v>
      </c>
      <c r="E80" t="s">
        <v>488</v>
      </c>
      <c r="F80" t="s">
        <v>604</v>
      </c>
      <c r="G80" t="s">
        <v>605</v>
      </c>
      <c r="I80" s="96"/>
    </row>
    <row r="81" spans="1:9">
      <c r="A81" t="s">
        <v>631</v>
      </c>
      <c r="B81" t="s">
        <v>609</v>
      </c>
      <c r="C81" t="s">
        <v>611</v>
      </c>
      <c r="D81" s="99">
        <v>67.400000000000006</v>
      </c>
      <c r="E81" t="s">
        <v>488</v>
      </c>
      <c r="F81" t="s">
        <v>604</v>
      </c>
      <c r="G81" t="s">
        <v>605</v>
      </c>
      <c r="I81" s="96"/>
    </row>
    <row r="82" spans="1:9">
      <c r="A82" t="s">
        <v>631</v>
      </c>
      <c r="B82" t="s">
        <v>609</v>
      </c>
      <c r="C82" t="s">
        <v>859</v>
      </c>
      <c r="D82" s="99">
        <v>3.71</v>
      </c>
      <c r="E82" t="s">
        <v>488</v>
      </c>
      <c r="F82" t="s">
        <v>604</v>
      </c>
      <c r="G82" t="s">
        <v>605</v>
      </c>
      <c r="I82" s="96"/>
    </row>
    <row r="83" spans="1:9">
      <c r="A83" t="s">
        <v>631</v>
      </c>
      <c r="B83" t="s">
        <v>609</v>
      </c>
      <c r="C83" t="s">
        <v>860</v>
      </c>
      <c r="D83" s="99">
        <v>91.2</v>
      </c>
      <c r="E83" t="s">
        <v>488</v>
      </c>
      <c r="F83" t="s">
        <v>604</v>
      </c>
      <c r="G83" t="s">
        <v>605</v>
      </c>
      <c r="I83" s="96"/>
    </row>
    <row r="84" spans="1:9">
      <c r="A84" t="s">
        <v>631</v>
      </c>
      <c r="B84" t="s">
        <v>609</v>
      </c>
      <c r="C84" t="s">
        <v>861</v>
      </c>
      <c r="D84" s="99">
        <v>208</v>
      </c>
      <c r="E84" t="s">
        <v>488</v>
      </c>
      <c r="F84" t="s">
        <v>604</v>
      </c>
      <c r="G84" t="s">
        <v>605</v>
      </c>
      <c r="I84" s="96"/>
    </row>
    <row r="85" spans="1:9">
      <c r="A85" t="s">
        <v>631</v>
      </c>
      <c r="B85" t="s">
        <v>609</v>
      </c>
      <c r="C85" t="s">
        <v>862</v>
      </c>
      <c r="D85" s="99">
        <v>57.2</v>
      </c>
      <c r="E85" t="s">
        <v>488</v>
      </c>
      <c r="F85" t="s">
        <v>604</v>
      </c>
      <c r="G85" t="s">
        <v>605</v>
      </c>
      <c r="I85" s="96"/>
    </row>
    <row r="86" spans="1:9">
      <c r="A86" t="s">
        <v>631</v>
      </c>
      <c r="B86" t="s">
        <v>609</v>
      </c>
      <c r="C86" t="s">
        <v>863</v>
      </c>
      <c r="D86" s="99">
        <v>7.5999999999999998E-2</v>
      </c>
      <c r="E86" t="s">
        <v>488</v>
      </c>
      <c r="F86" t="s">
        <v>604</v>
      </c>
      <c r="G86" t="s">
        <v>605</v>
      </c>
      <c r="I86" s="96"/>
    </row>
    <row r="87" spans="1:9">
      <c r="A87" t="s">
        <v>631</v>
      </c>
      <c r="B87" t="s">
        <v>609</v>
      </c>
      <c r="C87" t="s">
        <v>864</v>
      </c>
      <c r="D87" s="99">
        <v>51.4</v>
      </c>
      <c r="E87" t="s">
        <v>867</v>
      </c>
      <c r="F87" t="s">
        <v>604</v>
      </c>
      <c r="G87" t="s">
        <v>605</v>
      </c>
      <c r="I87" s="96"/>
    </row>
    <row r="88" spans="1:9">
      <c r="A88" t="s">
        <v>631</v>
      </c>
      <c r="B88" t="s">
        <v>609</v>
      </c>
      <c r="C88" t="s">
        <v>865</v>
      </c>
      <c r="D88" s="99">
        <v>27.9</v>
      </c>
      <c r="E88" t="s">
        <v>488</v>
      </c>
      <c r="F88" t="s">
        <v>604</v>
      </c>
      <c r="G88" t="s">
        <v>605</v>
      </c>
      <c r="I88" s="96"/>
    </row>
    <row r="89" spans="1:9">
      <c r="A89" t="s">
        <v>631</v>
      </c>
      <c r="B89" t="s">
        <v>609</v>
      </c>
      <c r="C89" t="s">
        <v>866</v>
      </c>
      <c r="D89" s="99">
        <v>56.9</v>
      </c>
      <c r="E89" t="s">
        <v>488</v>
      </c>
      <c r="F89" t="s">
        <v>604</v>
      </c>
      <c r="G89" t="s">
        <v>605</v>
      </c>
      <c r="I89" s="96"/>
    </row>
    <row r="90" spans="1:9">
      <c r="A90" t="s">
        <v>631</v>
      </c>
      <c r="B90" t="s">
        <v>609</v>
      </c>
      <c r="C90" t="s">
        <v>611</v>
      </c>
      <c r="D90">
        <v>67.400000000000006</v>
      </c>
      <c r="E90" t="s">
        <v>488</v>
      </c>
      <c r="F90" t="s">
        <v>604</v>
      </c>
      <c r="G90" t="s">
        <v>605</v>
      </c>
      <c r="I90" s="96"/>
    </row>
    <row r="91" spans="1:9">
      <c r="A91" t="s">
        <v>631</v>
      </c>
      <c r="B91" t="s">
        <v>609</v>
      </c>
      <c r="C91" t="s">
        <v>638</v>
      </c>
      <c r="D91">
        <v>121</v>
      </c>
      <c r="E91" t="s">
        <v>488</v>
      </c>
      <c r="F91" t="s">
        <v>604</v>
      </c>
      <c r="G91" t="s">
        <v>605</v>
      </c>
      <c r="I91" s="96"/>
    </row>
    <row r="92" spans="1:9">
      <c r="A92" t="s">
        <v>631</v>
      </c>
      <c r="B92" t="s">
        <v>613</v>
      </c>
      <c r="C92" t="s">
        <v>615</v>
      </c>
      <c r="D92">
        <v>123000</v>
      </c>
      <c r="E92" t="s">
        <v>488</v>
      </c>
      <c r="F92" t="s">
        <v>614</v>
      </c>
      <c r="G92" t="s">
        <v>605</v>
      </c>
      <c r="I92" s="96"/>
    </row>
    <row r="93" spans="1:9">
      <c r="A93" t="s">
        <v>631</v>
      </c>
      <c r="B93" t="s">
        <v>613</v>
      </c>
      <c r="C93" t="s">
        <v>639</v>
      </c>
      <c r="D93">
        <v>75.5</v>
      </c>
      <c r="E93" t="s">
        <v>617</v>
      </c>
      <c r="F93" t="s">
        <v>614</v>
      </c>
      <c r="G93" t="s">
        <v>605</v>
      </c>
      <c r="I93" s="96"/>
    </row>
    <row r="94" spans="1:9">
      <c r="A94" t="s">
        <v>631</v>
      </c>
      <c r="B94" t="s">
        <v>613</v>
      </c>
      <c r="C94" t="s">
        <v>14</v>
      </c>
      <c r="D94">
        <v>0.40400000000000003</v>
      </c>
      <c r="E94" t="s">
        <v>488</v>
      </c>
      <c r="F94" t="s">
        <v>614</v>
      </c>
      <c r="G94" t="s">
        <v>605</v>
      </c>
      <c r="I94" s="96"/>
    </row>
    <row r="95" spans="1:9">
      <c r="A95" t="s">
        <v>631</v>
      </c>
      <c r="B95" t="s">
        <v>613</v>
      </c>
      <c r="C95" t="s">
        <v>448</v>
      </c>
      <c r="D95">
        <v>9.2100000000000009</v>
      </c>
      <c r="E95" t="s">
        <v>488</v>
      </c>
      <c r="F95" t="s">
        <v>614</v>
      </c>
      <c r="G95" t="s">
        <v>605</v>
      </c>
      <c r="I95" s="96"/>
    </row>
    <row r="96" spans="1:9">
      <c r="A96" t="s">
        <v>631</v>
      </c>
      <c r="B96" t="s">
        <v>618</v>
      </c>
      <c r="C96" t="s">
        <v>624</v>
      </c>
      <c r="D96">
        <v>18.7</v>
      </c>
      <c r="E96" t="s">
        <v>488</v>
      </c>
      <c r="F96" t="s">
        <v>620</v>
      </c>
      <c r="G96" t="s">
        <v>605</v>
      </c>
      <c r="I96" s="96"/>
    </row>
    <row r="97" spans="1:9">
      <c r="A97" t="s">
        <v>631</v>
      </c>
      <c r="B97" t="s">
        <v>618</v>
      </c>
      <c r="C97" t="s">
        <v>640</v>
      </c>
      <c r="D97">
        <v>4.29</v>
      </c>
      <c r="E97" t="s">
        <v>488</v>
      </c>
      <c r="F97" t="s">
        <v>620</v>
      </c>
      <c r="G97" t="s">
        <v>605</v>
      </c>
      <c r="I97" s="96"/>
    </row>
    <row r="98" spans="1:9">
      <c r="A98" t="s">
        <v>631</v>
      </c>
      <c r="B98" t="s">
        <v>618</v>
      </c>
      <c r="C98" t="s">
        <v>621</v>
      </c>
      <c r="D98">
        <v>9.2499999999999999E-2</v>
      </c>
      <c r="E98" t="s">
        <v>488</v>
      </c>
      <c r="F98" t="s">
        <v>620</v>
      </c>
      <c r="G98" t="s">
        <v>605</v>
      </c>
      <c r="I98" s="96"/>
    </row>
    <row r="99" spans="1:9">
      <c r="A99" t="s">
        <v>631</v>
      </c>
      <c r="B99" t="s">
        <v>618</v>
      </c>
      <c r="C99" t="s">
        <v>622</v>
      </c>
      <c r="D99">
        <v>0.86299999999999999</v>
      </c>
      <c r="E99" t="s">
        <v>488</v>
      </c>
      <c r="F99" t="s">
        <v>620</v>
      </c>
      <c r="G99" t="s">
        <v>605</v>
      </c>
      <c r="I99" s="96"/>
    </row>
    <row r="100" spans="1:9">
      <c r="A100" t="s">
        <v>631</v>
      </c>
      <c r="B100" t="s">
        <v>625</v>
      </c>
      <c r="C100" t="s">
        <v>641</v>
      </c>
      <c r="D100">
        <v>0.30099999999999999</v>
      </c>
      <c r="E100" t="s">
        <v>488</v>
      </c>
      <c r="F100" t="s">
        <v>627</v>
      </c>
      <c r="G100" t="s">
        <v>605</v>
      </c>
      <c r="I100" s="96"/>
    </row>
    <row r="101" spans="1:9">
      <c r="A101" t="s">
        <v>631</v>
      </c>
      <c r="B101" t="s">
        <v>625</v>
      </c>
      <c r="C101" t="s">
        <v>642</v>
      </c>
      <c r="D101">
        <v>13.5</v>
      </c>
      <c r="E101" t="s">
        <v>488</v>
      </c>
      <c r="F101" t="s">
        <v>627</v>
      </c>
      <c r="G101" t="s">
        <v>605</v>
      </c>
      <c r="I101" s="96"/>
    </row>
    <row r="102" spans="1:9">
      <c r="A102" t="s">
        <v>631</v>
      </c>
      <c r="B102" t="s">
        <v>625</v>
      </c>
      <c r="C102" t="s">
        <v>628</v>
      </c>
      <c r="D102">
        <v>7.5100000000000002E-3</v>
      </c>
      <c r="E102" t="s">
        <v>488</v>
      </c>
      <c r="F102" t="s">
        <v>627</v>
      </c>
      <c r="G102" t="s">
        <v>605</v>
      </c>
      <c r="I102" s="96"/>
    </row>
    <row r="103" spans="1:9">
      <c r="A103" t="s">
        <v>631</v>
      </c>
      <c r="B103" t="s">
        <v>625</v>
      </c>
      <c r="C103" t="s">
        <v>630</v>
      </c>
      <c r="D103">
        <v>2.9099999999999998E-3</v>
      </c>
      <c r="E103" t="s">
        <v>488</v>
      </c>
      <c r="F103" t="s">
        <v>627</v>
      </c>
      <c r="G103" t="s">
        <v>605</v>
      </c>
      <c r="I103" s="96"/>
    </row>
    <row r="104" spans="1:9">
      <c r="A104" s="78" t="s">
        <v>643</v>
      </c>
      <c r="B104" s="78" t="s">
        <v>602</v>
      </c>
      <c r="C104" s="78" t="s">
        <v>644</v>
      </c>
      <c r="D104" s="78">
        <v>1</v>
      </c>
      <c r="E104" s="78" t="s">
        <v>488</v>
      </c>
      <c r="F104" s="78" t="s">
        <v>604</v>
      </c>
      <c r="G104" s="78" t="s">
        <v>605</v>
      </c>
      <c r="I104" s="96">
        <f>SUM(I105:I129)</f>
        <v>273.74699999999996</v>
      </c>
    </row>
    <row r="105" spans="1:9">
      <c r="A105" t="s">
        <v>643</v>
      </c>
      <c r="B105" t="s">
        <v>606</v>
      </c>
      <c r="C105" t="s">
        <v>608</v>
      </c>
      <c r="D105">
        <v>1.85</v>
      </c>
      <c r="E105" t="s">
        <v>488</v>
      </c>
      <c r="F105" t="s">
        <v>604</v>
      </c>
      <c r="G105" t="s">
        <v>605</v>
      </c>
      <c r="I105" s="96"/>
    </row>
    <row r="106" spans="1:9">
      <c r="A106" t="s">
        <v>643</v>
      </c>
      <c r="B106" t="s">
        <v>606</v>
      </c>
      <c r="C106" t="s">
        <v>834</v>
      </c>
      <c r="D106">
        <v>8.9499999999999994E-5</v>
      </c>
      <c r="E106" t="s">
        <v>488</v>
      </c>
      <c r="F106" t="s">
        <v>604</v>
      </c>
      <c r="G106" t="s">
        <v>605</v>
      </c>
      <c r="I106" s="96"/>
    </row>
    <row r="107" spans="1:9">
      <c r="A107" t="s">
        <v>643</v>
      </c>
      <c r="B107" t="s">
        <v>606</v>
      </c>
      <c r="C107" t="s">
        <v>645</v>
      </c>
      <c r="D107">
        <v>2.1900000000000002E-6</v>
      </c>
      <c r="E107" t="s">
        <v>488</v>
      </c>
      <c r="F107" t="s">
        <v>604</v>
      </c>
      <c r="G107" t="s">
        <v>605</v>
      </c>
      <c r="I107" s="96"/>
    </row>
    <row r="108" spans="1:9">
      <c r="A108" t="s">
        <v>643</v>
      </c>
      <c r="B108" t="s">
        <v>606</v>
      </c>
      <c r="C108" t="s">
        <v>833</v>
      </c>
      <c r="D108">
        <f>0.00000402</f>
        <v>4.0199999999999996E-6</v>
      </c>
      <c r="E108" t="s">
        <v>488</v>
      </c>
      <c r="F108" t="s">
        <v>604</v>
      </c>
      <c r="G108" t="s">
        <v>605</v>
      </c>
      <c r="I108" s="96"/>
    </row>
    <row r="109" spans="1:9">
      <c r="A109" t="s">
        <v>643</v>
      </c>
      <c r="B109" t="s">
        <v>609</v>
      </c>
      <c r="C109" t="s">
        <v>646</v>
      </c>
      <c r="D109">
        <v>2.49E-3</v>
      </c>
      <c r="E109" t="s">
        <v>488</v>
      </c>
      <c r="F109" t="s">
        <v>604</v>
      </c>
      <c r="G109" t="s">
        <v>605</v>
      </c>
      <c r="I109" s="96"/>
    </row>
    <row r="110" spans="1:9">
      <c r="A110" t="s">
        <v>643</v>
      </c>
      <c r="B110" t="s">
        <v>609</v>
      </c>
      <c r="C110" t="s">
        <v>497</v>
      </c>
      <c r="D110">
        <v>9.9000000000000005E-2</v>
      </c>
      <c r="E110" t="s">
        <v>293</v>
      </c>
      <c r="F110" t="s">
        <v>604</v>
      </c>
      <c r="G110" t="s">
        <v>605</v>
      </c>
      <c r="I110" s="96">
        <f>D110*1000</f>
        <v>99</v>
      </c>
    </row>
    <row r="111" spans="1:9">
      <c r="A111" t="s">
        <v>643</v>
      </c>
      <c r="B111" t="s">
        <v>609</v>
      </c>
      <c r="C111" t="s">
        <v>827</v>
      </c>
      <c r="D111">
        <v>1.4899999999999999E-4</v>
      </c>
      <c r="E111" t="s">
        <v>488</v>
      </c>
      <c r="F111" t="s">
        <v>604</v>
      </c>
      <c r="G111" t="s">
        <v>605</v>
      </c>
      <c r="I111" s="96">
        <f>D111*43*1000</f>
        <v>6.4069999999999991</v>
      </c>
    </row>
    <row r="112" spans="1:9">
      <c r="A112" t="s">
        <v>643</v>
      </c>
      <c r="B112" t="s">
        <v>609</v>
      </c>
      <c r="C112" t="s">
        <v>473</v>
      </c>
      <c r="D112">
        <v>3.9899999999999998E-2</v>
      </c>
      <c r="E112" t="s">
        <v>491</v>
      </c>
      <c r="F112" t="s">
        <v>604</v>
      </c>
      <c r="G112" t="s">
        <v>605</v>
      </c>
      <c r="I112" s="96">
        <f>D112*1000*3.6</f>
        <v>143.63999999999999</v>
      </c>
    </row>
    <row r="113" spans="1:9">
      <c r="A113" t="s">
        <v>643</v>
      </c>
      <c r="B113" t="s">
        <v>609</v>
      </c>
      <c r="C113" t="s">
        <v>503</v>
      </c>
      <c r="D113">
        <v>2.47E-2</v>
      </c>
      <c r="E113" t="s">
        <v>293</v>
      </c>
      <c r="F113" t="s">
        <v>604</v>
      </c>
      <c r="G113" t="s">
        <v>605</v>
      </c>
      <c r="I113" s="96">
        <f>D113*1000</f>
        <v>24.7</v>
      </c>
    </row>
    <row r="114" spans="1:9">
      <c r="A114" t="s">
        <v>643</v>
      </c>
      <c r="B114" t="s">
        <v>609</v>
      </c>
      <c r="C114" t="s">
        <v>647</v>
      </c>
      <c r="D114">
        <v>5.0500000000000001E-5</v>
      </c>
      <c r="E114" t="s">
        <v>488</v>
      </c>
      <c r="F114" t="s">
        <v>604</v>
      </c>
      <c r="G114" t="s">
        <v>605</v>
      </c>
      <c r="I114" s="96"/>
    </row>
    <row r="115" spans="1:9">
      <c r="A115" t="s">
        <v>643</v>
      </c>
      <c r="B115" t="s">
        <v>609</v>
      </c>
      <c r="C115" t="s">
        <v>835</v>
      </c>
      <c r="D115" s="99">
        <v>3.2900000000000001E-13</v>
      </c>
      <c r="E115" t="s">
        <v>273</v>
      </c>
      <c r="F115" t="s">
        <v>604</v>
      </c>
      <c r="G115" t="s">
        <v>605</v>
      </c>
      <c r="I115" s="96"/>
    </row>
    <row r="116" spans="1:9">
      <c r="A116" t="s">
        <v>643</v>
      </c>
      <c r="B116" t="s">
        <v>609</v>
      </c>
      <c r="C116" t="s">
        <v>836</v>
      </c>
      <c r="D116">
        <f>0.00000219</f>
        <v>2.1900000000000002E-6</v>
      </c>
      <c r="E116" t="s">
        <v>488</v>
      </c>
      <c r="F116" t="s">
        <v>604</v>
      </c>
      <c r="G116" t="s">
        <v>605</v>
      </c>
      <c r="I116" s="96"/>
    </row>
    <row r="117" spans="1:9">
      <c r="A117" t="s">
        <v>643</v>
      </c>
      <c r="B117" t="s">
        <v>609</v>
      </c>
      <c r="C117" t="s">
        <v>837</v>
      </c>
      <c r="D117">
        <v>1.5900000000000001E-2</v>
      </c>
      <c r="E117" t="s">
        <v>838</v>
      </c>
      <c r="F117" t="s">
        <v>604</v>
      </c>
      <c r="G117" t="s">
        <v>605</v>
      </c>
      <c r="I117" s="96"/>
    </row>
    <row r="118" spans="1:9">
      <c r="A118" t="s">
        <v>643</v>
      </c>
      <c r="B118" t="s">
        <v>613</v>
      </c>
      <c r="C118" t="s">
        <v>223</v>
      </c>
      <c r="D118">
        <v>0.88200000000000001</v>
      </c>
      <c r="E118" t="s">
        <v>488</v>
      </c>
      <c r="F118" t="s">
        <v>614</v>
      </c>
      <c r="G118" t="s">
        <v>605</v>
      </c>
      <c r="I118" s="96"/>
    </row>
    <row r="119" spans="1:9">
      <c r="A119" t="s">
        <v>643</v>
      </c>
      <c r="B119" t="s">
        <v>613</v>
      </c>
      <c r="C119" t="s">
        <v>615</v>
      </c>
      <c r="D119">
        <v>1.96</v>
      </c>
      <c r="E119" t="s">
        <v>488</v>
      </c>
      <c r="F119" t="s">
        <v>614</v>
      </c>
      <c r="G119" t="s">
        <v>605</v>
      </c>
      <c r="I119" s="96"/>
    </row>
    <row r="120" spans="1:9">
      <c r="A120" t="s">
        <v>643</v>
      </c>
      <c r="B120" t="s">
        <v>613</v>
      </c>
      <c r="C120" t="s">
        <v>639</v>
      </c>
      <c r="D120">
        <v>6.6200000000000005E-4</v>
      </c>
      <c r="E120" t="s">
        <v>617</v>
      </c>
      <c r="F120" t="s">
        <v>614</v>
      </c>
      <c r="G120" t="s">
        <v>605</v>
      </c>
      <c r="I120" s="96"/>
    </row>
    <row r="121" spans="1:9">
      <c r="A121" t="s">
        <v>643</v>
      </c>
      <c r="B121" t="s">
        <v>618</v>
      </c>
      <c r="C121" t="s">
        <v>619</v>
      </c>
      <c r="D121">
        <v>5.9500000000000004E-4</v>
      </c>
      <c r="E121" t="s">
        <v>488</v>
      </c>
      <c r="F121" t="s">
        <v>620</v>
      </c>
      <c r="G121" t="s">
        <v>605</v>
      </c>
      <c r="I121" s="96"/>
    </row>
    <row r="122" spans="1:9">
      <c r="A122" t="s">
        <v>643</v>
      </c>
      <c r="B122" t="s">
        <v>618</v>
      </c>
      <c r="C122" t="s">
        <v>648</v>
      </c>
      <c r="D122">
        <v>8.4699999999999999E-5</v>
      </c>
      <c r="E122" t="s">
        <v>488</v>
      </c>
      <c r="F122" t="s">
        <v>620</v>
      </c>
      <c r="G122" t="s">
        <v>605</v>
      </c>
      <c r="I122" s="96"/>
    </row>
    <row r="123" spans="1:9">
      <c r="A123" t="s">
        <v>643</v>
      </c>
      <c r="B123" t="s">
        <v>618</v>
      </c>
      <c r="C123" t="s">
        <v>624</v>
      </c>
      <c r="D123">
        <v>1.9899999999999999E-5</v>
      </c>
      <c r="E123" t="s">
        <v>488</v>
      </c>
      <c r="F123" t="s">
        <v>620</v>
      </c>
      <c r="G123" t="s">
        <v>605</v>
      </c>
      <c r="I123" s="96"/>
    </row>
    <row r="124" spans="1:9">
      <c r="A124" t="s">
        <v>643</v>
      </c>
      <c r="B124" t="s">
        <v>618</v>
      </c>
      <c r="C124" t="s">
        <v>640</v>
      </c>
      <c r="D124">
        <v>2.4899999999999999E-6</v>
      </c>
      <c r="E124" t="s">
        <v>488</v>
      </c>
      <c r="F124" t="s">
        <v>620</v>
      </c>
      <c r="G124" t="s">
        <v>605</v>
      </c>
      <c r="I124" s="96"/>
    </row>
    <row r="125" spans="1:9">
      <c r="A125" t="s">
        <v>643</v>
      </c>
      <c r="B125" t="s">
        <v>618</v>
      </c>
      <c r="C125" t="s">
        <v>622</v>
      </c>
      <c r="D125">
        <v>7.8499999999999997E-5</v>
      </c>
      <c r="E125" t="s">
        <v>488</v>
      </c>
      <c r="F125" t="s">
        <v>620</v>
      </c>
      <c r="G125" t="s">
        <v>605</v>
      </c>
      <c r="I125" s="96"/>
    </row>
    <row r="126" spans="1:9">
      <c r="A126" t="s">
        <v>643</v>
      </c>
      <c r="B126" t="s">
        <v>625</v>
      </c>
      <c r="C126" t="s">
        <v>626</v>
      </c>
      <c r="D126">
        <v>1.09E-8</v>
      </c>
      <c r="E126" t="s">
        <v>488</v>
      </c>
      <c r="F126" t="s">
        <v>627</v>
      </c>
      <c r="G126" t="s">
        <v>605</v>
      </c>
      <c r="I126" s="96"/>
    </row>
    <row r="127" spans="1:9">
      <c r="A127" t="s">
        <v>643</v>
      </c>
      <c r="B127" t="s">
        <v>625</v>
      </c>
      <c r="C127" t="s">
        <v>642</v>
      </c>
      <c r="D127">
        <v>2.9300000000000001E-5</v>
      </c>
      <c r="E127" t="s">
        <v>488</v>
      </c>
      <c r="F127" t="s">
        <v>627</v>
      </c>
      <c r="G127" t="s">
        <v>605</v>
      </c>
      <c r="I127" s="96"/>
    </row>
    <row r="128" spans="1:9">
      <c r="A128" t="s">
        <v>643</v>
      </c>
      <c r="B128" t="s">
        <v>625</v>
      </c>
      <c r="C128" t="s">
        <v>628</v>
      </c>
      <c r="D128">
        <v>5.7899999999999998E-7</v>
      </c>
      <c r="E128" t="s">
        <v>488</v>
      </c>
      <c r="F128" t="s">
        <v>627</v>
      </c>
      <c r="G128" t="s">
        <v>605</v>
      </c>
      <c r="I128" s="96"/>
    </row>
    <row r="129" spans="1:9">
      <c r="A129" t="s">
        <v>643</v>
      </c>
      <c r="B129" t="s">
        <v>625</v>
      </c>
      <c r="C129" t="s">
        <v>630</v>
      </c>
      <c r="D129">
        <v>3.8799999999999997E-8</v>
      </c>
      <c r="E129" t="s">
        <v>488</v>
      </c>
      <c r="F129" t="s">
        <v>627</v>
      </c>
      <c r="G129" t="s">
        <v>605</v>
      </c>
      <c r="I129" s="96"/>
    </row>
    <row r="130" spans="1:9">
      <c r="A130" s="78" t="s">
        <v>649</v>
      </c>
      <c r="B130" s="78" t="s">
        <v>602</v>
      </c>
      <c r="C130" s="78" t="s">
        <v>650</v>
      </c>
      <c r="D130" s="78">
        <v>1</v>
      </c>
      <c r="E130" s="78" t="s">
        <v>488</v>
      </c>
      <c r="F130" s="78" t="s">
        <v>604</v>
      </c>
      <c r="G130" s="78" t="s">
        <v>605</v>
      </c>
      <c r="I130" s="96">
        <f>SUM(I131:I159)</f>
        <v>2131.308</v>
      </c>
    </row>
    <row r="131" spans="1:9">
      <c r="A131" t="s">
        <v>649</v>
      </c>
      <c r="B131" t="s">
        <v>606</v>
      </c>
      <c r="C131" t="s">
        <v>608</v>
      </c>
      <c r="D131">
        <v>6.99</v>
      </c>
      <c r="E131" t="s">
        <v>488</v>
      </c>
      <c r="F131" t="s">
        <v>604</v>
      </c>
      <c r="G131" t="s">
        <v>605</v>
      </c>
      <c r="I131" s="96"/>
    </row>
    <row r="132" spans="1:9">
      <c r="A132" t="s">
        <v>649</v>
      </c>
      <c r="B132" t="s">
        <v>609</v>
      </c>
      <c r="C132" t="s">
        <v>646</v>
      </c>
      <c r="D132">
        <v>5.5799999999999999E-3</v>
      </c>
      <c r="E132" t="s">
        <v>488</v>
      </c>
      <c r="F132" t="s">
        <v>604</v>
      </c>
      <c r="G132" t="s">
        <v>605</v>
      </c>
      <c r="I132" s="96"/>
    </row>
    <row r="133" spans="1:9">
      <c r="A133" t="s">
        <v>649</v>
      </c>
      <c r="B133" t="s">
        <v>609</v>
      </c>
      <c r="C133" t="s">
        <v>824</v>
      </c>
      <c r="D133">
        <v>2.1299999999999999E-3</v>
      </c>
      <c r="E133" t="s">
        <v>488</v>
      </c>
      <c r="F133" t="s">
        <v>604</v>
      </c>
      <c r="G133" t="s">
        <v>605</v>
      </c>
      <c r="I133" s="96"/>
    </row>
    <row r="134" spans="1:9">
      <c r="A134" t="s">
        <v>649</v>
      </c>
      <c r="B134" t="s">
        <v>609</v>
      </c>
      <c r="C134" t="s">
        <v>651</v>
      </c>
      <c r="D134">
        <v>0.23799999999999999</v>
      </c>
      <c r="E134" t="s">
        <v>488</v>
      </c>
      <c r="F134" t="s">
        <v>604</v>
      </c>
      <c r="G134" t="s">
        <v>605</v>
      </c>
      <c r="I134" s="96"/>
    </row>
    <row r="135" spans="1:9">
      <c r="A135" t="s">
        <v>649</v>
      </c>
      <c r="B135" t="s">
        <v>609</v>
      </c>
      <c r="C135" t="s">
        <v>825</v>
      </c>
      <c r="D135">
        <v>2.1099999999999999E-3</v>
      </c>
      <c r="E135" t="s">
        <v>488</v>
      </c>
      <c r="F135" t="s">
        <v>604</v>
      </c>
      <c r="G135" t="s">
        <v>605</v>
      </c>
      <c r="I135" s="96"/>
    </row>
    <row r="136" spans="1:9">
      <c r="A136" t="s">
        <v>649</v>
      </c>
      <c r="B136" t="s">
        <v>609</v>
      </c>
      <c r="C136" t="s">
        <v>497</v>
      </c>
      <c r="D136">
        <v>1.95</v>
      </c>
      <c r="E136" t="s">
        <v>293</v>
      </c>
      <c r="F136" t="s">
        <v>604</v>
      </c>
      <c r="G136" t="s">
        <v>605</v>
      </c>
      <c r="I136" s="96">
        <f>D136*1000</f>
        <v>1950</v>
      </c>
    </row>
    <row r="137" spans="1:9">
      <c r="A137" t="s">
        <v>649</v>
      </c>
      <c r="B137" t="s">
        <v>609</v>
      </c>
      <c r="C137" t="s">
        <v>826</v>
      </c>
      <c r="D137">
        <v>0.16600000000000001</v>
      </c>
      <c r="E137" t="s">
        <v>293</v>
      </c>
      <c r="F137" t="s">
        <v>604</v>
      </c>
      <c r="G137" t="s">
        <v>605</v>
      </c>
      <c r="I137" s="96">
        <f>D137*1000</f>
        <v>166</v>
      </c>
    </row>
    <row r="138" spans="1:9">
      <c r="A138" t="s">
        <v>649</v>
      </c>
      <c r="B138" t="s">
        <v>609</v>
      </c>
      <c r="C138" t="s">
        <v>827</v>
      </c>
      <c r="D138">
        <v>3.5599999999999998E-4</v>
      </c>
      <c r="E138" t="s">
        <v>488</v>
      </c>
      <c r="F138" t="s">
        <v>604</v>
      </c>
      <c r="G138" t="s">
        <v>605</v>
      </c>
      <c r="I138" s="96">
        <f>D138*43*1000</f>
        <v>15.307999999999998</v>
      </c>
    </row>
    <row r="139" spans="1:9">
      <c r="A139" t="s">
        <v>649</v>
      </c>
      <c r="B139" t="s">
        <v>609</v>
      </c>
      <c r="C139" t="s">
        <v>828</v>
      </c>
      <c r="D139" s="99">
        <v>1.5999999999999999E-6</v>
      </c>
      <c r="E139" t="s">
        <v>488</v>
      </c>
      <c r="F139" t="s">
        <v>604</v>
      </c>
      <c r="G139" t="s">
        <v>605</v>
      </c>
      <c r="I139" s="96"/>
    </row>
    <row r="140" spans="1:9">
      <c r="A140" t="s">
        <v>649</v>
      </c>
      <c r="B140" t="s">
        <v>609</v>
      </c>
      <c r="C140" t="s">
        <v>829</v>
      </c>
      <c r="D140">
        <v>3.6099999999999999E-4</v>
      </c>
      <c r="E140" t="s">
        <v>488</v>
      </c>
      <c r="F140" t="s">
        <v>604</v>
      </c>
      <c r="G140" t="s">
        <v>605</v>
      </c>
      <c r="I140" s="96"/>
    </row>
    <row r="141" spans="1:9">
      <c r="A141" t="s">
        <v>649</v>
      </c>
      <c r="B141" t="s">
        <v>609</v>
      </c>
      <c r="C141" t="s">
        <v>830</v>
      </c>
      <c r="D141">
        <v>4.5100000000000001E-4</v>
      </c>
      <c r="E141" t="s">
        <v>488</v>
      </c>
      <c r="F141" t="s">
        <v>604</v>
      </c>
      <c r="G141" t="s">
        <v>605</v>
      </c>
      <c r="I141" s="96"/>
    </row>
    <row r="142" spans="1:9">
      <c r="A142" t="s">
        <v>649</v>
      </c>
      <c r="B142" t="s">
        <v>609</v>
      </c>
      <c r="C142" t="s">
        <v>647</v>
      </c>
      <c r="D142">
        <v>1.75E-4</v>
      </c>
      <c r="E142" t="s">
        <v>488</v>
      </c>
      <c r="F142" t="s">
        <v>604</v>
      </c>
      <c r="G142" t="s">
        <v>605</v>
      </c>
      <c r="I142" s="96"/>
    </row>
    <row r="143" spans="1:9">
      <c r="A143" t="s">
        <v>649</v>
      </c>
      <c r="B143" t="s">
        <v>609</v>
      </c>
      <c r="C143" t="s">
        <v>831</v>
      </c>
      <c r="D143" s="99">
        <v>1.13E-10</v>
      </c>
      <c r="E143" t="s">
        <v>273</v>
      </c>
      <c r="F143" t="s">
        <v>604</v>
      </c>
      <c r="G143" t="s">
        <v>605</v>
      </c>
      <c r="I143" s="96"/>
    </row>
    <row r="144" spans="1:9">
      <c r="A144" t="s">
        <v>649</v>
      </c>
      <c r="B144" t="s">
        <v>609</v>
      </c>
      <c r="C144" t="s">
        <v>652</v>
      </c>
      <c r="D144">
        <v>3.6099999999999999E-4</v>
      </c>
      <c r="E144" t="s">
        <v>488</v>
      </c>
      <c r="F144" t="s">
        <v>604</v>
      </c>
      <c r="G144" t="s">
        <v>605</v>
      </c>
      <c r="I144" s="96"/>
    </row>
    <row r="145" spans="1:9">
      <c r="A145" t="s">
        <v>649</v>
      </c>
      <c r="B145" t="s">
        <v>609</v>
      </c>
      <c r="C145" t="s">
        <v>832</v>
      </c>
      <c r="D145">
        <v>3</v>
      </c>
      <c r="E145" t="s">
        <v>488</v>
      </c>
      <c r="F145" t="s">
        <v>604</v>
      </c>
      <c r="G145" t="s">
        <v>605</v>
      </c>
      <c r="I145" s="96"/>
    </row>
    <row r="146" spans="1:9">
      <c r="A146" t="s">
        <v>649</v>
      </c>
      <c r="B146" t="s">
        <v>609</v>
      </c>
      <c r="C146" t="s">
        <v>481</v>
      </c>
      <c r="D146">
        <v>2.7900000000000001E-2</v>
      </c>
      <c r="E146" t="s">
        <v>488</v>
      </c>
      <c r="F146" t="s">
        <v>604</v>
      </c>
      <c r="G146" t="s">
        <v>605</v>
      </c>
      <c r="I146" s="96"/>
    </row>
    <row r="147" spans="1:9">
      <c r="A147" t="s">
        <v>649</v>
      </c>
      <c r="B147" t="s">
        <v>613</v>
      </c>
      <c r="C147" t="s">
        <v>31</v>
      </c>
      <c r="D147">
        <v>0.17699999999999999</v>
      </c>
      <c r="E147" t="s">
        <v>488</v>
      </c>
      <c r="F147" t="s">
        <v>614</v>
      </c>
      <c r="G147" t="s">
        <v>605</v>
      </c>
      <c r="I147" s="96"/>
    </row>
    <row r="148" spans="1:9">
      <c r="A148" t="s">
        <v>649</v>
      </c>
      <c r="B148" t="s">
        <v>613</v>
      </c>
      <c r="C148" t="s">
        <v>6</v>
      </c>
      <c r="D148">
        <v>4.9099999999999998E-2</v>
      </c>
      <c r="E148" t="s">
        <v>488</v>
      </c>
      <c r="F148" t="s">
        <v>614</v>
      </c>
      <c r="G148" t="s">
        <v>605</v>
      </c>
      <c r="I148" s="96"/>
    </row>
    <row r="149" spans="1:9">
      <c r="A149" t="s">
        <v>649</v>
      </c>
      <c r="B149" t="s">
        <v>613</v>
      </c>
      <c r="C149" t="s">
        <v>444</v>
      </c>
      <c r="D149">
        <v>3.6099999999999999E-3</v>
      </c>
      <c r="E149" t="s">
        <v>488</v>
      </c>
      <c r="F149" t="s">
        <v>614</v>
      </c>
      <c r="G149" t="s">
        <v>605</v>
      </c>
      <c r="I149" s="96"/>
    </row>
    <row r="150" spans="1:9">
      <c r="A150" t="s">
        <v>649</v>
      </c>
      <c r="B150" t="s">
        <v>613</v>
      </c>
      <c r="C150" t="s">
        <v>615</v>
      </c>
      <c r="D150">
        <v>7.76</v>
      </c>
      <c r="E150" t="s">
        <v>488</v>
      </c>
      <c r="F150" t="s">
        <v>614</v>
      </c>
      <c r="G150" t="s">
        <v>605</v>
      </c>
      <c r="I150" s="96"/>
    </row>
    <row r="151" spans="1:9">
      <c r="A151" t="s">
        <v>649</v>
      </c>
      <c r="B151" t="s">
        <v>613</v>
      </c>
      <c r="C151" t="s">
        <v>616</v>
      </c>
      <c r="D151">
        <v>7.0299999999999998E-3</v>
      </c>
      <c r="E151" t="s">
        <v>617</v>
      </c>
      <c r="F151" t="s">
        <v>614</v>
      </c>
      <c r="G151" t="s">
        <v>605</v>
      </c>
      <c r="I151" s="96"/>
    </row>
    <row r="152" spans="1:9">
      <c r="A152" t="s">
        <v>649</v>
      </c>
      <c r="B152" t="s">
        <v>618</v>
      </c>
      <c r="C152" t="s">
        <v>653</v>
      </c>
      <c r="D152">
        <v>1.2799999999999999E-4</v>
      </c>
      <c r="E152" t="s">
        <v>488</v>
      </c>
      <c r="F152" t="s">
        <v>620</v>
      </c>
      <c r="G152" t="s">
        <v>605</v>
      </c>
      <c r="I152" s="96"/>
    </row>
    <row r="153" spans="1:9">
      <c r="A153" t="s">
        <v>649</v>
      </c>
      <c r="B153" t="s">
        <v>618</v>
      </c>
      <c r="C153" t="s">
        <v>654</v>
      </c>
      <c r="D153">
        <v>4.5599999999999997E-5</v>
      </c>
      <c r="E153" t="s">
        <v>488</v>
      </c>
      <c r="F153" t="s">
        <v>620</v>
      </c>
      <c r="G153" t="s">
        <v>605</v>
      </c>
      <c r="I153" s="96"/>
    </row>
    <row r="154" spans="1:9">
      <c r="A154" t="s">
        <v>649</v>
      </c>
      <c r="B154" t="s">
        <v>618</v>
      </c>
      <c r="C154" t="s">
        <v>641</v>
      </c>
      <c r="D154">
        <v>9.5800000000000004E-9</v>
      </c>
      <c r="E154" t="s">
        <v>488</v>
      </c>
      <c r="F154" t="s">
        <v>620</v>
      </c>
      <c r="G154" t="s">
        <v>605</v>
      </c>
      <c r="I154" s="96"/>
    </row>
    <row r="155" spans="1:9">
      <c r="A155" t="s">
        <v>649</v>
      </c>
      <c r="B155" t="s">
        <v>618</v>
      </c>
      <c r="C155" t="s">
        <v>655</v>
      </c>
      <c r="D155">
        <v>2.8200000000000001E-8</v>
      </c>
      <c r="E155" t="s">
        <v>488</v>
      </c>
      <c r="F155" t="s">
        <v>620</v>
      </c>
      <c r="G155" t="s">
        <v>605</v>
      </c>
      <c r="I155" s="96"/>
    </row>
    <row r="156" spans="1:9">
      <c r="A156" t="s">
        <v>649</v>
      </c>
      <c r="B156" t="s">
        <v>625</v>
      </c>
      <c r="C156" t="s">
        <v>623</v>
      </c>
      <c r="D156">
        <v>2.74E-6</v>
      </c>
      <c r="E156" t="s">
        <v>488</v>
      </c>
      <c r="F156" t="s">
        <v>627</v>
      </c>
      <c r="G156" t="s">
        <v>605</v>
      </c>
      <c r="I156" s="96"/>
    </row>
    <row r="157" spans="1:9">
      <c r="A157" t="s">
        <v>649</v>
      </c>
      <c r="B157" t="s">
        <v>625</v>
      </c>
      <c r="C157" t="s">
        <v>642</v>
      </c>
      <c r="D157">
        <v>6.2000000000000003E-5</v>
      </c>
      <c r="E157" t="s">
        <v>488</v>
      </c>
      <c r="F157" t="s">
        <v>627</v>
      </c>
      <c r="G157" t="s">
        <v>605</v>
      </c>
      <c r="I157" s="96"/>
    </row>
    <row r="158" spans="1:9">
      <c r="A158" t="s">
        <v>649</v>
      </c>
      <c r="B158" t="s">
        <v>625</v>
      </c>
      <c r="C158" t="s">
        <v>656</v>
      </c>
      <c r="D158">
        <v>2.8200000000000001E-8</v>
      </c>
      <c r="E158" t="s">
        <v>488</v>
      </c>
      <c r="F158" t="s">
        <v>627</v>
      </c>
      <c r="G158" t="s">
        <v>605</v>
      </c>
      <c r="I158" s="96"/>
    </row>
    <row r="159" spans="1:9">
      <c r="A159" t="s">
        <v>649</v>
      </c>
      <c r="B159" t="s">
        <v>625</v>
      </c>
      <c r="C159" t="s">
        <v>626</v>
      </c>
      <c r="D159">
        <v>4.51E-8</v>
      </c>
      <c r="E159" t="s">
        <v>488</v>
      </c>
      <c r="F159" t="s">
        <v>627</v>
      </c>
      <c r="G159" t="s">
        <v>605</v>
      </c>
      <c r="I159" s="96"/>
    </row>
  </sheetData>
  <autoFilter ref="A1:G159" xr:uid="{004F850C-F978-4A1A-8710-8EE833C1EFB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F24A-B406-4F38-88B4-431C0545D777}">
  <sheetPr>
    <outlinePr summaryBelow="0" summaryRight="0"/>
  </sheetPr>
  <dimension ref="A1:AL1015"/>
  <sheetViews>
    <sheetView tabSelected="1" topLeftCell="A211" workbookViewId="0">
      <pane xSplit="4" topLeftCell="J1" activePane="topRight" state="frozen"/>
      <selection pane="topRight" activeCell="M229" sqref="M229"/>
    </sheetView>
  </sheetViews>
  <sheetFormatPr baseColWidth="10" defaultColWidth="12.5703125" defaultRowHeight="15" customHeight="1"/>
  <cols>
    <col min="1" max="1" width="26.28515625" bestFit="1" customWidth="1"/>
    <col min="2" max="2" width="16.42578125" bestFit="1" customWidth="1"/>
    <col min="3" max="3" width="41.42578125" bestFit="1" customWidth="1"/>
    <col min="4" max="4" width="27.42578125" bestFit="1" customWidth="1"/>
    <col min="5" max="5" width="45.85546875" bestFit="1" customWidth="1"/>
    <col min="6" max="6" width="77" customWidth="1"/>
    <col min="7" max="7" width="42.5703125" customWidth="1"/>
    <col min="8" max="8" width="88.5703125" bestFit="1" customWidth="1"/>
    <col min="9" max="9" width="12.42578125" bestFit="1" customWidth="1"/>
    <col min="10" max="10" width="14.5703125" customWidth="1"/>
    <col min="11" max="11" width="55.5703125" bestFit="1" customWidth="1"/>
    <col min="12" max="12" width="28.42578125" customWidth="1"/>
    <col min="13" max="13" width="13.42578125" bestFit="1" customWidth="1"/>
    <col min="14" max="14" width="148.42578125" bestFit="1" customWidth="1"/>
    <col min="15" max="15" width="52.5703125" customWidth="1"/>
  </cols>
  <sheetData>
    <row r="1" spans="1:15">
      <c r="A1" s="6" t="s">
        <v>38</v>
      </c>
      <c r="B1" s="6" t="s">
        <v>454</v>
      </c>
      <c r="C1" s="6" t="s">
        <v>39</v>
      </c>
      <c r="D1" s="6" t="s">
        <v>440</v>
      </c>
      <c r="E1" s="6" t="s">
        <v>41</v>
      </c>
      <c r="F1" s="6" t="s">
        <v>753</v>
      </c>
      <c r="G1" s="6" t="s">
        <v>40</v>
      </c>
      <c r="H1" s="6" t="s">
        <v>458</v>
      </c>
      <c r="I1" s="6" t="s">
        <v>42</v>
      </c>
      <c r="J1" s="6" t="s">
        <v>449</v>
      </c>
      <c r="K1" s="6" t="s">
        <v>45</v>
      </c>
      <c r="L1" s="6" t="s">
        <v>46</v>
      </c>
      <c r="M1" s="6" t="s">
        <v>47</v>
      </c>
      <c r="N1" s="6" t="s">
        <v>596</v>
      </c>
      <c r="O1" s="6" t="s">
        <v>38</v>
      </c>
    </row>
    <row r="2" spans="1:15">
      <c r="A2" s="7" t="s">
        <v>18</v>
      </c>
      <c r="B2" s="7" t="s">
        <v>463</v>
      </c>
      <c r="C2" s="7" t="s">
        <v>6</v>
      </c>
      <c r="D2" s="7" t="s">
        <v>441</v>
      </c>
      <c r="E2" s="7" t="s">
        <v>49</v>
      </c>
      <c r="F2" s="7"/>
      <c r="G2" s="7"/>
      <c r="H2" s="7"/>
      <c r="I2" s="7" t="s">
        <v>50</v>
      </c>
      <c r="J2" s="7" t="s">
        <v>55</v>
      </c>
      <c r="K2" s="7" t="s">
        <v>57</v>
      </c>
      <c r="L2" s="7" t="s">
        <v>58</v>
      </c>
      <c r="M2" s="7">
        <f>0.375*0.907185</f>
        <v>0.34019437499999999</v>
      </c>
      <c r="N2" s="7" t="s">
        <v>751</v>
      </c>
      <c r="O2" s="7" t="s">
        <v>769</v>
      </c>
    </row>
    <row r="3" spans="1:15">
      <c r="A3" s="7" t="s">
        <v>18</v>
      </c>
      <c r="B3" s="7" t="s">
        <v>463</v>
      </c>
      <c r="C3" s="7" t="s">
        <v>6</v>
      </c>
      <c r="D3" s="7" t="s">
        <v>441</v>
      </c>
      <c r="E3" s="7" t="s">
        <v>49</v>
      </c>
      <c r="F3" s="7"/>
      <c r="G3" s="7"/>
      <c r="H3" s="7"/>
      <c r="I3" s="7" t="s">
        <v>50</v>
      </c>
      <c r="J3" s="7" t="s">
        <v>55</v>
      </c>
      <c r="K3" s="7" t="s">
        <v>59</v>
      </c>
      <c r="L3" s="7" t="s">
        <v>58</v>
      </c>
      <c r="M3" s="7">
        <f>0.118*0.907185</f>
        <v>0.10704783</v>
      </c>
      <c r="N3" s="7" t="s">
        <v>751</v>
      </c>
      <c r="O3" s="7" t="s">
        <v>769</v>
      </c>
    </row>
    <row r="4" spans="1:15">
      <c r="A4" s="7" t="s">
        <v>18</v>
      </c>
      <c r="B4" s="7" t="s">
        <v>463</v>
      </c>
      <c r="C4" s="7" t="s">
        <v>6</v>
      </c>
      <c r="D4" s="7" t="s">
        <v>441</v>
      </c>
      <c r="E4" s="7" t="s">
        <v>49</v>
      </c>
      <c r="F4" s="7"/>
      <c r="G4" s="7"/>
      <c r="H4" s="7"/>
      <c r="I4" s="7" t="s">
        <v>50</v>
      </c>
      <c r="J4" s="7" t="s">
        <v>55</v>
      </c>
      <c r="K4" s="7" t="s">
        <v>60</v>
      </c>
      <c r="L4" s="7" t="s">
        <v>58</v>
      </c>
      <c r="M4" s="7">
        <f>0.021*0.907185</f>
        <v>1.9050885E-2</v>
      </c>
      <c r="N4" s="7" t="s">
        <v>751</v>
      </c>
      <c r="O4" s="7" t="s">
        <v>769</v>
      </c>
    </row>
    <row r="5" spans="1:15">
      <c r="A5" s="7" t="s">
        <v>18</v>
      </c>
      <c r="B5" s="7" t="s">
        <v>463</v>
      </c>
      <c r="C5" s="7" t="s">
        <v>6</v>
      </c>
      <c r="D5" s="7" t="s">
        <v>441</v>
      </c>
      <c r="E5" s="7" t="s">
        <v>49</v>
      </c>
      <c r="F5" s="7"/>
      <c r="G5" s="7"/>
      <c r="H5" s="7"/>
      <c r="I5" s="7" t="s">
        <v>50</v>
      </c>
      <c r="J5" s="7" t="s">
        <v>55</v>
      </c>
      <c r="K5" s="7" t="s">
        <v>61</v>
      </c>
      <c r="L5" s="7" t="s">
        <v>58</v>
      </c>
      <c r="M5" s="7">
        <f>0.001*0.907185</f>
        <v>9.0718500000000002E-4</v>
      </c>
      <c r="N5" s="7" t="s">
        <v>751</v>
      </c>
      <c r="O5" s="7" t="s">
        <v>769</v>
      </c>
    </row>
    <row r="6" spans="1:15">
      <c r="A6" s="7" t="s">
        <v>18</v>
      </c>
      <c r="B6" s="7" t="s">
        <v>760</v>
      </c>
      <c r="C6" s="7" t="s">
        <v>6</v>
      </c>
      <c r="D6" s="7" t="s">
        <v>441</v>
      </c>
      <c r="E6" s="7" t="s">
        <v>762</v>
      </c>
      <c r="F6" s="7" t="s">
        <v>763</v>
      </c>
      <c r="G6" s="7"/>
      <c r="H6" s="7"/>
      <c r="I6" s="7" t="s">
        <v>50</v>
      </c>
      <c r="J6" s="7" t="s">
        <v>55</v>
      </c>
      <c r="K6" s="7" t="s">
        <v>764</v>
      </c>
      <c r="L6" s="7" t="s">
        <v>768</v>
      </c>
      <c r="M6" s="85">
        <f>1.039*1055.055853</f>
        <v>1096.2030312669999</v>
      </c>
      <c r="N6" s="7" t="s">
        <v>751</v>
      </c>
      <c r="O6" s="7" t="s">
        <v>767</v>
      </c>
    </row>
    <row r="7" spans="1:15">
      <c r="A7" s="7" t="s">
        <v>18</v>
      </c>
      <c r="B7" s="7" t="s">
        <v>760</v>
      </c>
      <c r="C7" s="7" t="s">
        <v>6</v>
      </c>
      <c r="D7" s="7" t="s">
        <v>441</v>
      </c>
      <c r="E7" s="7" t="s">
        <v>762</v>
      </c>
      <c r="F7" s="7" t="s">
        <v>763</v>
      </c>
      <c r="G7" s="7"/>
      <c r="H7" s="7"/>
      <c r="I7" s="7" t="s">
        <v>50</v>
      </c>
      <c r="J7" s="7" t="s">
        <v>55</v>
      </c>
      <c r="K7" s="7" t="s">
        <v>236</v>
      </c>
      <c r="L7" s="7" t="s">
        <v>768</v>
      </c>
      <c r="M7" s="7">
        <f>0.076*1055.055853</f>
        <v>80.184244828000004</v>
      </c>
      <c r="N7" s="7" t="s">
        <v>751</v>
      </c>
      <c r="O7" s="7" t="s">
        <v>767</v>
      </c>
    </row>
    <row r="8" spans="1:15">
      <c r="A8" s="7" t="s">
        <v>18</v>
      </c>
      <c r="B8" s="7" t="s">
        <v>760</v>
      </c>
      <c r="C8" s="7" t="s">
        <v>6</v>
      </c>
      <c r="D8" s="7" t="s">
        <v>441</v>
      </c>
      <c r="E8" s="7" t="s">
        <v>762</v>
      </c>
      <c r="F8" s="7" t="s">
        <v>763</v>
      </c>
      <c r="G8" s="7"/>
      <c r="H8" s="7"/>
      <c r="I8" s="7" t="s">
        <v>50</v>
      </c>
      <c r="J8" s="7" t="s">
        <v>55</v>
      </c>
      <c r="K8" s="7" t="s">
        <v>765</v>
      </c>
      <c r="L8" s="7" t="s">
        <v>768</v>
      </c>
      <c r="M8" s="7">
        <f>0.002*1055.055853</f>
        <v>2.1101117060000001</v>
      </c>
      <c r="N8" s="7" t="s">
        <v>751</v>
      </c>
      <c r="O8" s="7" t="s">
        <v>767</v>
      </c>
    </row>
    <row r="9" spans="1:15">
      <c r="A9" s="7" t="s">
        <v>18</v>
      </c>
      <c r="B9" s="7" t="s">
        <v>760</v>
      </c>
      <c r="C9" s="7" t="s">
        <v>6</v>
      </c>
      <c r="D9" s="7" t="s">
        <v>441</v>
      </c>
      <c r="E9" s="7" t="s">
        <v>762</v>
      </c>
      <c r="F9" s="7" t="s">
        <v>763</v>
      </c>
      <c r="G9" s="7"/>
      <c r="H9" s="7"/>
      <c r="I9" s="7" t="s">
        <v>50</v>
      </c>
      <c r="J9" s="7" t="s">
        <v>55</v>
      </c>
      <c r="K9" s="7" t="s">
        <v>766</v>
      </c>
      <c r="L9" s="7" t="s">
        <v>768</v>
      </c>
      <c r="M9" s="7">
        <f>0.033*1055.055853</f>
        <v>34.816843149000007</v>
      </c>
      <c r="N9" s="7" t="s">
        <v>751</v>
      </c>
      <c r="O9" s="7" t="s">
        <v>767</v>
      </c>
    </row>
    <row r="10" spans="1:15">
      <c r="A10" s="7" t="s">
        <v>18</v>
      </c>
      <c r="B10" s="7" t="s">
        <v>760</v>
      </c>
      <c r="C10" s="7" t="s">
        <v>6</v>
      </c>
      <c r="D10" s="7" t="s">
        <v>441</v>
      </c>
      <c r="E10" s="7" t="s">
        <v>762</v>
      </c>
      <c r="F10" s="7" t="s">
        <v>763</v>
      </c>
      <c r="G10" s="7"/>
      <c r="H10" s="7"/>
      <c r="I10" s="7" t="s">
        <v>50</v>
      </c>
      <c r="J10" s="7" t="s">
        <v>55</v>
      </c>
      <c r="K10" s="7" t="s">
        <v>74</v>
      </c>
      <c r="L10" s="7" t="s">
        <v>768</v>
      </c>
      <c r="M10" s="7">
        <f>5.669*1055.055853</f>
        <v>5981.1116306570002</v>
      </c>
      <c r="N10" s="7" t="s">
        <v>751</v>
      </c>
      <c r="O10" s="7" t="s">
        <v>767</v>
      </c>
    </row>
    <row r="11" spans="1:15">
      <c r="A11" s="7" t="s">
        <v>18</v>
      </c>
      <c r="B11" s="7" t="s">
        <v>463</v>
      </c>
      <c r="C11" s="7" t="s">
        <v>6</v>
      </c>
      <c r="D11" s="7" t="s">
        <v>441</v>
      </c>
      <c r="E11" s="7" t="s">
        <v>267</v>
      </c>
      <c r="F11" s="7"/>
      <c r="G11" s="7"/>
      <c r="H11" s="7"/>
      <c r="I11" s="7" t="s">
        <v>50</v>
      </c>
      <c r="J11" s="7" t="s">
        <v>55</v>
      </c>
      <c r="K11" s="7" t="s">
        <v>59</v>
      </c>
      <c r="L11" s="7" t="s">
        <v>58</v>
      </c>
      <c r="M11" s="7">
        <f>0.0084*0.907185</f>
        <v>7.6203539999999993E-3</v>
      </c>
      <c r="N11" s="7" t="s">
        <v>751</v>
      </c>
      <c r="O11" s="7" t="s">
        <v>769</v>
      </c>
    </row>
    <row r="12" spans="1:15">
      <c r="A12" s="7" t="s">
        <v>18</v>
      </c>
      <c r="B12" s="7" t="s">
        <v>463</v>
      </c>
      <c r="C12" s="7" t="s">
        <v>6</v>
      </c>
      <c r="D12" s="7" t="s">
        <v>441</v>
      </c>
      <c r="E12" s="7" t="s">
        <v>267</v>
      </c>
      <c r="F12" s="7"/>
      <c r="G12" s="7"/>
      <c r="H12" s="7"/>
      <c r="I12" s="7" t="s">
        <v>50</v>
      </c>
      <c r="J12" s="7" t="s">
        <v>55</v>
      </c>
      <c r="K12" s="7" t="s">
        <v>60</v>
      </c>
      <c r="L12" s="7" t="s">
        <v>58</v>
      </c>
      <c r="M12" s="7">
        <f>3.661*0.001*0.907185</f>
        <v>3.3212042850000001E-3</v>
      </c>
      <c r="N12" s="7" t="s">
        <v>751</v>
      </c>
      <c r="O12" s="7" t="s">
        <v>769</v>
      </c>
    </row>
    <row r="13" spans="1:15">
      <c r="A13" s="7" t="s">
        <v>18</v>
      </c>
      <c r="B13" s="7" t="s">
        <v>463</v>
      </c>
      <c r="C13" s="7" t="s">
        <v>6</v>
      </c>
      <c r="D13" s="7" t="s">
        <v>441</v>
      </c>
      <c r="E13" s="7" t="s">
        <v>267</v>
      </c>
      <c r="F13" s="7"/>
      <c r="G13" s="7"/>
      <c r="H13" s="7"/>
      <c r="I13" s="7" t="s">
        <v>50</v>
      </c>
      <c r="J13" s="7" t="s">
        <v>55</v>
      </c>
      <c r="K13" s="7" t="s">
        <v>770</v>
      </c>
      <c r="L13" s="7" t="s">
        <v>58</v>
      </c>
      <c r="M13" s="7">
        <f>0.256*0.907185</f>
        <v>0.23223936000000001</v>
      </c>
      <c r="N13" s="7" t="s">
        <v>751</v>
      </c>
      <c r="O13" s="7" t="s">
        <v>769</v>
      </c>
    </row>
    <row r="14" spans="1:15">
      <c r="A14" s="7" t="s">
        <v>18</v>
      </c>
      <c r="B14" s="7" t="s">
        <v>463</v>
      </c>
      <c r="C14" s="7" t="s">
        <v>6</v>
      </c>
      <c r="D14" s="7" t="s">
        <v>441</v>
      </c>
      <c r="E14" s="7" t="s">
        <v>267</v>
      </c>
      <c r="F14" s="7"/>
      <c r="G14" s="7"/>
      <c r="H14" s="7"/>
      <c r="I14" s="7" t="s">
        <v>50</v>
      </c>
      <c r="J14" s="7" t="s">
        <v>55</v>
      </c>
      <c r="K14" s="7" t="s">
        <v>105</v>
      </c>
      <c r="L14" s="7" t="s">
        <v>58</v>
      </c>
      <c r="M14" s="7">
        <f>0.016*0.907185</f>
        <v>1.451496E-2</v>
      </c>
      <c r="N14" s="7" t="s">
        <v>751</v>
      </c>
      <c r="O14" s="7" t="s">
        <v>769</v>
      </c>
    </row>
    <row r="15" spans="1:15">
      <c r="A15" s="7" t="s">
        <v>18</v>
      </c>
      <c r="B15" s="7" t="s">
        <v>463</v>
      </c>
      <c r="C15" s="7" t="s">
        <v>6</v>
      </c>
      <c r="D15" s="7" t="s">
        <v>441</v>
      </c>
      <c r="E15" s="7" t="s">
        <v>267</v>
      </c>
      <c r="F15" s="7"/>
      <c r="G15" s="7"/>
      <c r="H15" s="7"/>
      <c r="I15" s="7" t="s">
        <v>50</v>
      </c>
      <c r="J15" s="7" t="s">
        <v>55</v>
      </c>
      <c r="K15" s="7" t="s">
        <v>715</v>
      </c>
      <c r="L15" s="7" t="s">
        <v>58</v>
      </c>
      <c r="M15" s="7">
        <f>0.705*0.907185</f>
        <v>0.63956542500000002</v>
      </c>
      <c r="N15" s="7" t="s">
        <v>751</v>
      </c>
      <c r="O15" s="7" t="s">
        <v>769</v>
      </c>
    </row>
    <row r="16" spans="1:15">
      <c r="A16" s="7" t="s">
        <v>18</v>
      </c>
      <c r="B16" s="7" t="s">
        <v>463</v>
      </c>
      <c r="C16" s="7" t="s">
        <v>6</v>
      </c>
      <c r="D16" s="7" t="s">
        <v>441</v>
      </c>
      <c r="E16" s="7" t="s">
        <v>267</v>
      </c>
      <c r="F16" s="7"/>
      <c r="G16" s="7"/>
      <c r="H16" s="7"/>
      <c r="I16" s="7" t="s">
        <v>50</v>
      </c>
      <c r="J16" s="7" t="s">
        <v>55</v>
      </c>
      <c r="K16" s="7" t="s">
        <v>771</v>
      </c>
      <c r="L16" s="7" t="s">
        <v>58</v>
      </c>
      <c r="M16" s="7">
        <f>7.189*0.001*0.907185</f>
        <v>6.5217529650000005E-3</v>
      </c>
      <c r="N16" s="7" t="s">
        <v>751</v>
      </c>
      <c r="O16" s="7" t="s">
        <v>769</v>
      </c>
    </row>
    <row r="17" spans="1:15">
      <c r="A17" s="7" t="s">
        <v>18</v>
      </c>
      <c r="B17" s="7" t="s">
        <v>463</v>
      </c>
      <c r="C17" s="7" t="s">
        <v>6</v>
      </c>
      <c r="D17" s="7" t="s">
        <v>441</v>
      </c>
      <c r="E17" s="7" t="s">
        <v>267</v>
      </c>
      <c r="F17" s="7"/>
      <c r="G17" s="7"/>
      <c r="H17" s="7"/>
      <c r="I17" s="7" t="s">
        <v>50</v>
      </c>
      <c r="J17" s="7" t="s">
        <v>55</v>
      </c>
      <c r="K17" s="7" t="s">
        <v>772</v>
      </c>
      <c r="L17" s="7" t="s">
        <v>58</v>
      </c>
      <c r="M17" s="7">
        <f>0.0015*0.907185</f>
        <v>1.3607775E-3</v>
      </c>
      <c r="N17" s="7" t="s">
        <v>751</v>
      </c>
      <c r="O17" s="7" t="s">
        <v>769</v>
      </c>
    </row>
    <row r="18" spans="1:15">
      <c r="A18" s="7" t="s">
        <v>18</v>
      </c>
      <c r="B18" s="7" t="s">
        <v>463</v>
      </c>
      <c r="C18" s="7" t="s">
        <v>6</v>
      </c>
      <c r="D18" s="7" t="s">
        <v>441</v>
      </c>
      <c r="E18" s="7" t="s">
        <v>267</v>
      </c>
      <c r="F18" s="7"/>
      <c r="G18" s="7"/>
      <c r="H18" s="7"/>
      <c r="I18" s="7" t="s">
        <v>50</v>
      </c>
      <c r="J18" s="7" t="s">
        <v>55</v>
      </c>
      <c r="K18" s="7" t="s">
        <v>773</v>
      </c>
      <c r="L18" s="7" t="s">
        <v>58</v>
      </c>
      <c r="M18" s="7">
        <f>7.44*0.1*0.907185</f>
        <v>0.67494564000000012</v>
      </c>
      <c r="N18" s="7" t="s">
        <v>751</v>
      </c>
      <c r="O18" s="7" t="s">
        <v>769</v>
      </c>
    </row>
    <row r="19" spans="1:15">
      <c r="A19" s="7" t="s">
        <v>18</v>
      </c>
      <c r="B19" s="7" t="s">
        <v>463</v>
      </c>
      <c r="C19" s="7" t="s">
        <v>6</v>
      </c>
      <c r="D19" s="7" t="s">
        <v>441</v>
      </c>
      <c r="E19" s="7" t="s">
        <v>267</v>
      </c>
      <c r="F19" s="7"/>
      <c r="G19" s="7"/>
      <c r="H19" s="7"/>
      <c r="I19" s="7" t="s">
        <v>50</v>
      </c>
      <c r="J19" s="7" t="s">
        <v>55</v>
      </c>
      <c r="K19" s="7" t="s">
        <v>774</v>
      </c>
      <c r="L19" s="7" t="s">
        <v>58</v>
      </c>
      <c r="M19" s="7">
        <f>8.049*0.0001*0.907185</f>
        <v>7.3019320650000001E-4</v>
      </c>
      <c r="N19" s="7" t="s">
        <v>751</v>
      </c>
      <c r="O19" s="7" t="s">
        <v>769</v>
      </c>
    </row>
    <row r="20" spans="1:15">
      <c r="A20" s="7" t="s">
        <v>18</v>
      </c>
      <c r="B20" s="7" t="s">
        <v>463</v>
      </c>
      <c r="C20" s="7" t="s">
        <v>6</v>
      </c>
      <c r="D20" s="7" t="s">
        <v>441</v>
      </c>
      <c r="E20" s="7" t="s">
        <v>267</v>
      </c>
      <c r="F20" s="7"/>
      <c r="G20" s="7"/>
      <c r="H20" s="7"/>
      <c r="I20" s="7" t="s">
        <v>50</v>
      </c>
      <c r="J20" s="7" t="s">
        <v>55</v>
      </c>
      <c r="K20" s="7" t="s">
        <v>775</v>
      </c>
      <c r="L20" s="7" t="s">
        <v>58</v>
      </c>
      <c r="M20" s="7">
        <f>0.0046*0.907185</f>
        <v>4.1730509999999997E-3</v>
      </c>
      <c r="N20" s="7" t="s">
        <v>751</v>
      </c>
      <c r="O20" s="7" t="s">
        <v>769</v>
      </c>
    </row>
    <row r="21" spans="1:15">
      <c r="A21" s="7" t="s">
        <v>18</v>
      </c>
      <c r="B21" s="7" t="s">
        <v>463</v>
      </c>
      <c r="C21" s="7" t="s">
        <v>6</v>
      </c>
      <c r="D21" s="7" t="s">
        <v>441</v>
      </c>
      <c r="E21" s="7" t="s">
        <v>267</v>
      </c>
      <c r="F21" s="7"/>
      <c r="G21" s="7"/>
      <c r="H21" s="7"/>
      <c r="I21" s="7" t="s">
        <v>50</v>
      </c>
      <c r="J21" s="7" t="s">
        <v>55</v>
      </c>
      <c r="K21" s="7" t="s">
        <v>776</v>
      </c>
      <c r="L21" s="7" t="s">
        <v>58</v>
      </c>
      <c r="M21" s="7">
        <f>1.35*0.0001*0.907185</f>
        <v>1.2246997500000003E-4</v>
      </c>
      <c r="N21" s="7" t="s">
        <v>751</v>
      </c>
      <c r="O21" s="7" t="s">
        <v>769</v>
      </c>
    </row>
    <row r="22" spans="1:15">
      <c r="A22" s="7" t="s">
        <v>18</v>
      </c>
      <c r="B22" s="7" t="s">
        <v>463</v>
      </c>
      <c r="C22" s="7" t="s">
        <v>6</v>
      </c>
      <c r="D22" s="7" t="s">
        <v>441</v>
      </c>
      <c r="E22" s="7" t="s">
        <v>267</v>
      </c>
      <c r="F22" s="7"/>
      <c r="G22" s="7"/>
      <c r="H22" s="7"/>
      <c r="I22" s="7" t="s">
        <v>50</v>
      </c>
      <c r="J22" s="7" t="s">
        <v>55</v>
      </c>
      <c r="K22" s="7" t="s">
        <v>777</v>
      </c>
      <c r="L22" s="7" t="s">
        <v>58</v>
      </c>
      <c r="M22" s="7">
        <f>2*0.001*0.907185</f>
        <v>1.81437E-3</v>
      </c>
      <c r="N22" s="7" t="s">
        <v>751</v>
      </c>
      <c r="O22" s="7" t="s">
        <v>769</v>
      </c>
    </row>
    <row r="23" spans="1:15">
      <c r="A23" s="7" t="s">
        <v>18</v>
      </c>
      <c r="B23" s="7" t="s">
        <v>463</v>
      </c>
      <c r="C23" s="7" t="s">
        <v>6</v>
      </c>
      <c r="D23" s="7" t="s">
        <v>441</v>
      </c>
      <c r="E23" s="7" t="s">
        <v>267</v>
      </c>
      <c r="F23" s="7"/>
      <c r="G23" s="7"/>
      <c r="H23" s="7"/>
      <c r="I23" s="7" t="s">
        <v>50</v>
      </c>
      <c r="J23" s="7" t="s">
        <v>55</v>
      </c>
      <c r="K23" s="7" t="s">
        <v>778</v>
      </c>
      <c r="L23" s="7" t="s">
        <v>58</v>
      </c>
      <c r="M23" s="7">
        <f>1.039*0.0001*0.907185</f>
        <v>9.425652149999999E-5</v>
      </c>
      <c r="N23" s="7" t="s">
        <v>751</v>
      </c>
      <c r="O23" s="7" t="s">
        <v>769</v>
      </c>
    </row>
    <row r="24" spans="1:15">
      <c r="A24" s="7" t="s">
        <v>18</v>
      </c>
      <c r="B24" s="7" t="s">
        <v>463</v>
      </c>
      <c r="C24" s="7" t="s">
        <v>6</v>
      </c>
      <c r="D24" s="7" t="s">
        <v>441</v>
      </c>
      <c r="E24" s="7" t="s">
        <v>267</v>
      </c>
      <c r="F24" s="7"/>
      <c r="G24" s="7"/>
      <c r="H24" s="7"/>
      <c r="I24" s="7" t="s">
        <v>50</v>
      </c>
      <c r="J24" s="7" t="s">
        <v>55</v>
      </c>
      <c r="K24" s="7" t="s">
        <v>722</v>
      </c>
      <c r="L24" s="7" t="s">
        <v>58</v>
      </c>
      <c r="M24" s="7">
        <f>3.635*0.0001*0.907185</f>
        <v>3.2976174750000002E-4</v>
      </c>
      <c r="N24" s="7" t="s">
        <v>751</v>
      </c>
      <c r="O24" s="7" t="s">
        <v>769</v>
      </c>
    </row>
    <row r="25" spans="1:15">
      <c r="A25" s="7" t="s">
        <v>18</v>
      </c>
      <c r="B25" s="7" t="s">
        <v>463</v>
      </c>
      <c r="C25" s="7" t="s">
        <v>6</v>
      </c>
      <c r="D25" s="7" t="s">
        <v>441</v>
      </c>
      <c r="E25" s="7" t="s">
        <v>267</v>
      </c>
      <c r="F25" s="7"/>
      <c r="G25" s="7"/>
      <c r="H25" s="7"/>
      <c r="I25" s="7" t="s">
        <v>50</v>
      </c>
      <c r="J25" s="7" t="s">
        <v>55</v>
      </c>
      <c r="K25" s="7" t="s">
        <v>779</v>
      </c>
      <c r="L25" s="7" t="s">
        <v>58</v>
      </c>
      <c r="M25" s="7">
        <f>2.648*0.001*0.907185</f>
        <v>2.4022258800000004E-3</v>
      </c>
      <c r="N25" s="7" t="s">
        <v>751</v>
      </c>
      <c r="O25" s="7" t="s">
        <v>769</v>
      </c>
    </row>
    <row r="26" spans="1:15">
      <c r="A26" s="7" t="s">
        <v>18</v>
      </c>
      <c r="B26" s="7" t="s">
        <v>463</v>
      </c>
      <c r="C26" s="7" t="s">
        <v>6</v>
      </c>
      <c r="D26" s="7" t="s">
        <v>441</v>
      </c>
      <c r="E26" s="7" t="s">
        <v>267</v>
      </c>
      <c r="F26" s="7"/>
      <c r="G26" s="7"/>
      <c r="H26" s="7"/>
      <c r="I26" s="7" t="s">
        <v>50</v>
      </c>
      <c r="J26" s="7" t="s">
        <v>55</v>
      </c>
      <c r="K26" s="7" t="s">
        <v>780</v>
      </c>
      <c r="L26" s="7" t="s">
        <v>58</v>
      </c>
      <c r="M26" s="7">
        <f>1.817*0.001*0.907185</f>
        <v>1.6483551450000001E-3</v>
      </c>
      <c r="N26" s="7" t="s">
        <v>751</v>
      </c>
      <c r="O26" s="7" t="s">
        <v>769</v>
      </c>
    </row>
    <row r="27" spans="1:15">
      <c r="A27" s="7" t="s">
        <v>18</v>
      </c>
      <c r="B27" s="7" t="s">
        <v>463</v>
      </c>
      <c r="C27" s="7" t="s">
        <v>6</v>
      </c>
      <c r="D27" s="7" t="s">
        <v>441</v>
      </c>
      <c r="E27" s="7" t="s">
        <v>267</v>
      </c>
      <c r="F27" s="7"/>
      <c r="G27" s="7"/>
      <c r="H27" s="7"/>
      <c r="I27" s="7" t="s">
        <v>50</v>
      </c>
      <c r="J27" s="7" t="s">
        <v>55</v>
      </c>
      <c r="K27" s="7" t="s">
        <v>781</v>
      </c>
      <c r="L27" s="7" t="s">
        <v>58</v>
      </c>
      <c r="M27" s="7">
        <f>7.27*0.0001*0.907185</f>
        <v>6.5952349500000005E-4</v>
      </c>
      <c r="N27" s="7" t="s">
        <v>751</v>
      </c>
      <c r="O27" s="7" t="s">
        <v>769</v>
      </c>
    </row>
    <row r="28" spans="1:15">
      <c r="A28" s="7" t="s">
        <v>18</v>
      </c>
      <c r="B28" s="7" t="s">
        <v>463</v>
      </c>
      <c r="C28" s="7" t="s">
        <v>6</v>
      </c>
      <c r="D28" s="7" t="s">
        <v>441</v>
      </c>
      <c r="E28" s="7" t="s">
        <v>267</v>
      </c>
      <c r="F28" s="7"/>
      <c r="G28" s="7"/>
      <c r="H28" s="7"/>
      <c r="I28" s="7" t="s">
        <v>50</v>
      </c>
      <c r="J28" s="7" t="s">
        <v>55</v>
      </c>
      <c r="K28" s="7" t="s">
        <v>782</v>
      </c>
      <c r="L28" s="7" t="s">
        <v>58</v>
      </c>
      <c r="M28" s="7">
        <f>0.0024*0.907185</f>
        <v>2.1772440000000001E-3</v>
      </c>
      <c r="N28" s="7" t="s">
        <v>751</v>
      </c>
      <c r="O28" s="7" t="s">
        <v>769</v>
      </c>
    </row>
    <row r="29" spans="1:15">
      <c r="A29" s="7" t="s">
        <v>18</v>
      </c>
      <c r="B29" s="7" t="s">
        <v>463</v>
      </c>
      <c r="C29" s="7" t="s">
        <v>31</v>
      </c>
      <c r="D29" s="7" t="s">
        <v>441</v>
      </c>
      <c r="E29" s="7" t="s">
        <v>49</v>
      </c>
      <c r="F29" s="7"/>
      <c r="G29" s="7"/>
      <c r="H29" s="7"/>
      <c r="I29" s="7" t="s">
        <v>50</v>
      </c>
      <c r="J29" s="7" t="s">
        <v>55</v>
      </c>
      <c r="K29" s="7" t="s">
        <v>57</v>
      </c>
      <c r="L29" s="7" t="s">
        <v>62</v>
      </c>
      <c r="M29" s="7">
        <f>0.092*0.907185</f>
        <v>8.3461019999999997E-2</v>
      </c>
      <c r="N29" s="7" t="s">
        <v>751</v>
      </c>
      <c r="O29" s="7" t="s">
        <v>783</v>
      </c>
    </row>
    <row r="30" spans="1:15">
      <c r="A30" s="7" t="s">
        <v>18</v>
      </c>
      <c r="B30" s="7" t="s">
        <v>463</v>
      </c>
      <c r="C30" s="7" t="s">
        <v>31</v>
      </c>
      <c r="D30" s="7" t="s">
        <v>441</v>
      </c>
      <c r="E30" s="7" t="s">
        <v>54</v>
      </c>
      <c r="F30" s="7"/>
      <c r="G30" s="7"/>
      <c r="H30" s="7"/>
      <c r="I30" s="7" t="s">
        <v>50</v>
      </c>
      <c r="J30" s="7" t="s">
        <v>55</v>
      </c>
      <c r="K30" s="7" t="s">
        <v>63</v>
      </c>
      <c r="L30" s="7" t="s">
        <v>62</v>
      </c>
      <c r="M30" s="7">
        <f>0.087*0.907185</f>
        <v>7.8925095000000001E-2</v>
      </c>
      <c r="N30" s="7" t="s">
        <v>751</v>
      </c>
      <c r="O30" s="7" t="s">
        <v>783</v>
      </c>
    </row>
    <row r="31" spans="1:15">
      <c r="A31" s="7" t="s">
        <v>18</v>
      </c>
      <c r="B31" s="7" t="s">
        <v>463</v>
      </c>
      <c r="C31" s="7" t="s">
        <v>31</v>
      </c>
      <c r="D31" s="7" t="s">
        <v>441</v>
      </c>
      <c r="E31" s="7" t="s">
        <v>54</v>
      </c>
      <c r="F31" s="7"/>
      <c r="G31" s="7"/>
      <c r="H31" s="7"/>
      <c r="I31" s="7" t="s">
        <v>50</v>
      </c>
      <c r="J31" s="7" t="s">
        <v>55</v>
      </c>
      <c r="K31" s="7" t="s">
        <v>59</v>
      </c>
      <c r="L31" s="7" t="s">
        <v>62</v>
      </c>
      <c r="M31" s="7">
        <f>0.096*0.907185</f>
        <v>8.7089760000000002E-2</v>
      </c>
      <c r="N31" s="7" t="s">
        <v>751</v>
      </c>
      <c r="O31" s="7" t="s">
        <v>783</v>
      </c>
    </row>
    <row r="32" spans="1:15">
      <c r="A32" s="7" t="s">
        <v>18</v>
      </c>
      <c r="B32" s="7" t="s">
        <v>463</v>
      </c>
      <c r="C32" s="7" t="s">
        <v>31</v>
      </c>
      <c r="D32" s="7" t="s">
        <v>441</v>
      </c>
      <c r="E32" s="7" t="s">
        <v>54</v>
      </c>
      <c r="F32" s="7"/>
      <c r="G32" s="7"/>
      <c r="H32" s="7"/>
      <c r="I32" s="7" t="s">
        <v>50</v>
      </c>
      <c r="J32" s="7" t="s">
        <v>55</v>
      </c>
      <c r="K32" s="7" t="s">
        <v>64</v>
      </c>
      <c r="L32" s="7" t="s">
        <v>62</v>
      </c>
      <c r="M32" s="7">
        <f>0.002*0.907185</f>
        <v>1.81437E-3</v>
      </c>
      <c r="N32" s="7" t="s">
        <v>751</v>
      </c>
      <c r="O32" s="7" t="s">
        <v>783</v>
      </c>
    </row>
    <row r="33" spans="1:15">
      <c r="A33" s="7" t="s">
        <v>18</v>
      </c>
      <c r="B33" s="7" t="s">
        <v>463</v>
      </c>
      <c r="C33" s="7" t="s">
        <v>31</v>
      </c>
      <c r="D33" s="7" t="s">
        <v>441</v>
      </c>
      <c r="E33" s="7" t="s">
        <v>54</v>
      </c>
      <c r="F33" s="7"/>
      <c r="G33" s="7"/>
      <c r="H33" s="7"/>
      <c r="I33" s="7" t="s">
        <v>50</v>
      </c>
      <c r="J33" s="7" t="s">
        <v>55</v>
      </c>
      <c r="K33" s="7" t="s">
        <v>65</v>
      </c>
      <c r="L33" s="7" t="s">
        <v>62</v>
      </c>
      <c r="M33" s="7">
        <f>0.021*0.907185</f>
        <v>1.9050885E-2</v>
      </c>
      <c r="N33" s="7" t="s">
        <v>751</v>
      </c>
      <c r="O33" s="7" t="s">
        <v>783</v>
      </c>
    </row>
    <row r="34" spans="1:15">
      <c r="A34" s="7" t="s">
        <v>18</v>
      </c>
      <c r="B34" s="7" t="s">
        <v>463</v>
      </c>
      <c r="C34" s="7" t="s">
        <v>31</v>
      </c>
      <c r="D34" s="7" t="s">
        <v>441</v>
      </c>
      <c r="E34" s="7" t="s">
        <v>752</v>
      </c>
      <c r="F34" s="7"/>
      <c r="G34" s="7"/>
      <c r="H34" s="7"/>
      <c r="I34" s="7" t="s">
        <v>50</v>
      </c>
      <c r="J34" s="7" t="s">
        <v>55</v>
      </c>
      <c r="K34" s="7" t="s">
        <v>59</v>
      </c>
      <c r="L34" s="7" t="s">
        <v>62</v>
      </c>
      <c r="M34" s="7">
        <f>0.128*0.907185</f>
        <v>0.11611968</v>
      </c>
      <c r="N34" s="7" t="s">
        <v>751</v>
      </c>
      <c r="O34" s="7" t="s">
        <v>783</v>
      </c>
    </row>
    <row r="35" spans="1:15">
      <c r="A35" s="7" t="s">
        <v>18</v>
      </c>
      <c r="B35" s="7" t="s">
        <v>463</v>
      </c>
      <c r="C35" s="7" t="s">
        <v>31</v>
      </c>
      <c r="D35" s="7" t="s">
        <v>441</v>
      </c>
      <c r="E35" s="7" t="s">
        <v>752</v>
      </c>
      <c r="F35" s="7"/>
      <c r="G35" s="7"/>
      <c r="H35" s="7"/>
      <c r="I35" s="7" t="s">
        <v>50</v>
      </c>
      <c r="J35" s="7" t="s">
        <v>55</v>
      </c>
      <c r="K35" s="7" t="s">
        <v>105</v>
      </c>
      <c r="L35" s="7" t="s">
        <v>62</v>
      </c>
      <c r="M35" s="7">
        <f>1.745*0.907185</f>
        <v>1.5830378250000001</v>
      </c>
      <c r="N35" s="7" t="s">
        <v>751</v>
      </c>
      <c r="O35" s="7" t="s">
        <v>783</v>
      </c>
    </row>
    <row r="36" spans="1:15">
      <c r="A36" s="7" t="s">
        <v>18</v>
      </c>
      <c r="B36" s="7" t="s">
        <v>463</v>
      </c>
      <c r="C36" s="7" t="s">
        <v>31</v>
      </c>
      <c r="D36" s="7" t="s">
        <v>441</v>
      </c>
      <c r="E36" s="7" t="s">
        <v>752</v>
      </c>
      <c r="F36" s="7"/>
      <c r="G36" s="7"/>
      <c r="H36" s="7"/>
      <c r="I36" s="7" t="s">
        <v>50</v>
      </c>
      <c r="J36" s="7" t="s">
        <v>55</v>
      </c>
      <c r="K36" s="7" t="s">
        <v>754</v>
      </c>
      <c r="L36" s="7" t="s">
        <v>62</v>
      </c>
      <c r="M36" s="7">
        <f>0.611*0.907185</f>
        <v>0.55429003499999996</v>
      </c>
      <c r="N36" s="7" t="s">
        <v>751</v>
      </c>
      <c r="O36" s="7" t="s">
        <v>783</v>
      </c>
    </row>
    <row r="37" spans="1:15">
      <c r="A37" s="7" t="s">
        <v>18</v>
      </c>
      <c r="B37" s="7" t="s">
        <v>463</v>
      </c>
      <c r="C37" s="7" t="s">
        <v>31</v>
      </c>
      <c r="D37" s="7" t="s">
        <v>441</v>
      </c>
      <c r="E37" s="7" t="s">
        <v>752</v>
      </c>
      <c r="F37" s="7"/>
      <c r="G37" s="7"/>
      <c r="H37" s="7"/>
      <c r="I37" s="7" t="s">
        <v>50</v>
      </c>
      <c r="J37" s="7" t="s">
        <v>55</v>
      </c>
      <c r="K37" s="7" t="s">
        <v>755</v>
      </c>
      <c r="L37" s="7" t="s">
        <v>62</v>
      </c>
      <c r="M37" s="7">
        <f>0.316*0.907185</f>
        <v>0.28667046000000002</v>
      </c>
      <c r="N37" s="7" t="s">
        <v>751</v>
      </c>
      <c r="O37" s="7" t="s">
        <v>783</v>
      </c>
    </row>
    <row r="38" spans="1:15">
      <c r="A38" s="7" t="s">
        <v>18</v>
      </c>
      <c r="B38" s="7" t="s">
        <v>463</v>
      </c>
      <c r="C38" s="7" t="s">
        <v>31</v>
      </c>
      <c r="D38" s="7" t="s">
        <v>441</v>
      </c>
      <c r="E38" s="7" t="s">
        <v>752</v>
      </c>
      <c r="F38" s="7"/>
      <c r="G38" s="7"/>
      <c r="H38" s="7"/>
      <c r="I38" s="7" t="s">
        <v>50</v>
      </c>
      <c r="J38" s="7" t="s">
        <v>55</v>
      </c>
      <c r="K38" s="7" t="s">
        <v>365</v>
      </c>
      <c r="L38" s="7" t="s">
        <v>62</v>
      </c>
      <c r="M38" s="7">
        <f>0.007*0.907185</f>
        <v>6.3502950000000006E-3</v>
      </c>
      <c r="N38" s="7" t="s">
        <v>751</v>
      </c>
      <c r="O38" s="7" t="s">
        <v>783</v>
      </c>
    </row>
    <row r="39" spans="1:15">
      <c r="A39" s="7" t="s">
        <v>18</v>
      </c>
      <c r="B39" s="7" t="s">
        <v>463</v>
      </c>
      <c r="C39" s="7" t="s">
        <v>31</v>
      </c>
      <c r="D39" s="7" t="s">
        <v>441</v>
      </c>
      <c r="E39" s="7" t="s">
        <v>752</v>
      </c>
      <c r="F39" s="7"/>
      <c r="G39" s="7"/>
      <c r="H39" s="7"/>
      <c r="I39" s="7" t="s">
        <v>50</v>
      </c>
      <c r="J39" s="7" t="s">
        <v>55</v>
      </c>
      <c r="K39" s="7" t="s">
        <v>756</v>
      </c>
      <c r="L39" s="7" t="s">
        <v>62</v>
      </c>
      <c r="M39" s="7">
        <f>2.529*0.907185</f>
        <v>2.2942708650000001</v>
      </c>
      <c r="N39" s="7" t="s">
        <v>751</v>
      </c>
      <c r="O39" s="7" t="s">
        <v>783</v>
      </c>
    </row>
    <row r="40" spans="1:15">
      <c r="A40" s="7" t="s">
        <v>18</v>
      </c>
      <c r="B40" s="7" t="s">
        <v>463</v>
      </c>
      <c r="C40" s="7" t="s">
        <v>31</v>
      </c>
      <c r="D40" s="7" t="s">
        <v>441</v>
      </c>
      <c r="E40" s="7" t="s">
        <v>752</v>
      </c>
      <c r="F40" s="7"/>
      <c r="G40" s="7"/>
      <c r="H40" s="7"/>
      <c r="I40" s="7" t="s">
        <v>50</v>
      </c>
      <c r="J40" s="7" t="s">
        <v>55</v>
      </c>
      <c r="K40" s="7" t="s">
        <v>757</v>
      </c>
      <c r="L40" s="7" t="s">
        <v>62</v>
      </c>
      <c r="M40" s="7">
        <f>0.001*0.907185</f>
        <v>9.0718500000000002E-4</v>
      </c>
      <c r="N40" s="7" t="s">
        <v>751</v>
      </c>
      <c r="O40" s="7" t="s">
        <v>783</v>
      </c>
    </row>
    <row r="41" spans="1:15">
      <c r="A41" s="7" t="s">
        <v>18</v>
      </c>
      <c r="B41" s="7" t="s">
        <v>463</v>
      </c>
      <c r="C41" s="7" t="s">
        <v>31</v>
      </c>
      <c r="D41" s="7" t="s">
        <v>441</v>
      </c>
      <c r="E41" s="7" t="s">
        <v>752</v>
      </c>
      <c r="F41" s="7"/>
      <c r="G41" s="7"/>
      <c r="H41" s="7"/>
      <c r="I41" s="7" t="s">
        <v>50</v>
      </c>
      <c r="J41" s="7" t="s">
        <v>55</v>
      </c>
      <c r="K41" s="7" t="s">
        <v>715</v>
      </c>
      <c r="L41" s="7" t="s">
        <v>62</v>
      </c>
      <c r="M41" s="7">
        <f>3.093*0.907185</f>
        <v>2.805923205</v>
      </c>
      <c r="N41" s="7" t="s">
        <v>751</v>
      </c>
      <c r="O41" s="7" t="s">
        <v>783</v>
      </c>
    </row>
    <row r="42" spans="1:15">
      <c r="A42" s="7" t="s">
        <v>18</v>
      </c>
      <c r="B42" s="7" t="s">
        <v>463</v>
      </c>
      <c r="C42" s="7" t="s">
        <v>31</v>
      </c>
      <c r="D42" s="7" t="s">
        <v>441</v>
      </c>
      <c r="E42" s="7" t="s">
        <v>752</v>
      </c>
      <c r="F42" s="7"/>
      <c r="G42" s="7"/>
      <c r="H42" s="7"/>
      <c r="I42" s="7" t="s">
        <v>50</v>
      </c>
      <c r="J42" s="7" t="s">
        <v>55</v>
      </c>
      <c r="K42" s="7" t="s">
        <v>64</v>
      </c>
      <c r="L42" s="7" t="s">
        <v>62</v>
      </c>
      <c r="M42" s="7">
        <f>0.698*0.907185</f>
        <v>0.63321512999999996</v>
      </c>
      <c r="N42" s="7" t="s">
        <v>751</v>
      </c>
      <c r="O42" s="7" t="s">
        <v>783</v>
      </c>
    </row>
    <row r="43" spans="1:15">
      <c r="A43" s="7" t="s">
        <v>18</v>
      </c>
      <c r="B43" s="7" t="s">
        <v>463</v>
      </c>
      <c r="C43" s="7" t="s">
        <v>31</v>
      </c>
      <c r="D43" s="7" t="s">
        <v>441</v>
      </c>
      <c r="E43" s="7" t="s">
        <v>752</v>
      </c>
      <c r="F43" s="7"/>
      <c r="G43" s="7"/>
      <c r="H43" s="7"/>
      <c r="I43" s="7" t="s">
        <v>50</v>
      </c>
      <c r="J43" s="7" t="s">
        <v>55</v>
      </c>
      <c r="K43" s="7" t="s">
        <v>65</v>
      </c>
      <c r="L43" s="7" t="s">
        <v>62</v>
      </c>
      <c r="M43" s="7">
        <f>0.004*0.907185</f>
        <v>3.6287400000000001E-3</v>
      </c>
      <c r="N43" s="7" t="s">
        <v>751</v>
      </c>
      <c r="O43" s="7" t="s">
        <v>783</v>
      </c>
    </row>
    <row r="44" spans="1:15">
      <c r="A44" s="7" t="s">
        <v>18</v>
      </c>
      <c r="B44" s="7" t="s">
        <v>463</v>
      </c>
      <c r="C44" s="7" t="s">
        <v>31</v>
      </c>
      <c r="D44" s="7" t="s">
        <v>441</v>
      </c>
      <c r="E44" s="7" t="s">
        <v>759</v>
      </c>
      <c r="F44" s="7"/>
      <c r="G44" s="7"/>
      <c r="H44" s="7"/>
      <c r="I44" s="7" t="s">
        <v>50</v>
      </c>
      <c r="J44" s="7" t="s">
        <v>55</v>
      </c>
      <c r="K44" s="7" t="s">
        <v>59</v>
      </c>
      <c r="L44" s="7" t="s">
        <v>62</v>
      </c>
      <c r="M44" s="7">
        <f>0.021*0.907185</f>
        <v>1.9050885E-2</v>
      </c>
      <c r="N44" s="7" t="s">
        <v>751</v>
      </c>
      <c r="O44" s="7" t="s">
        <v>783</v>
      </c>
    </row>
    <row r="45" spans="1:15">
      <c r="A45" s="7" t="s">
        <v>18</v>
      </c>
      <c r="B45" s="7" t="s">
        <v>463</v>
      </c>
      <c r="C45" s="7" t="s">
        <v>31</v>
      </c>
      <c r="D45" s="7" t="s">
        <v>441</v>
      </c>
      <c r="E45" s="7" t="s">
        <v>759</v>
      </c>
      <c r="F45" s="7"/>
      <c r="G45" s="7"/>
      <c r="H45" s="7"/>
      <c r="I45" s="7" t="s">
        <v>50</v>
      </c>
      <c r="J45" s="7" t="s">
        <v>55</v>
      </c>
      <c r="K45" s="7" t="s">
        <v>365</v>
      </c>
      <c r="L45" s="7" t="s">
        <v>62</v>
      </c>
      <c r="M45" s="7">
        <f>0.111*0.907185</f>
        <v>0.100697535</v>
      </c>
      <c r="N45" s="7" t="s">
        <v>751</v>
      </c>
      <c r="O45" s="7" t="s">
        <v>783</v>
      </c>
    </row>
    <row r="46" spans="1:15">
      <c r="A46" s="7" t="s">
        <v>18</v>
      </c>
      <c r="B46" s="7" t="s">
        <v>463</v>
      </c>
      <c r="C46" s="7" t="s">
        <v>31</v>
      </c>
      <c r="D46" s="7" t="s">
        <v>441</v>
      </c>
      <c r="E46" s="7" t="s">
        <v>759</v>
      </c>
      <c r="F46" s="7"/>
      <c r="G46" s="7"/>
      <c r="H46" s="7"/>
      <c r="I46" s="7" t="s">
        <v>50</v>
      </c>
      <c r="J46" s="7" t="s">
        <v>55</v>
      </c>
      <c r="K46" s="7" t="s">
        <v>756</v>
      </c>
      <c r="L46" s="7" t="s">
        <v>62</v>
      </c>
      <c r="M46" s="7">
        <f>0.001*0.907185</f>
        <v>9.0718500000000002E-4</v>
      </c>
      <c r="N46" s="7" t="s">
        <v>751</v>
      </c>
      <c r="O46" s="7" t="s">
        <v>783</v>
      </c>
    </row>
    <row r="47" spans="1:15">
      <c r="A47" s="7" t="s">
        <v>18</v>
      </c>
      <c r="B47" s="7" t="s">
        <v>463</v>
      </c>
      <c r="C47" s="7" t="s">
        <v>31</v>
      </c>
      <c r="D47" s="7" t="s">
        <v>441</v>
      </c>
      <c r="E47" s="7" t="s">
        <v>759</v>
      </c>
      <c r="F47" s="7"/>
      <c r="G47" s="7"/>
      <c r="H47" s="7"/>
      <c r="I47" s="7" t="s">
        <v>50</v>
      </c>
      <c r="J47" s="7" t="s">
        <v>55</v>
      </c>
      <c r="K47" s="7" t="s">
        <v>757</v>
      </c>
      <c r="L47" s="7" t="s">
        <v>62</v>
      </c>
      <c r="M47" s="7">
        <f>0.637*0.907185</f>
        <v>0.57787684500000003</v>
      </c>
      <c r="N47" s="7" t="s">
        <v>751</v>
      </c>
      <c r="O47" s="7" t="s">
        <v>783</v>
      </c>
    </row>
    <row r="48" spans="1:15">
      <c r="A48" s="7" t="s">
        <v>18</v>
      </c>
      <c r="B48" s="7" t="s">
        <v>463</v>
      </c>
      <c r="C48" s="7" t="s">
        <v>31</v>
      </c>
      <c r="D48" s="7" t="s">
        <v>441</v>
      </c>
      <c r="E48" s="7" t="s">
        <v>759</v>
      </c>
      <c r="F48" s="7"/>
      <c r="G48" s="7"/>
      <c r="H48" s="7"/>
      <c r="I48" s="7" t="s">
        <v>50</v>
      </c>
      <c r="J48" s="7" t="s">
        <v>55</v>
      </c>
      <c r="K48" s="7" t="s">
        <v>715</v>
      </c>
      <c r="L48" s="7" t="s">
        <v>62</v>
      </c>
      <c r="M48" s="7">
        <f>0.333*0.907185</f>
        <v>0.30209260500000001</v>
      </c>
      <c r="N48" s="7" t="s">
        <v>751</v>
      </c>
      <c r="O48" s="7" t="s">
        <v>783</v>
      </c>
    </row>
    <row r="49" spans="1:15">
      <c r="A49" s="7" t="s">
        <v>18</v>
      </c>
      <c r="B49" s="7" t="s">
        <v>463</v>
      </c>
      <c r="C49" s="7" t="s">
        <v>31</v>
      </c>
      <c r="D49" s="7" t="s">
        <v>441</v>
      </c>
      <c r="E49" s="7" t="s">
        <v>759</v>
      </c>
      <c r="F49" s="7"/>
      <c r="G49" s="7"/>
      <c r="H49" s="7"/>
      <c r="I49" s="7" t="s">
        <v>50</v>
      </c>
      <c r="J49" s="7" t="s">
        <v>55</v>
      </c>
      <c r="K49" s="7" t="s">
        <v>64</v>
      </c>
      <c r="L49" s="7" t="s">
        <v>62</v>
      </c>
      <c r="M49" s="7">
        <f>0.159*0.907185</f>
        <v>0.14424241500000001</v>
      </c>
      <c r="N49" s="7" t="s">
        <v>751</v>
      </c>
      <c r="O49" s="7" t="s">
        <v>783</v>
      </c>
    </row>
    <row r="50" spans="1:15">
      <c r="A50" s="7" t="s">
        <v>18</v>
      </c>
      <c r="B50" s="7" t="s">
        <v>463</v>
      </c>
      <c r="C50" s="7" t="s">
        <v>31</v>
      </c>
      <c r="D50" s="7" t="s">
        <v>441</v>
      </c>
      <c r="E50" s="7" t="s">
        <v>759</v>
      </c>
      <c r="F50" s="7"/>
      <c r="G50" s="7"/>
      <c r="H50" s="7"/>
      <c r="I50" s="7" t="s">
        <v>50</v>
      </c>
      <c r="J50" s="7" t="s">
        <v>55</v>
      </c>
      <c r="K50" s="7" t="s">
        <v>65</v>
      </c>
      <c r="L50" s="7" t="s">
        <v>62</v>
      </c>
      <c r="M50" s="7">
        <f>0.19*0.907185</f>
        <v>0.17236514999999999</v>
      </c>
      <c r="N50" s="7" t="s">
        <v>751</v>
      </c>
      <c r="O50" s="7" t="s">
        <v>783</v>
      </c>
    </row>
    <row r="51" spans="1:15">
      <c r="A51" s="7" t="s">
        <v>18</v>
      </c>
      <c r="B51" s="7" t="s">
        <v>463</v>
      </c>
      <c r="C51" s="7" t="s">
        <v>31</v>
      </c>
      <c r="D51" s="7" t="s">
        <v>441</v>
      </c>
      <c r="E51" s="7" t="s">
        <v>759</v>
      </c>
      <c r="F51" s="7"/>
      <c r="G51" s="7"/>
      <c r="H51" s="7"/>
      <c r="I51" s="7" t="s">
        <v>50</v>
      </c>
      <c r="J51" s="7" t="s">
        <v>55</v>
      </c>
      <c r="K51" s="7" t="s">
        <v>758</v>
      </c>
      <c r="L51" s="7" t="s">
        <v>62</v>
      </c>
      <c r="M51" s="7">
        <f>0.07*0.907185</f>
        <v>6.3502950000000002E-2</v>
      </c>
      <c r="N51" s="7" t="s">
        <v>751</v>
      </c>
      <c r="O51" s="7" t="s">
        <v>783</v>
      </c>
    </row>
    <row r="52" spans="1:15">
      <c r="A52" s="7" t="s">
        <v>18</v>
      </c>
      <c r="B52" s="7" t="s">
        <v>760</v>
      </c>
      <c r="C52" s="7" t="s">
        <v>31</v>
      </c>
      <c r="D52" s="7" t="s">
        <v>441</v>
      </c>
      <c r="E52" s="7" t="s">
        <v>752</v>
      </c>
      <c r="F52" s="7"/>
      <c r="G52" s="7"/>
      <c r="H52" s="7"/>
      <c r="I52" s="7" t="s">
        <v>50</v>
      </c>
      <c r="J52" s="7" t="s">
        <v>55</v>
      </c>
      <c r="K52" s="7" t="s">
        <v>236</v>
      </c>
      <c r="L52" s="7" t="s">
        <v>785</v>
      </c>
      <c r="M52" s="7">
        <f>5.299*1055.055853</f>
        <v>5590.7409650470008</v>
      </c>
      <c r="N52" s="7" t="s">
        <v>751</v>
      </c>
      <c r="O52" s="7" t="s">
        <v>784</v>
      </c>
    </row>
    <row r="53" spans="1:15">
      <c r="A53" s="7" t="s">
        <v>18</v>
      </c>
      <c r="B53" s="7" t="s">
        <v>760</v>
      </c>
      <c r="C53" s="7" t="s">
        <v>31</v>
      </c>
      <c r="D53" s="7" t="s">
        <v>441</v>
      </c>
      <c r="E53" s="7" t="s">
        <v>752</v>
      </c>
      <c r="F53" s="7"/>
      <c r="G53" s="7"/>
      <c r="H53" s="7"/>
      <c r="I53" s="7" t="s">
        <v>50</v>
      </c>
      <c r="J53" s="7" t="s">
        <v>55</v>
      </c>
      <c r="K53" s="7" t="s">
        <v>97</v>
      </c>
      <c r="L53" s="7" t="s">
        <v>785</v>
      </c>
      <c r="M53" s="7">
        <f>6.648*1055.055853</f>
        <v>7014.0113107440002</v>
      </c>
      <c r="N53" s="7" t="s">
        <v>751</v>
      </c>
      <c r="O53" s="7" t="s">
        <v>784</v>
      </c>
    </row>
    <row r="54" spans="1:15">
      <c r="A54" s="7" t="s">
        <v>18</v>
      </c>
      <c r="B54" s="7" t="s">
        <v>760</v>
      </c>
      <c r="C54" s="7" t="s">
        <v>31</v>
      </c>
      <c r="D54" s="7" t="s">
        <v>441</v>
      </c>
      <c r="E54" s="7" t="s">
        <v>752</v>
      </c>
      <c r="F54" s="7"/>
      <c r="G54" s="7"/>
      <c r="H54" s="7"/>
      <c r="I54" s="7" t="s">
        <v>50</v>
      </c>
      <c r="J54" s="7" t="s">
        <v>55</v>
      </c>
      <c r="K54" s="7" t="s">
        <v>761</v>
      </c>
      <c r="L54" s="7" t="s">
        <v>785</v>
      </c>
      <c r="M54" s="7">
        <f>9.238*1055.055853</f>
        <v>9746.6059700139995</v>
      </c>
      <c r="N54" s="7" t="s">
        <v>751</v>
      </c>
      <c r="O54" s="7" t="s">
        <v>784</v>
      </c>
    </row>
    <row r="55" spans="1:15">
      <c r="A55" s="7" t="s">
        <v>18</v>
      </c>
      <c r="B55" s="7" t="s">
        <v>760</v>
      </c>
      <c r="C55" s="7" t="s">
        <v>31</v>
      </c>
      <c r="D55" s="7" t="s">
        <v>441</v>
      </c>
      <c r="E55" s="7" t="s">
        <v>752</v>
      </c>
      <c r="F55" s="7"/>
      <c r="G55" s="7"/>
      <c r="H55" s="7"/>
      <c r="I55" s="7" t="s">
        <v>50</v>
      </c>
      <c r="J55" s="7" t="s">
        <v>55</v>
      </c>
      <c r="K55" s="7" t="s">
        <v>74</v>
      </c>
      <c r="L55" s="7" t="s">
        <v>785</v>
      </c>
      <c r="M55" s="7">
        <f>2.149*1055.055853</f>
        <v>2267.3150280970003</v>
      </c>
      <c r="N55" s="7" t="s">
        <v>751</v>
      </c>
      <c r="O55" s="7" t="s">
        <v>784</v>
      </c>
    </row>
    <row r="56" spans="1:15">
      <c r="A56" s="7" t="s">
        <v>18</v>
      </c>
      <c r="B56" s="7" t="s">
        <v>760</v>
      </c>
      <c r="C56" s="7" t="s">
        <v>31</v>
      </c>
      <c r="D56" s="7" t="s">
        <v>441</v>
      </c>
      <c r="E56" s="7" t="s">
        <v>759</v>
      </c>
      <c r="F56" s="7"/>
      <c r="G56" s="7"/>
      <c r="H56" s="7"/>
      <c r="I56" s="7" t="s">
        <v>50</v>
      </c>
      <c r="J56" s="7" t="s">
        <v>55</v>
      </c>
      <c r="K56" s="7" t="s">
        <v>97</v>
      </c>
      <c r="L56" s="7" t="s">
        <v>785</v>
      </c>
      <c r="M56" s="7">
        <f>14.999*1055.055853</f>
        <v>15824.782739147002</v>
      </c>
      <c r="N56" s="7" t="s">
        <v>751</v>
      </c>
      <c r="O56" s="7" t="s">
        <v>784</v>
      </c>
    </row>
    <row r="57" spans="1:15">
      <c r="A57" s="7" t="s">
        <v>18</v>
      </c>
      <c r="B57" s="7" t="s">
        <v>760</v>
      </c>
      <c r="C57" s="7" t="s">
        <v>31</v>
      </c>
      <c r="D57" s="7" t="s">
        <v>441</v>
      </c>
      <c r="E57" s="7" t="s">
        <v>759</v>
      </c>
      <c r="F57" s="7"/>
      <c r="G57" s="7"/>
      <c r="H57" s="7"/>
      <c r="I57" s="7" t="s">
        <v>50</v>
      </c>
      <c r="J57" s="7" t="s">
        <v>55</v>
      </c>
      <c r="K57" s="7" t="s">
        <v>74</v>
      </c>
      <c r="L57" s="7" t="s">
        <v>785</v>
      </c>
      <c r="M57" s="7">
        <f>8.969*1055.055853</f>
        <v>9462.7959455569999</v>
      </c>
      <c r="N57" s="7" t="s">
        <v>751</v>
      </c>
      <c r="O57" s="7" t="s">
        <v>784</v>
      </c>
    </row>
    <row r="58" spans="1:15">
      <c r="A58" s="7" t="s">
        <v>66</v>
      </c>
      <c r="B58" s="7" t="s">
        <v>760</v>
      </c>
      <c r="C58" s="7" t="s">
        <v>31</v>
      </c>
      <c r="D58" s="7"/>
      <c r="E58" s="7" t="s">
        <v>67</v>
      </c>
      <c r="F58" s="7"/>
      <c r="G58" s="7"/>
      <c r="H58" s="7"/>
      <c r="I58" s="7" t="s">
        <v>50</v>
      </c>
      <c r="J58" s="7" t="s">
        <v>55</v>
      </c>
      <c r="K58" s="7" t="s">
        <v>68</v>
      </c>
      <c r="L58" s="7" t="s">
        <v>69</v>
      </c>
      <c r="M58" s="7">
        <v>0.14099999999999999</v>
      </c>
      <c r="N58" s="7" t="s">
        <v>746</v>
      </c>
      <c r="O58" s="7" t="s">
        <v>70</v>
      </c>
    </row>
    <row r="59" spans="1:15">
      <c r="A59" s="7" t="s">
        <v>66</v>
      </c>
      <c r="B59" s="7" t="s">
        <v>760</v>
      </c>
      <c r="C59" s="7" t="s">
        <v>31</v>
      </c>
      <c r="D59" s="7"/>
      <c r="E59" s="7" t="s">
        <v>71</v>
      </c>
      <c r="F59" s="7"/>
      <c r="G59" s="7"/>
      <c r="H59" s="7"/>
      <c r="I59" s="7" t="s">
        <v>50</v>
      </c>
      <c r="J59" s="7" t="s">
        <v>55</v>
      </c>
      <c r="K59" s="7" t="s">
        <v>68</v>
      </c>
      <c r="L59" s="7" t="s">
        <v>69</v>
      </c>
      <c r="M59" s="7">
        <v>6.6000000000000003E-2</v>
      </c>
      <c r="N59" s="7" t="s">
        <v>746</v>
      </c>
      <c r="O59" s="7" t="s">
        <v>70</v>
      </c>
    </row>
    <row r="60" spans="1:15">
      <c r="A60" s="7" t="s">
        <v>66</v>
      </c>
      <c r="B60" s="7" t="s">
        <v>760</v>
      </c>
      <c r="C60" s="7" t="s">
        <v>31</v>
      </c>
      <c r="D60" s="7"/>
      <c r="E60" s="7" t="s">
        <v>72</v>
      </c>
      <c r="F60" s="7"/>
      <c r="G60" s="7"/>
      <c r="H60" s="7"/>
      <c r="I60" s="7" t="s">
        <v>50</v>
      </c>
      <c r="J60" s="7" t="s">
        <v>55</v>
      </c>
      <c r="K60" s="7" t="s">
        <v>68</v>
      </c>
      <c r="L60" s="7" t="s">
        <v>69</v>
      </c>
      <c r="M60" s="7">
        <v>0.1</v>
      </c>
      <c r="N60" s="7" t="s">
        <v>746</v>
      </c>
      <c r="O60" s="7" t="s">
        <v>70</v>
      </c>
    </row>
    <row r="61" spans="1:15">
      <c r="A61" s="7" t="s">
        <v>66</v>
      </c>
      <c r="B61" s="7" t="s">
        <v>760</v>
      </c>
      <c r="C61" s="7" t="s">
        <v>31</v>
      </c>
      <c r="D61" s="7"/>
      <c r="E61" s="7" t="s">
        <v>73</v>
      </c>
      <c r="F61" s="7"/>
      <c r="G61" s="7"/>
      <c r="H61" s="7"/>
      <c r="I61" s="7" t="s">
        <v>50</v>
      </c>
      <c r="J61" s="7" t="s">
        <v>55</v>
      </c>
      <c r="K61" s="7" t="s">
        <v>68</v>
      </c>
      <c r="L61" s="7" t="s">
        <v>69</v>
      </c>
      <c r="M61" s="7">
        <v>0.2</v>
      </c>
      <c r="N61" s="7" t="s">
        <v>746</v>
      </c>
      <c r="O61" s="7" t="s">
        <v>70</v>
      </c>
    </row>
    <row r="62" spans="1:15">
      <c r="A62" s="7" t="s">
        <v>66</v>
      </c>
      <c r="B62" s="7" t="s">
        <v>760</v>
      </c>
      <c r="C62" s="7" t="s">
        <v>31</v>
      </c>
      <c r="D62" s="7"/>
      <c r="E62" s="7" t="s">
        <v>67</v>
      </c>
      <c r="F62" s="7"/>
      <c r="G62" s="7"/>
      <c r="H62" s="7"/>
      <c r="I62" s="7" t="s">
        <v>50</v>
      </c>
      <c r="J62" s="7" t="s">
        <v>55</v>
      </c>
      <c r="K62" s="7" t="s">
        <v>74</v>
      </c>
      <c r="L62" s="7" t="s">
        <v>69</v>
      </c>
      <c r="M62" s="7">
        <v>0.06</v>
      </c>
      <c r="N62" s="7" t="s">
        <v>746</v>
      </c>
      <c r="O62" s="7" t="s">
        <v>70</v>
      </c>
    </row>
    <row r="63" spans="1:15">
      <c r="A63" s="7" t="s">
        <v>66</v>
      </c>
      <c r="B63" s="7" t="s">
        <v>760</v>
      </c>
      <c r="C63" s="7" t="s">
        <v>31</v>
      </c>
      <c r="D63" s="7"/>
      <c r="E63" s="7" t="s">
        <v>71</v>
      </c>
      <c r="F63" s="7"/>
      <c r="G63" s="7"/>
      <c r="H63" s="7"/>
      <c r="I63" s="7" t="s">
        <v>50</v>
      </c>
      <c r="J63" s="7" t="s">
        <v>55</v>
      </c>
      <c r="K63" s="7" t="s">
        <v>74</v>
      </c>
      <c r="L63" s="7" t="s">
        <v>69</v>
      </c>
      <c r="M63" s="7">
        <v>0.14899999999999999</v>
      </c>
      <c r="N63" s="7" t="s">
        <v>746</v>
      </c>
      <c r="O63" s="7" t="s">
        <v>70</v>
      </c>
    </row>
    <row r="64" spans="1:15">
      <c r="A64" s="7" t="s">
        <v>66</v>
      </c>
      <c r="B64" s="7" t="s">
        <v>760</v>
      </c>
      <c r="C64" s="7" t="s">
        <v>31</v>
      </c>
      <c r="D64" s="7"/>
      <c r="E64" s="7" t="s">
        <v>72</v>
      </c>
      <c r="F64" s="7"/>
      <c r="G64" s="7"/>
      <c r="H64" s="7"/>
      <c r="I64" s="7" t="s">
        <v>50</v>
      </c>
      <c r="J64" s="7" t="s">
        <v>55</v>
      </c>
      <c r="K64" s="7" t="s">
        <v>74</v>
      </c>
      <c r="L64" s="7" t="s">
        <v>69</v>
      </c>
      <c r="M64" s="7">
        <v>0.1</v>
      </c>
      <c r="N64" s="7" t="s">
        <v>746</v>
      </c>
      <c r="O64" s="7" t="s">
        <v>70</v>
      </c>
    </row>
    <row r="65" spans="1:15">
      <c r="A65" s="7" t="s">
        <v>66</v>
      </c>
      <c r="B65" s="7" t="s">
        <v>760</v>
      </c>
      <c r="C65" s="7" t="s">
        <v>31</v>
      </c>
      <c r="D65" s="7"/>
      <c r="E65" s="7" t="s">
        <v>73</v>
      </c>
      <c r="F65" s="7"/>
      <c r="G65" s="7"/>
      <c r="H65" s="7"/>
      <c r="I65" s="7" t="s">
        <v>50</v>
      </c>
      <c r="J65" s="7" t="s">
        <v>55</v>
      </c>
      <c r="K65" s="7" t="s">
        <v>74</v>
      </c>
      <c r="L65" s="7" t="s">
        <v>69</v>
      </c>
      <c r="M65" s="7">
        <v>0.2</v>
      </c>
      <c r="N65" s="7" t="s">
        <v>746</v>
      </c>
      <c r="O65" s="7" t="s">
        <v>70</v>
      </c>
    </row>
    <row r="66" spans="1:15">
      <c r="A66" s="7" t="s">
        <v>66</v>
      </c>
      <c r="B66" s="7" t="s">
        <v>760</v>
      </c>
      <c r="C66" s="7" t="s">
        <v>31</v>
      </c>
      <c r="D66" s="7"/>
      <c r="E66" s="7" t="s">
        <v>75</v>
      </c>
      <c r="F66" s="7"/>
      <c r="G66" s="7"/>
      <c r="H66" s="7"/>
      <c r="I66" s="7" t="s">
        <v>50</v>
      </c>
      <c r="J66" s="7" t="s">
        <v>55</v>
      </c>
      <c r="K66" s="7" t="s">
        <v>74</v>
      </c>
      <c r="L66" s="7" t="s">
        <v>69</v>
      </c>
      <c r="M66" s="7">
        <v>0.2</v>
      </c>
      <c r="N66" s="7" t="s">
        <v>746</v>
      </c>
      <c r="O66" s="7" t="s">
        <v>70</v>
      </c>
    </row>
    <row r="67" spans="1:15">
      <c r="A67" s="7" t="s">
        <v>66</v>
      </c>
      <c r="B67" s="7" t="s">
        <v>760</v>
      </c>
      <c r="C67" s="7" t="s">
        <v>31</v>
      </c>
      <c r="D67" s="7"/>
      <c r="E67" s="7" t="s">
        <v>76</v>
      </c>
      <c r="F67" s="7"/>
      <c r="G67" s="7"/>
      <c r="H67" s="7"/>
      <c r="I67" s="7" t="s">
        <v>50</v>
      </c>
      <c r="J67" s="7" t="s">
        <v>55</v>
      </c>
      <c r="K67" s="7" t="s">
        <v>77</v>
      </c>
      <c r="L67" s="7" t="s">
        <v>69</v>
      </c>
      <c r="M67" s="7">
        <v>0.245</v>
      </c>
      <c r="N67" s="7" t="s">
        <v>746</v>
      </c>
      <c r="O67" s="7" t="s">
        <v>70</v>
      </c>
    </row>
    <row r="68" spans="1:15">
      <c r="A68" s="7" t="s">
        <v>110</v>
      </c>
      <c r="B68" s="7" t="s">
        <v>246</v>
      </c>
      <c r="C68" s="7" t="s">
        <v>444</v>
      </c>
      <c r="D68" s="7"/>
      <c r="E68" s="7" t="s">
        <v>90</v>
      </c>
      <c r="F68" s="7"/>
      <c r="G68" s="7" t="s">
        <v>442</v>
      </c>
      <c r="H68" s="7"/>
      <c r="I68" s="7" t="s">
        <v>50</v>
      </c>
      <c r="J68" s="7" t="s">
        <v>55</v>
      </c>
      <c r="K68" s="7" t="s">
        <v>106</v>
      </c>
      <c r="L68" s="7" t="s">
        <v>111</v>
      </c>
      <c r="M68" s="12" t="s">
        <v>112</v>
      </c>
      <c r="N68" s="7" t="s">
        <v>746</v>
      </c>
      <c r="O68" s="7" t="s">
        <v>113</v>
      </c>
    </row>
    <row r="69" spans="1:15" s="92" customFormat="1">
      <c r="A69" s="108" t="s">
        <v>110</v>
      </c>
      <c r="B69" s="108" t="s">
        <v>246</v>
      </c>
      <c r="C69" s="108" t="s">
        <v>6</v>
      </c>
      <c r="D69" s="108"/>
      <c r="E69" s="108" t="s">
        <v>90</v>
      </c>
      <c r="F69" s="108"/>
      <c r="G69" s="108" t="s">
        <v>442</v>
      </c>
      <c r="H69" s="108"/>
      <c r="I69" s="108" t="s">
        <v>50</v>
      </c>
      <c r="J69" s="108" t="s">
        <v>55</v>
      </c>
      <c r="K69" s="108" t="s">
        <v>106</v>
      </c>
      <c r="L69" s="108" t="s">
        <v>111</v>
      </c>
      <c r="M69" s="109">
        <v>43235</v>
      </c>
      <c r="N69" s="108" t="s">
        <v>746</v>
      </c>
      <c r="O69" s="108" t="s">
        <v>113</v>
      </c>
    </row>
    <row r="70" spans="1:15" s="92" customFormat="1">
      <c r="A70" s="108" t="s">
        <v>110</v>
      </c>
      <c r="B70" s="108" t="s">
        <v>246</v>
      </c>
      <c r="C70" s="108" t="s">
        <v>14</v>
      </c>
      <c r="D70" s="108"/>
      <c r="E70" s="108" t="s">
        <v>114</v>
      </c>
      <c r="F70" s="108"/>
      <c r="G70" s="108" t="s">
        <v>443</v>
      </c>
      <c r="H70" s="108"/>
      <c r="I70" s="108" t="s">
        <v>50</v>
      </c>
      <c r="J70" s="108" t="s">
        <v>55</v>
      </c>
      <c r="K70" s="108" t="s">
        <v>106</v>
      </c>
      <c r="L70" s="108" t="s">
        <v>111</v>
      </c>
      <c r="M70" s="110">
        <v>265861</v>
      </c>
      <c r="N70" s="108" t="s">
        <v>746</v>
      </c>
      <c r="O70" s="108" t="s">
        <v>113</v>
      </c>
    </row>
    <row r="71" spans="1:15" s="92" customFormat="1">
      <c r="A71" s="108" t="s">
        <v>110</v>
      </c>
      <c r="B71" s="108" t="s">
        <v>246</v>
      </c>
      <c r="C71" s="108" t="s">
        <v>115</v>
      </c>
      <c r="D71" s="108"/>
      <c r="E71" s="108" t="s">
        <v>49</v>
      </c>
      <c r="F71" s="108"/>
      <c r="G71" s="108" t="s">
        <v>440</v>
      </c>
      <c r="H71" s="108"/>
      <c r="I71" s="108" t="s">
        <v>50</v>
      </c>
      <c r="J71" s="108" t="s">
        <v>55</v>
      </c>
      <c r="K71" s="108" t="s">
        <v>106</v>
      </c>
      <c r="L71" s="108" t="s">
        <v>111</v>
      </c>
      <c r="M71" s="109">
        <v>447</v>
      </c>
      <c r="N71" s="108" t="s">
        <v>746</v>
      </c>
      <c r="O71" s="108" t="s">
        <v>113</v>
      </c>
    </row>
    <row r="72" spans="1:15">
      <c r="A72" s="7" t="s">
        <v>110</v>
      </c>
      <c r="B72" s="7" t="s">
        <v>246</v>
      </c>
      <c r="C72" s="7" t="s">
        <v>225</v>
      </c>
      <c r="D72" s="7"/>
      <c r="E72" s="7" t="s">
        <v>90</v>
      </c>
      <c r="F72" s="7"/>
      <c r="G72" s="7" t="s">
        <v>442</v>
      </c>
      <c r="H72" s="7"/>
      <c r="I72" s="7" t="s">
        <v>50</v>
      </c>
      <c r="J72" s="7" t="s">
        <v>55</v>
      </c>
      <c r="K72" s="7" t="s">
        <v>106</v>
      </c>
      <c r="L72" s="7" t="s">
        <v>111</v>
      </c>
      <c r="M72" s="13">
        <v>6597</v>
      </c>
      <c r="N72" s="7" t="s">
        <v>746</v>
      </c>
      <c r="O72" s="7" t="s">
        <v>113</v>
      </c>
    </row>
    <row r="73" spans="1:15">
      <c r="A73" s="7" t="s">
        <v>110</v>
      </c>
      <c r="B73" s="7" t="s">
        <v>246</v>
      </c>
      <c r="C73" s="7" t="s">
        <v>445</v>
      </c>
      <c r="D73" s="7"/>
      <c r="E73" s="7" t="s">
        <v>90</v>
      </c>
      <c r="F73" s="7"/>
      <c r="G73" s="7" t="s">
        <v>442</v>
      </c>
      <c r="H73" s="7"/>
      <c r="I73" s="7" t="s">
        <v>50</v>
      </c>
      <c r="J73" s="7" t="s">
        <v>55</v>
      </c>
      <c r="K73" s="7" t="s">
        <v>106</v>
      </c>
      <c r="L73" s="7" t="s">
        <v>111</v>
      </c>
      <c r="M73" s="12" t="s">
        <v>116</v>
      </c>
      <c r="N73" s="7" t="s">
        <v>746</v>
      </c>
      <c r="O73" s="7" t="s">
        <v>113</v>
      </c>
    </row>
    <row r="74" spans="1:15" s="92" customFormat="1">
      <c r="A74" s="108" t="s">
        <v>110</v>
      </c>
      <c r="B74" s="108" t="s">
        <v>246</v>
      </c>
      <c r="C74" s="108" t="s">
        <v>31</v>
      </c>
      <c r="D74" s="108"/>
      <c r="E74" s="108" t="s">
        <v>114</v>
      </c>
      <c r="F74" s="108"/>
      <c r="G74" s="108" t="s">
        <v>443</v>
      </c>
      <c r="H74" s="108"/>
      <c r="I74" s="108" t="s">
        <v>50</v>
      </c>
      <c r="J74" s="108" t="s">
        <v>55</v>
      </c>
      <c r="K74" s="108" t="s">
        <v>106</v>
      </c>
      <c r="L74" s="108" t="s">
        <v>111</v>
      </c>
      <c r="M74" s="110" t="s">
        <v>117</v>
      </c>
      <c r="N74" s="108" t="s">
        <v>746</v>
      </c>
      <c r="O74" s="108" t="s">
        <v>113</v>
      </c>
    </row>
    <row r="75" spans="1:15">
      <c r="A75" s="7" t="s">
        <v>110</v>
      </c>
      <c r="B75" s="7" t="s">
        <v>246</v>
      </c>
      <c r="C75" s="7" t="s">
        <v>446</v>
      </c>
      <c r="D75" s="7"/>
      <c r="E75" s="7" t="s">
        <v>114</v>
      </c>
      <c r="F75" s="7"/>
      <c r="G75" s="7" t="s">
        <v>443</v>
      </c>
      <c r="H75" s="7"/>
      <c r="I75" s="7" t="s">
        <v>50</v>
      </c>
      <c r="J75" s="7" t="s">
        <v>55</v>
      </c>
      <c r="K75" s="7" t="s">
        <v>106</v>
      </c>
      <c r="L75" s="7" t="s">
        <v>111</v>
      </c>
      <c r="M75" s="12">
        <v>210713</v>
      </c>
      <c r="N75" s="7" t="s">
        <v>746</v>
      </c>
      <c r="O75" s="7" t="s">
        <v>113</v>
      </c>
    </row>
    <row r="76" spans="1:15">
      <c r="A76" s="7" t="s">
        <v>110</v>
      </c>
      <c r="B76" s="7" t="s">
        <v>246</v>
      </c>
      <c r="C76" s="7" t="s">
        <v>447</v>
      </c>
      <c r="D76" s="7"/>
      <c r="E76" s="7" t="s">
        <v>114</v>
      </c>
      <c r="F76" s="7"/>
      <c r="G76" s="7" t="s">
        <v>443</v>
      </c>
      <c r="H76" s="7"/>
      <c r="I76" s="7" t="s">
        <v>50</v>
      </c>
      <c r="J76" s="7" t="s">
        <v>55</v>
      </c>
      <c r="K76" s="7" t="s">
        <v>106</v>
      </c>
      <c r="L76" s="7" t="s">
        <v>111</v>
      </c>
      <c r="M76" s="12">
        <v>313496</v>
      </c>
      <c r="N76" s="7" t="s">
        <v>746</v>
      </c>
      <c r="O76" s="7" t="s">
        <v>113</v>
      </c>
    </row>
    <row r="77" spans="1:15" s="92" customFormat="1">
      <c r="A77" s="108" t="s">
        <v>110</v>
      </c>
      <c r="B77" s="108" t="s">
        <v>246</v>
      </c>
      <c r="C77" s="108" t="s">
        <v>448</v>
      </c>
      <c r="D77" s="108"/>
      <c r="E77" s="108" t="s">
        <v>90</v>
      </c>
      <c r="F77" s="108"/>
      <c r="G77" s="108" t="s">
        <v>442</v>
      </c>
      <c r="H77" s="108"/>
      <c r="I77" s="108" t="s">
        <v>50</v>
      </c>
      <c r="J77" s="108" t="s">
        <v>55</v>
      </c>
      <c r="K77" s="108" t="s">
        <v>106</v>
      </c>
      <c r="L77" s="108" t="s">
        <v>111</v>
      </c>
      <c r="M77" s="110">
        <v>1713</v>
      </c>
      <c r="N77" s="108" t="s">
        <v>746</v>
      </c>
      <c r="O77" s="108" t="s">
        <v>113</v>
      </c>
    </row>
    <row r="78" spans="1:15" s="92" customFormat="1">
      <c r="A78" s="108" t="s">
        <v>110</v>
      </c>
      <c r="B78" s="108" t="s">
        <v>246</v>
      </c>
      <c r="C78" s="108" t="s">
        <v>98</v>
      </c>
      <c r="D78" s="108"/>
      <c r="E78" s="108" t="s">
        <v>90</v>
      </c>
      <c r="F78" s="108"/>
      <c r="G78" s="108" t="s">
        <v>442</v>
      </c>
      <c r="H78" s="108"/>
      <c r="I78" s="108" t="s">
        <v>50</v>
      </c>
      <c r="J78" s="108" t="s">
        <v>55</v>
      </c>
      <c r="K78" s="108" t="s">
        <v>106</v>
      </c>
      <c r="L78" s="108" t="s">
        <v>111</v>
      </c>
      <c r="M78" s="110">
        <v>2746</v>
      </c>
      <c r="N78" s="108" t="s">
        <v>746</v>
      </c>
      <c r="O78" s="108" t="s">
        <v>113</v>
      </c>
    </row>
    <row r="79" spans="1:15" s="92" customFormat="1">
      <c r="A79" s="108" t="s">
        <v>110</v>
      </c>
      <c r="B79" s="108" t="s">
        <v>246</v>
      </c>
      <c r="C79" s="108" t="s">
        <v>85</v>
      </c>
      <c r="D79" s="108"/>
      <c r="E79" s="108" t="s">
        <v>90</v>
      </c>
      <c r="F79" s="108"/>
      <c r="G79" s="108" t="s">
        <v>442</v>
      </c>
      <c r="H79" s="108"/>
      <c r="I79" s="108" t="s">
        <v>50</v>
      </c>
      <c r="J79" s="108" t="s">
        <v>55</v>
      </c>
      <c r="K79" s="108" t="s">
        <v>106</v>
      </c>
      <c r="L79" s="108" t="s">
        <v>111</v>
      </c>
      <c r="M79" s="110" t="s">
        <v>118</v>
      </c>
      <c r="N79" s="108" t="s">
        <v>746</v>
      </c>
      <c r="O79" s="108" t="s">
        <v>113</v>
      </c>
    </row>
    <row r="80" spans="1:15">
      <c r="A80" s="7" t="s">
        <v>119</v>
      </c>
      <c r="B80" s="7"/>
      <c r="C80" s="7" t="s">
        <v>14</v>
      </c>
      <c r="D80" s="7"/>
      <c r="E80" s="7" t="s">
        <v>120</v>
      </c>
      <c r="F80" s="7"/>
      <c r="G80" s="7"/>
      <c r="H80" s="7"/>
      <c r="I80" s="7" t="s">
        <v>121</v>
      </c>
      <c r="J80" s="7" t="s">
        <v>122</v>
      </c>
      <c r="K80" s="7" t="s">
        <v>123</v>
      </c>
      <c r="L80" s="7" t="s">
        <v>124</v>
      </c>
      <c r="M80" s="12" t="s">
        <v>125</v>
      </c>
      <c r="N80" s="12"/>
      <c r="O80" s="7" t="s">
        <v>126</v>
      </c>
    </row>
    <row r="81" spans="1:15">
      <c r="A81" s="7" t="s">
        <v>119</v>
      </c>
      <c r="B81" s="7"/>
      <c r="C81" s="7" t="s">
        <v>14</v>
      </c>
      <c r="D81" s="7"/>
      <c r="E81" s="7" t="s">
        <v>127</v>
      </c>
      <c r="F81" s="7"/>
      <c r="G81" s="7"/>
      <c r="H81" s="7"/>
      <c r="I81" s="7" t="s">
        <v>121</v>
      </c>
      <c r="J81" s="7" t="s">
        <v>122</v>
      </c>
      <c r="K81" s="7" t="s">
        <v>123</v>
      </c>
      <c r="L81" s="7" t="s">
        <v>128</v>
      </c>
      <c r="M81" s="12" t="s">
        <v>129</v>
      </c>
      <c r="N81" s="12"/>
      <c r="O81" s="7" t="s">
        <v>126</v>
      </c>
    </row>
    <row r="82" spans="1:15">
      <c r="A82" s="7" t="s">
        <v>119</v>
      </c>
      <c r="B82" s="7"/>
      <c r="C82" s="7" t="s">
        <v>14</v>
      </c>
      <c r="D82" s="7"/>
      <c r="E82" s="7" t="s">
        <v>120</v>
      </c>
      <c r="F82" s="7"/>
      <c r="G82" s="7"/>
      <c r="H82" s="7"/>
      <c r="I82" s="7" t="s">
        <v>121</v>
      </c>
      <c r="J82" s="7" t="s">
        <v>122</v>
      </c>
      <c r="K82" s="7" t="s">
        <v>123</v>
      </c>
      <c r="L82" s="7" t="s">
        <v>124</v>
      </c>
      <c r="M82" s="12" t="s">
        <v>130</v>
      </c>
      <c r="N82" s="12"/>
      <c r="O82" s="7" t="s">
        <v>131</v>
      </c>
    </row>
    <row r="83" spans="1:15">
      <c r="A83" s="7" t="s">
        <v>119</v>
      </c>
      <c r="B83" s="7"/>
      <c r="C83" s="7" t="s">
        <v>14</v>
      </c>
      <c r="D83" s="7"/>
      <c r="E83" s="7" t="s">
        <v>127</v>
      </c>
      <c r="F83" s="7"/>
      <c r="G83" s="7"/>
      <c r="H83" s="7"/>
      <c r="I83" s="7" t="s">
        <v>121</v>
      </c>
      <c r="J83" s="7" t="s">
        <v>122</v>
      </c>
      <c r="K83" s="7" t="s">
        <v>123</v>
      </c>
      <c r="L83" s="7" t="s">
        <v>128</v>
      </c>
      <c r="M83" s="12" t="s">
        <v>132</v>
      </c>
      <c r="N83" s="12"/>
      <c r="O83" s="7" t="s">
        <v>131</v>
      </c>
    </row>
    <row r="84" spans="1:15">
      <c r="A84" s="7" t="s">
        <v>119</v>
      </c>
      <c r="B84" s="7"/>
      <c r="C84" s="7" t="s">
        <v>14</v>
      </c>
      <c r="D84" s="7"/>
      <c r="E84" s="7" t="s">
        <v>120</v>
      </c>
      <c r="F84" s="7"/>
      <c r="G84" s="7"/>
      <c r="H84" s="7"/>
      <c r="I84" s="7" t="s">
        <v>121</v>
      </c>
      <c r="J84" s="7" t="s">
        <v>122</v>
      </c>
      <c r="K84" s="7" t="s">
        <v>123</v>
      </c>
      <c r="L84" s="7" t="s">
        <v>124</v>
      </c>
      <c r="M84" s="12" t="s">
        <v>130</v>
      </c>
      <c r="N84" s="12"/>
      <c r="O84" s="7" t="s">
        <v>133</v>
      </c>
    </row>
    <row r="85" spans="1:15">
      <c r="A85" s="7" t="s">
        <v>119</v>
      </c>
      <c r="B85" s="7"/>
      <c r="C85" s="7" t="s">
        <v>14</v>
      </c>
      <c r="D85" s="7"/>
      <c r="E85" s="7" t="s">
        <v>127</v>
      </c>
      <c r="F85" s="7"/>
      <c r="G85" s="7"/>
      <c r="H85" s="7"/>
      <c r="I85" s="7" t="s">
        <v>121</v>
      </c>
      <c r="J85" s="7" t="s">
        <v>122</v>
      </c>
      <c r="K85" s="7" t="s">
        <v>123</v>
      </c>
      <c r="L85" s="7" t="s">
        <v>128</v>
      </c>
      <c r="M85" s="12" t="s">
        <v>134</v>
      </c>
      <c r="N85" s="12"/>
      <c r="O85" s="7" t="s">
        <v>133</v>
      </c>
    </row>
    <row r="86" spans="1:15">
      <c r="A86" s="14" t="s">
        <v>119</v>
      </c>
      <c r="B86" s="14"/>
      <c r="C86" s="7" t="s">
        <v>14</v>
      </c>
      <c r="D86" s="7"/>
      <c r="E86" s="14" t="s">
        <v>120</v>
      </c>
      <c r="F86" s="14"/>
      <c r="G86" s="14"/>
      <c r="H86" s="14"/>
      <c r="I86" s="7" t="s">
        <v>121</v>
      </c>
      <c r="J86" s="7" t="s">
        <v>122</v>
      </c>
      <c r="K86" s="7" t="s">
        <v>135</v>
      </c>
      <c r="L86" s="7" t="s">
        <v>136</v>
      </c>
      <c r="M86" s="12" t="s">
        <v>137</v>
      </c>
      <c r="N86" s="12"/>
      <c r="O86" s="7" t="s">
        <v>126</v>
      </c>
    </row>
    <row r="87" spans="1:15">
      <c r="A87" s="14" t="s">
        <v>119</v>
      </c>
      <c r="B87" s="14"/>
      <c r="C87" s="7" t="s">
        <v>14</v>
      </c>
      <c r="D87" s="7"/>
      <c r="E87" s="14" t="s">
        <v>120</v>
      </c>
      <c r="F87" s="14"/>
      <c r="G87" s="14"/>
      <c r="H87" s="14"/>
      <c r="I87" s="7" t="s">
        <v>121</v>
      </c>
      <c r="J87" s="7" t="s">
        <v>122</v>
      </c>
      <c r="K87" s="7" t="s">
        <v>138</v>
      </c>
      <c r="L87" s="7" t="s">
        <v>139</v>
      </c>
      <c r="M87" s="12" t="s">
        <v>130</v>
      </c>
      <c r="N87" s="12"/>
      <c r="O87" s="7" t="s">
        <v>126</v>
      </c>
    </row>
    <row r="88" spans="1:15">
      <c r="A88" s="14" t="s">
        <v>119</v>
      </c>
      <c r="B88" s="14"/>
      <c r="C88" s="7" t="s">
        <v>14</v>
      </c>
      <c r="D88" s="7"/>
      <c r="E88" s="14" t="s">
        <v>120</v>
      </c>
      <c r="F88" s="14"/>
      <c r="G88" s="14"/>
      <c r="H88" s="14"/>
      <c r="I88" s="7" t="s">
        <v>121</v>
      </c>
      <c r="J88" s="7" t="s">
        <v>122</v>
      </c>
      <c r="K88" s="7" t="s">
        <v>135</v>
      </c>
      <c r="L88" s="7" t="s">
        <v>136</v>
      </c>
      <c r="M88" s="12" t="s">
        <v>140</v>
      </c>
      <c r="N88" s="12"/>
      <c r="O88" s="7" t="s">
        <v>131</v>
      </c>
    </row>
    <row r="89" spans="1:15">
      <c r="A89" s="14" t="s">
        <v>119</v>
      </c>
      <c r="B89" s="14"/>
      <c r="C89" s="7" t="s">
        <v>14</v>
      </c>
      <c r="D89" s="7"/>
      <c r="E89" s="14" t="s">
        <v>120</v>
      </c>
      <c r="F89" s="14"/>
      <c r="G89" s="14"/>
      <c r="H89" s="14"/>
      <c r="I89" s="7" t="s">
        <v>121</v>
      </c>
      <c r="J89" s="7" t="s">
        <v>122</v>
      </c>
      <c r="K89" s="7" t="s">
        <v>138</v>
      </c>
      <c r="L89" s="7" t="s">
        <v>139</v>
      </c>
      <c r="M89" s="12" t="s">
        <v>141</v>
      </c>
      <c r="N89" s="12"/>
      <c r="O89" s="7" t="s">
        <v>131</v>
      </c>
    </row>
    <row r="90" spans="1:15">
      <c r="A90" s="14" t="s">
        <v>119</v>
      </c>
      <c r="B90" s="14"/>
      <c r="C90" s="7" t="s">
        <v>14</v>
      </c>
      <c r="D90" s="7"/>
      <c r="E90" s="14" t="s">
        <v>120</v>
      </c>
      <c r="F90" s="14"/>
      <c r="G90" s="14"/>
      <c r="H90" s="14"/>
      <c r="I90" s="7" t="s">
        <v>121</v>
      </c>
      <c r="J90" s="7" t="s">
        <v>122</v>
      </c>
      <c r="K90" s="7" t="s">
        <v>135</v>
      </c>
      <c r="L90" s="7" t="s">
        <v>136</v>
      </c>
      <c r="M90" s="12" t="s">
        <v>142</v>
      </c>
      <c r="N90" s="12"/>
      <c r="O90" s="7" t="s">
        <v>133</v>
      </c>
    </row>
    <row r="91" spans="1:15">
      <c r="A91" s="14" t="s">
        <v>119</v>
      </c>
      <c r="B91" s="14"/>
      <c r="C91" s="7" t="s">
        <v>14</v>
      </c>
      <c r="D91" s="7"/>
      <c r="E91" s="14" t="s">
        <v>120</v>
      </c>
      <c r="F91" s="14"/>
      <c r="G91" s="14"/>
      <c r="H91" s="14"/>
      <c r="I91" s="7" t="s">
        <v>121</v>
      </c>
      <c r="J91" s="7" t="s">
        <v>122</v>
      </c>
      <c r="K91" s="7" t="s">
        <v>138</v>
      </c>
      <c r="L91" s="7" t="s">
        <v>139</v>
      </c>
      <c r="M91" s="12" t="s">
        <v>141</v>
      </c>
      <c r="N91" s="12"/>
      <c r="O91" s="7" t="s">
        <v>133</v>
      </c>
    </row>
    <row r="92" spans="1:15">
      <c r="A92" s="14" t="s">
        <v>119</v>
      </c>
      <c r="B92" s="14"/>
      <c r="C92" s="14" t="s">
        <v>14</v>
      </c>
      <c r="D92" s="14"/>
      <c r="E92" s="7" t="s">
        <v>120</v>
      </c>
      <c r="F92" s="7"/>
      <c r="G92" s="7"/>
      <c r="H92" s="7"/>
      <c r="I92" s="7" t="s">
        <v>121</v>
      </c>
      <c r="J92" s="7" t="s">
        <v>122</v>
      </c>
      <c r="K92" s="7" t="s">
        <v>138</v>
      </c>
      <c r="L92" s="7" t="s">
        <v>143</v>
      </c>
      <c r="M92" s="12" t="s">
        <v>144</v>
      </c>
      <c r="N92" s="12"/>
      <c r="O92" s="7" t="s">
        <v>145</v>
      </c>
    </row>
    <row r="93" spans="1:15">
      <c r="A93" s="14" t="s">
        <v>119</v>
      </c>
      <c r="B93" s="14"/>
      <c r="C93" s="14" t="s">
        <v>14</v>
      </c>
      <c r="D93" s="14"/>
      <c r="E93" s="7" t="s">
        <v>127</v>
      </c>
      <c r="F93" s="7"/>
      <c r="G93" s="7"/>
      <c r="H93" s="7"/>
      <c r="I93" s="7" t="s">
        <v>121</v>
      </c>
      <c r="J93" s="7" t="s">
        <v>122</v>
      </c>
      <c r="K93" s="7" t="s">
        <v>138</v>
      </c>
      <c r="L93" s="7" t="s">
        <v>146</v>
      </c>
      <c r="M93" s="12" t="s">
        <v>147</v>
      </c>
      <c r="N93" s="12"/>
      <c r="O93" s="7" t="s">
        <v>145</v>
      </c>
    </row>
    <row r="94" spans="1:15">
      <c r="A94" s="14" t="s">
        <v>119</v>
      </c>
      <c r="B94" s="14"/>
      <c r="C94" s="14" t="s">
        <v>14</v>
      </c>
      <c r="D94" s="14"/>
      <c r="E94" s="7" t="s">
        <v>120</v>
      </c>
      <c r="F94" s="7"/>
      <c r="G94" s="7"/>
      <c r="H94" s="7"/>
      <c r="I94" s="7" t="s">
        <v>121</v>
      </c>
      <c r="J94" s="7" t="s">
        <v>122</v>
      </c>
      <c r="K94" s="7" t="s">
        <v>138</v>
      </c>
      <c r="L94" s="7" t="s">
        <v>143</v>
      </c>
      <c r="M94" s="12" t="s">
        <v>148</v>
      </c>
      <c r="N94" s="12"/>
      <c r="O94" s="7" t="s">
        <v>149</v>
      </c>
    </row>
    <row r="95" spans="1:15">
      <c r="A95" s="14" t="s">
        <v>119</v>
      </c>
      <c r="B95" s="14"/>
      <c r="C95" s="14" t="s">
        <v>14</v>
      </c>
      <c r="D95" s="14"/>
      <c r="E95" s="7" t="s">
        <v>127</v>
      </c>
      <c r="F95" s="7"/>
      <c r="G95" s="7"/>
      <c r="H95" s="7"/>
      <c r="I95" s="7" t="s">
        <v>121</v>
      </c>
      <c r="J95" s="7" t="s">
        <v>122</v>
      </c>
      <c r="K95" s="7" t="s">
        <v>138</v>
      </c>
      <c r="L95" s="7" t="s">
        <v>146</v>
      </c>
      <c r="M95" s="12" t="s">
        <v>150</v>
      </c>
      <c r="N95" s="12"/>
      <c r="O95" s="7" t="s">
        <v>149</v>
      </c>
    </row>
    <row r="96" spans="1:15">
      <c r="A96" s="14" t="s">
        <v>119</v>
      </c>
      <c r="B96" s="14"/>
      <c r="C96" s="14" t="s">
        <v>14</v>
      </c>
      <c r="D96" s="14"/>
      <c r="E96" s="14" t="s">
        <v>127</v>
      </c>
      <c r="F96" s="14"/>
      <c r="G96" s="14"/>
      <c r="H96" s="14"/>
      <c r="I96" s="7" t="s">
        <v>121</v>
      </c>
      <c r="J96" s="7" t="s">
        <v>122</v>
      </c>
      <c r="K96" s="7" t="s">
        <v>151</v>
      </c>
      <c r="L96" s="7" t="s">
        <v>152</v>
      </c>
      <c r="M96" s="12" t="s">
        <v>153</v>
      </c>
      <c r="N96" s="12"/>
      <c r="O96" s="7" t="s">
        <v>154</v>
      </c>
    </row>
    <row r="97" spans="1:15">
      <c r="A97" s="14" t="s">
        <v>119</v>
      </c>
      <c r="B97" s="14"/>
      <c r="C97" s="14" t="s">
        <v>14</v>
      </c>
      <c r="D97" s="14"/>
      <c r="E97" s="14" t="s">
        <v>120</v>
      </c>
      <c r="F97" s="14"/>
      <c r="G97" s="14"/>
      <c r="H97" s="14"/>
      <c r="I97" s="7" t="s">
        <v>121</v>
      </c>
      <c r="J97" s="7" t="s">
        <v>122</v>
      </c>
      <c r="K97" s="7" t="s">
        <v>151</v>
      </c>
      <c r="L97" s="7" t="s">
        <v>155</v>
      </c>
      <c r="M97" s="12" t="s">
        <v>156</v>
      </c>
      <c r="N97" s="12"/>
      <c r="O97" s="7" t="s">
        <v>154</v>
      </c>
    </row>
    <row r="98" spans="1:15">
      <c r="A98" s="14" t="s">
        <v>119</v>
      </c>
      <c r="B98" s="14"/>
      <c r="C98" s="14" t="s">
        <v>14</v>
      </c>
      <c r="D98" s="14"/>
      <c r="E98" s="14" t="s">
        <v>127</v>
      </c>
      <c r="F98" s="14"/>
      <c r="G98" s="14"/>
      <c r="H98" s="14"/>
      <c r="I98" s="7" t="s">
        <v>121</v>
      </c>
      <c r="J98" s="7" t="s">
        <v>122</v>
      </c>
      <c r="K98" s="7" t="s">
        <v>157</v>
      </c>
      <c r="L98" s="7" t="s">
        <v>152</v>
      </c>
      <c r="M98" s="12" t="s">
        <v>158</v>
      </c>
      <c r="N98" s="12"/>
      <c r="O98" s="7" t="s">
        <v>154</v>
      </c>
    </row>
    <row r="99" spans="1:15">
      <c r="A99" s="14" t="s">
        <v>119</v>
      </c>
      <c r="B99" s="14"/>
      <c r="C99" s="14" t="s">
        <v>14</v>
      </c>
      <c r="D99" s="14"/>
      <c r="E99" s="14" t="s">
        <v>120</v>
      </c>
      <c r="F99" s="14"/>
      <c r="G99" s="14"/>
      <c r="H99" s="14"/>
      <c r="I99" s="7" t="s">
        <v>121</v>
      </c>
      <c r="J99" s="7" t="s">
        <v>122</v>
      </c>
      <c r="K99" s="7" t="s">
        <v>157</v>
      </c>
      <c r="L99" s="7" t="s">
        <v>155</v>
      </c>
      <c r="M99" s="12" t="s">
        <v>159</v>
      </c>
      <c r="N99" s="12"/>
      <c r="O99" s="7" t="s">
        <v>154</v>
      </c>
    </row>
    <row r="100" spans="1:15">
      <c r="A100" s="14" t="s">
        <v>119</v>
      </c>
      <c r="B100" s="14"/>
      <c r="C100" s="14" t="s">
        <v>14</v>
      </c>
      <c r="D100" s="14"/>
      <c r="E100" s="14" t="s">
        <v>127</v>
      </c>
      <c r="F100" s="14"/>
      <c r="G100" s="14"/>
      <c r="H100" s="14"/>
      <c r="I100" s="7" t="s">
        <v>121</v>
      </c>
      <c r="J100" s="7" t="s">
        <v>122</v>
      </c>
      <c r="K100" s="7" t="s">
        <v>138</v>
      </c>
      <c r="L100" s="7" t="s">
        <v>146</v>
      </c>
      <c r="M100" s="12" t="s">
        <v>160</v>
      </c>
      <c r="N100" s="12"/>
      <c r="O100" s="7" t="s">
        <v>154</v>
      </c>
    </row>
    <row r="101" spans="1:15">
      <c r="A101" s="14" t="s">
        <v>119</v>
      </c>
      <c r="B101" s="14"/>
      <c r="C101" s="14" t="s">
        <v>14</v>
      </c>
      <c r="D101" s="14"/>
      <c r="E101" s="14" t="s">
        <v>120</v>
      </c>
      <c r="F101" s="14"/>
      <c r="G101" s="14"/>
      <c r="H101" s="14"/>
      <c r="I101" s="7" t="s">
        <v>121</v>
      </c>
      <c r="J101" s="7" t="s">
        <v>122</v>
      </c>
      <c r="K101" s="7" t="s">
        <v>138</v>
      </c>
      <c r="L101" s="7" t="s">
        <v>161</v>
      </c>
      <c r="M101" s="12" t="s">
        <v>162</v>
      </c>
      <c r="N101" s="12"/>
      <c r="O101" s="7" t="s">
        <v>154</v>
      </c>
    </row>
    <row r="102" spans="1:15">
      <c r="A102" s="14" t="s">
        <v>119</v>
      </c>
      <c r="B102" s="14"/>
      <c r="C102" s="7" t="s">
        <v>14</v>
      </c>
      <c r="D102" s="7"/>
      <c r="E102" s="14" t="s">
        <v>127</v>
      </c>
      <c r="F102" s="14"/>
      <c r="G102" s="14"/>
      <c r="H102" s="14"/>
      <c r="I102" s="7" t="s">
        <v>121</v>
      </c>
      <c r="J102" s="7" t="s">
        <v>122</v>
      </c>
      <c r="K102" s="7" t="s">
        <v>163</v>
      </c>
      <c r="L102" s="7" t="s">
        <v>164</v>
      </c>
      <c r="M102" s="12" t="s">
        <v>165</v>
      </c>
      <c r="N102" s="12"/>
      <c r="O102" s="7" t="s">
        <v>166</v>
      </c>
    </row>
    <row r="103" spans="1:15">
      <c r="A103" s="14" t="s">
        <v>119</v>
      </c>
      <c r="B103" s="14"/>
      <c r="C103" s="7" t="s">
        <v>14</v>
      </c>
      <c r="D103" s="7"/>
      <c r="E103" s="14" t="s">
        <v>120</v>
      </c>
      <c r="F103" s="14"/>
      <c r="G103" s="14"/>
      <c r="H103" s="14"/>
      <c r="I103" s="7" t="s">
        <v>121</v>
      </c>
      <c r="J103" s="7" t="s">
        <v>122</v>
      </c>
      <c r="K103" s="7" t="s">
        <v>163</v>
      </c>
      <c r="L103" s="7" t="s">
        <v>167</v>
      </c>
      <c r="M103" s="12" t="s">
        <v>168</v>
      </c>
      <c r="N103" s="12"/>
      <c r="O103" s="7" t="s">
        <v>166</v>
      </c>
    </row>
    <row r="104" spans="1:15">
      <c r="A104" s="14" t="s">
        <v>119</v>
      </c>
      <c r="B104" s="14"/>
      <c r="C104" s="7" t="s">
        <v>14</v>
      </c>
      <c r="D104" s="7"/>
      <c r="E104" s="14" t="s">
        <v>127</v>
      </c>
      <c r="F104" s="14"/>
      <c r="G104" s="14"/>
      <c r="H104" s="14"/>
      <c r="I104" s="7" t="s">
        <v>121</v>
      </c>
      <c r="J104" s="7" t="s">
        <v>122</v>
      </c>
      <c r="K104" s="7" t="s">
        <v>163</v>
      </c>
      <c r="L104" s="7" t="s">
        <v>164</v>
      </c>
      <c r="M104" s="12" t="s">
        <v>169</v>
      </c>
      <c r="N104" s="12"/>
      <c r="O104" s="7" t="s">
        <v>170</v>
      </c>
    </row>
    <row r="105" spans="1:15">
      <c r="A105" s="14" t="s">
        <v>119</v>
      </c>
      <c r="B105" s="14"/>
      <c r="C105" s="7" t="s">
        <v>14</v>
      </c>
      <c r="D105" s="7"/>
      <c r="E105" s="14" t="s">
        <v>120</v>
      </c>
      <c r="F105" s="14"/>
      <c r="G105" s="14"/>
      <c r="H105" s="14"/>
      <c r="I105" s="7" t="s">
        <v>121</v>
      </c>
      <c r="J105" s="7" t="s">
        <v>122</v>
      </c>
      <c r="K105" s="7" t="s">
        <v>163</v>
      </c>
      <c r="L105" s="7" t="s">
        <v>167</v>
      </c>
      <c r="M105" s="12" t="s">
        <v>171</v>
      </c>
      <c r="N105" s="12"/>
      <c r="O105" s="7" t="s">
        <v>170</v>
      </c>
    </row>
    <row r="106" spans="1:15">
      <c r="A106" s="14" t="s">
        <v>119</v>
      </c>
      <c r="B106" s="14"/>
      <c r="C106" s="7" t="s">
        <v>14</v>
      </c>
      <c r="D106" s="7"/>
      <c r="E106" s="14" t="s">
        <v>120</v>
      </c>
      <c r="F106" s="14"/>
      <c r="G106" s="14"/>
      <c r="H106" s="14"/>
      <c r="I106" s="7" t="s">
        <v>121</v>
      </c>
      <c r="J106" s="7" t="s">
        <v>122</v>
      </c>
      <c r="K106" s="7" t="s">
        <v>163</v>
      </c>
      <c r="L106" s="7" t="s">
        <v>172</v>
      </c>
      <c r="M106" s="12" t="s">
        <v>129</v>
      </c>
      <c r="N106" s="12"/>
      <c r="O106" s="7" t="s">
        <v>173</v>
      </c>
    </row>
    <row r="107" spans="1:15">
      <c r="A107" s="14" t="s">
        <v>119</v>
      </c>
      <c r="B107" s="14"/>
      <c r="C107" s="7" t="s">
        <v>14</v>
      </c>
      <c r="D107" s="7"/>
      <c r="E107" s="14" t="s">
        <v>127</v>
      </c>
      <c r="F107" s="14"/>
      <c r="G107" s="14"/>
      <c r="H107" s="14"/>
      <c r="I107" s="7" t="s">
        <v>121</v>
      </c>
      <c r="J107" s="7" t="s">
        <v>122</v>
      </c>
      <c r="K107" s="7" t="s">
        <v>163</v>
      </c>
      <c r="L107" s="7" t="s">
        <v>152</v>
      </c>
      <c r="M107" s="12" t="s">
        <v>130</v>
      </c>
      <c r="N107" s="12"/>
      <c r="O107" s="7" t="s">
        <v>173</v>
      </c>
    </row>
    <row r="108" spans="1:15">
      <c r="A108" s="14" t="s">
        <v>119</v>
      </c>
      <c r="B108" s="14"/>
      <c r="C108" s="7" t="s">
        <v>14</v>
      </c>
      <c r="D108" s="7"/>
      <c r="E108" s="14" t="s">
        <v>120</v>
      </c>
      <c r="F108" s="14"/>
      <c r="G108" s="14"/>
      <c r="H108" s="14"/>
      <c r="I108" s="7" t="s">
        <v>121</v>
      </c>
      <c r="J108" s="7" t="s">
        <v>122</v>
      </c>
      <c r="K108" s="7" t="s">
        <v>163</v>
      </c>
      <c r="L108" s="7" t="s">
        <v>172</v>
      </c>
      <c r="M108" s="12" t="s">
        <v>174</v>
      </c>
      <c r="N108" s="12"/>
      <c r="O108" s="7" t="s">
        <v>175</v>
      </c>
    </row>
    <row r="109" spans="1:15">
      <c r="A109" s="14" t="s">
        <v>119</v>
      </c>
      <c r="B109" s="14"/>
      <c r="C109" s="7" t="s">
        <v>14</v>
      </c>
      <c r="D109" s="7"/>
      <c r="E109" s="14" t="s">
        <v>127</v>
      </c>
      <c r="F109" s="14"/>
      <c r="G109" s="14"/>
      <c r="H109" s="14"/>
      <c r="I109" s="7" t="s">
        <v>121</v>
      </c>
      <c r="J109" s="7" t="s">
        <v>122</v>
      </c>
      <c r="K109" s="7" t="s">
        <v>163</v>
      </c>
      <c r="L109" s="7" t="s">
        <v>152</v>
      </c>
      <c r="M109" s="12" t="s">
        <v>176</v>
      </c>
      <c r="N109" s="12"/>
      <c r="O109" s="7" t="s">
        <v>175</v>
      </c>
    </row>
    <row r="110" spans="1:15">
      <c r="A110" s="14" t="s">
        <v>119</v>
      </c>
      <c r="B110" s="14"/>
      <c r="C110" s="7" t="s">
        <v>14</v>
      </c>
      <c r="D110" s="7"/>
      <c r="E110" s="14" t="s">
        <v>120</v>
      </c>
      <c r="F110" s="14"/>
      <c r="G110" s="14"/>
      <c r="H110" s="14"/>
      <c r="I110" s="7" t="s">
        <v>121</v>
      </c>
      <c r="J110" s="7" t="s">
        <v>122</v>
      </c>
      <c r="K110" s="7" t="s">
        <v>138</v>
      </c>
      <c r="L110" s="7" t="s">
        <v>177</v>
      </c>
      <c r="M110" s="12" t="s">
        <v>132</v>
      </c>
      <c r="N110" s="12"/>
      <c r="O110" s="7" t="s">
        <v>173</v>
      </c>
    </row>
    <row r="111" spans="1:15">
      <c r="A111" s="14" t="s">
        <v>119</v>
      </c>
      <c r="B111" s="14"/>
      <c r="C111" s="7" t="s">
        <v>14</v>
      </c>
      <c r="D111" s="7"/>
      <c r="E111" s="14" t="s">
        <v>127</v>
      </c>
      <c r="F111" s="14"/>
      <c r="G111" s="14"/>
      <c r="H111" s="14"/>
      <c r="I111" s="7" t="s">
        <v>121</v>
      </c>
      <c r="J111" s="7" t="s">
        <v>122</v>
      </c>
      <c r="K111" s="7" t="s">
        <v>138</v>
      </c>
      <c r="L111" s="7" t="s">
        <v>178</v>
      </c>
      <c r="M111" s="12" t="s">
        <v>179</v>
      </c>
      <c r="N111" s="12"/>
      <c r="O111" s="7" t="s">
        <v>173</v>
      </c>
    </row>
    <row r="112" spans="1:15">
      <c r="A112" s="14" t="s">
        <v>119</v>
      </c>
      <c r="B112" s="14"/>
      <c r="C112" s="7" t="s">
        <v>14</v>
      </c>
      <c r="D112" s="7"/>
      <c r="E112" s="14" t="s">
        <v>120</v>
      </c>
      <c r="F112" s="14"/>
      <c r="G112" s="14"/>
      <c r="H112" s="14"/>
      <c r="I112" s="7" t="s">
        <v>121</v>
      </c>
      <c r="J112" s="7" t="s">
        <v>122</v>
      </c>
      <c r="K112" s="7" t="s">
        <v>138</v>
      </c>
      <c r="L112" s="7" t="s">
        <v>177</v>
      </c>
      <c r="M112" s="12" t="s">
        <v>180</v>
      </c>
      <c r="N112" s="12"/>
      <c r="O112" s="7" t="s">
        <v>175</v>
      </c>
    </row>
    <row r="113" spans="1:15">
      <c r="A113" s="14" t="s">
        <v>119</v>
      </c>
      <c r="B113" s="14"/>
      <c r="C113" s="7" t="s">
        <v>14</v>
      </c>
      <c r="D113" s="7"/>
      <c r="E113" s="14" t="s">
        <v>127</v>
      </c>
      <c r="F113" s="14"/>
      <c r="G113" s="14"/>
      <c r="H113" s="14"/>
      <c r="I113" s="7" t="s">
        <v>121</v>
      </c>
      <c r="J113" s="7" t="s">
        <v>122</v>
      </c>
      <c r="K113" s="7" t="s">
        <v>138</v>
      </c>
      <c r="L113" s="7" t="s">
        <v>178</v>
      </c>
      <c r="M113" s="12" t="s">
        <v>181</v>
      </c>
      <c r="N113" s="12"/>
      <c r="O113" s="7" t="s">
        <v>175</v>
      </c>
    </row>
    <row r="114" spans="1:15">
      <c r="A114" s="7" t="s">
        <v>119</v>
      </c>
      <c r="B114" s="7"/>
      <c r="C114" s="7" t="s">
        <v>182</v>
      </c>
      <c r="D114" s="7"/>
      <c r="E114" s="7" t="s">
        <v>120</v>
      </c>
      <c r="F114" s="7"/>
      <c r="G114" s="7"/>
      <c r="H114" s="7"/>
      <c r="I114" s="7" t="s">
        <v>121</v>
      </c>
      <c r="J114" s="7" t="s">
        <v>122</v>
      </c>
      <c r="K114" s="7" t="s">
        <v>123</v>
      </c>
      <c r="L114" s="7" t="s">
        <v>124</v>
      </c>
      <c r="M114" s="12" t="s">
        <v>125</v>
      </c>
      <c r="N114" s="12"/>
      <c r="O114" s="7" t="s">
        <v>183</v>
      </c>
    </row>
    <row r="115" spans="1:15">
      <c r="A115" s="7" t="s">
        <v>119</v>
      </c>
      <c r="B115" s="7"/>
      <c r="C115" s="7" t="s">
        <v>182</v>
      </c>
      <c r="D115" s="7"/>
      <c r="E115" s="7" t="s">
        <v>127</v>
      </c>
      <c r="F115" s="7"/>
      <c r="G115" s="7"/>
      <c r="H115" s="7"/>
      <c r="I115" s="7" t="s">
        <v>121</v>
      </c>
      <c r="J115" s="7" t="s">
        <v>122</v>
      </c>
      <c r="K115" s="7" t="s">
        <v>123</v>
      </c>
      <c r="L115" s="7" t="s">
        <v>128</v>
      </c>
      <c r="M115" s="12" t="s">
        <v>184</v>
      </c>
      <c r="N115" s="12"/>
      <c r="O115" s="7" t="s">
        <v>183</v>
      </c>
    </row>
    <row r="116" spans="1:15">
      <c r="A116" s="7" t="s">
        <v>119</v>
      </c>
      <c r="B116" s="7"/>
      <c r="C116" s="7" t="s">
        <v>182</v>
      </c>
      <c r="D116" s="7"/>
      <c r="E116" s="7" t="s">
        <v>120</v>
      </c>
      <c r="F116" s="7"/>
      <c r="G116" s="7"/>
      <c r="H116" s="7"/>
      <c r="I116" s="7" t="s">
        <v>121</v>
      </c>
      <c r="J116" s="7" t="s">
        <v>122</v>
      </c>
      <c r="K116" s="7" t="s">
        <v>123</v>
      </c>
      <c r="L116" s="7" t="s">
        <v>124</v>
      </c>
      <c r="M116" s="12" t="s">
        <v>168</v>
      </c>
      <c r="N116" s="12"/>
      <c r="O116" s="7" t="s">
        <v>185</v>
      </c>
    </row>
    <row r="117" spans="1:15">
      <c r="A117" s="7" t="s">
        <v>119</v>
      </c>
      <c r="B117" s="7"/>
      <c r="C117" s="7" t="s">
        <v>182</v>
      </c>
      <c r="D117" s="7"/>
      <c r="E117" s="7" t="s">
        <v>127</v>
      </c>
      <c r="F117" s="7"/>
      <c r="G117" s="7"/>
      <c r="H117" s="7"/>
      <c r="I117" s="7" t="s">
        <v>121</v>
      </c>
      <c r="J117" s="7" t="s">
        <v>122</v>
      </c>
      <c r="K117" s="7" t="s">
        <v>123</v>
      </c>
      <c r="L117" s="7" t="s">
        <v>128</v>
      </c>
      <c r="M117" s="12" t="s">
        <v>186</v>
      </c>
      <c r="N117" s="12"/>
      <c r="O117" s="7" t="s">
        <v>185</v>
      </c>
    </row>
    <row r="118" spans="1:15">
      <c r="A118" s="7" t="s">
        <v>119</v>
      </c>
      <c r="B118" s="7"/>
      <c r="C118" s="7" t="s">
        <v>182</v>
      </c>
      <c r="D118" s="7"/>
      <c r="E118" s="7" t="s">
        <v>120</v>
      </c>
      <c r="F118" s="7"/>
      <c r="G118" s="7"/>
      <c r="H118" s="7"/>
      <c r="I118" s="7" t="s">
        <v>121</v>
      </c>
      <c r="J118" s="7" t="s">
        <v>122</v>
      </c>
      <c r="K118" s="7" t="s">
        <v>123</v>
      </c>
      <c r="L118" s="7" t="s">
        <v>124</v>
      </c>
      <c r="M118" s="12" t="s">
        <v>174</v>
      </c>
      <c r="N118" s="12"/>
      <c r="O118" s="7" t="s">
        <v>187</v>
      </c>
    </row>
    <row r="119" spans="1:15">
      <c r="A119" s="7" t="s">
        <v>119</v>
      </c>
      <c r="B119" s="7"/>
      <c r="C119" s="7" t="s">
        <v>182</v>
      </c>
      <c r="D119" s="7"/>
      <c r="E119" s="7" t="s">
        <v>127</v>
      </c>
      <c r="F119" s="7"/>
      <c r="G119" s="7"/>
      <c r="H119" s="7"/>
      <c r="I119" s="7" t="s">
        <v>121</v>
      </c>
      <c r="J119" s="7" t="s">
        <v>122</v>
      </c>
      <c r="K119" s="7" t="s">
        <v>123</v>
      </c>
      <c r="L119" s="7" t="s">
        <v>128</v>
      </c>
      <c r="M119" s="12" t="s">
        <v>188</v>
      </c>
      <c r="N119" s="12"/>
      <c r="O119" s="7" t="s">
        <v>187</v>
      </c>
    </row>
    <row r="120" spans="1:15">
      <c r="A120" s="14" t="s">
        <v>119</v>
      </c>
      <c r="B120" s="14"/>
      <c r="C120" s="7" t="s">
        <v>182</v>
      </c>
      <c r="D120" s="7"/>
      <c r="E120" s="14" t="s">
        <v>120</v>
      </c>
      <c r="F120" s="14"/>
      <c r="G120" s="14"/>
      <c r="H120" s="14"/>
      <c r="I120" s="7" t="s">
        <v>121</v>
      </c>
      <c r="J120" s="7" t="s">
        <v>122</v>
      </c>
      <c r="K120" s="7" t="s">
        <v>135</v>
      </c>
      <c r="L120" s="7" t="s">
        <v>136</v>
      </c>
      <c r="M120" s="12" t="s">
        <v>189</v>
      </c>
      <c r="N120" s="12"/>
      <c r="O120" s="7" t="s">
        <v>183</v>
      </c>
    </row>
    <row r="121" spans="1:15">
      <c r="A121" s="14" t="s">
        <v>119</v>
      </c>
      <c r="B121" s="14"/>
      <c r="C121" s="7" t="s">
        <v>182</v>
      </c>
      <c r="D121" s="7"/>
      <c r="E121" s="14" t="s">
        <v>120</v>
      </c>
      <c r="F121" s="14"/>
      <c r="G121" s="14"/>
      <c r="H121" s="14"/>
      <c r="I121" s="7" t="s">
        <v>121</v>
      </c>
      <c r="J121" s="7" t="s">
        <v>122</v>
      </c>
      <c r="K121" s="7" t="s">
        <v>138</v>
      </c>
      <c r="L121" s="7" t="s">
        <v>139</v>
      </c>
      <c r="M121" s="12" t="s">
        <v>130</v>
      </c>
      <c r="N121" s="12"/>
      <c r="O121" s="7" t="s">
        <v>183</v>
      </c>
    </row>
    <row r="122" spans="1:15">
      <c r="A122" s="14" t="s">
        <v>119</v>
      </c>
      <c r="B122" s="14"/>
      <c r="C122" s="7" t="s">
        <v>182</v>
      </c>
      <c r="D122" s="7"/>
      <c r="E122" s="14" t="s">
        <v>120</v>
      </c>
      <c r="F122" s="14"/>
      <c r="G122" s="14"/>
      <c r="H122" s="14"/>
      <c r="I122" s="7" t="s">
        <v>121</v>
      </c>
      <c r="J122" s="7" t="s">
        <v>122</v>
      </c>
      <c r="K122" s="7" t="s">
        <v>135</v>
      </c>
      <c r="L122" s="7" t="s">
        <v>136</v>
      </c>
      <c r="M122" s="12" t="s">
        <v>190</v>
      </c>
      <c r="N122" s="12"/>
      <c r="O122" s="7" t="s">
        <v>185</v>
      </c>
    </row>
    <row r="123" spans="1:15">
      <c r="A123" s="14" t="s">
        <v>119</v>
      </c>
      <c r="B123" s="14"/>
      <c r="C123" s="7" t="s">
        <v>182</v>
      </c>
      <c r="D123" s="7"/>
      <c r="E123" s="14" t="s">
        <v>120</v>
      </c>
      <c r="F123" s="14"/>
      <c r="G123" s="14"/>
      <c r="H123" s="14"/>
      <c r="I123" s="7" t="s">
        <v>121</v>
      </c>
      <c r="J123" s="7" t="s">
        <v>122</v>
      </c>
      <c r="K123" s="7" t="s">
        <v>138</v>
      </c>
      <c r="L123" s="7" t="s">
        <v>139</v>
      </c>
      <c r="M123" s="12" t="s">
        <v>130</v>
      </c>
      <c r="N123" s="12"/>
      <c r="O123" s="7" t="s">
        <v>185</v>
      </c>
    </row>
    <row r="124" spans="1:15">
      <c r="A124" s="14" t="s">
        <v>119</v>
      </c>
      <c r="B124" s="14"/>
      <c r="C124" s="7" t="s">
        <v>182</v>
      </c>
      <c r="D124" s="7"/>
      <c r="E124" s="14" t="s">
        <v>120</v>
      </c>
      <c r="F124" s="14"/>
      <c r="G124" s="14"/>
      <c r="H124" s="14"/>
      <c r="I124" s="7" t="s">
        <v>121</v>
      </c>
      <c r="J124" s="7" t="s">
        <v>122</v>
      </c>
      <c r="K124" s="7" t="s">
        <v>135</v>
      </c>
      <c r="L124" s="7" t="s">
        <v>136</v>
      </c>
      <c r="M124" s="12" t="s">
        <v>191</v>
      </c>
      <c r="N124" s="12"/>
      <c r="O124" s="7" t="s">
        <v>187</v>
      </c>
    </row>
    <row r="125" spans="1:15">
      <c r="A125" s="14" t="s">
        <v>119</v>
      </c>
      <c r="B125" s="14"/>
      <c r="C125" s="7" t="s">
        <v>182</v>
      </c>
      <c r="D125" s="7"/>
      <c r="E125" s="14" t="s">
        <v>120</v>
      </c>
      <c r="F125" s="14"/>
      <c r="G125" s="14"/>
      <c r="H125" s="14"/>
      <c r="I125" s="7" t="s">
        <v>121</v>
      </c>
      <c r="J125" s="7" t="s">
        <v>122</v>
      </c>
      <c r="K125" s="7" t="s">
        <v>138</v>
      </c>
      <c r="L125" s="7" t="s">
        <v>139</v>
      </c>
      <c r="M125" s="12" t="s">
        <v>192</v>
      </c>
      <c r="N125" s="12"/>
      <c r="O125" s="7" t="s">
        <v>187</v>
      </c>
    </row>
    <row r="126" spans="1:15">
      <c r="A126" s="14" t="s">
        <v>119</v>
      </c>
      <c r="B126" s="14"/>
      <c r="C126" s="14" t="s">
        <v>182</v>
      </c>
      <c r="D126" s="14"/>
      <c r="E126" s="14" t="s">
        <v>120</v>
      </c>
      <c r="F126" s="14"/>
      <c r="G126" s="14"/>
      <c r="H126" s="14"/>
      <c r="I126" s="7" t="s">
        <v>121</v>
      </c>
      <c r="J126" s="7" t="s">
        <v>122</v>
      </c>
      <c r="K126" s="7" t="s">
        <v>135</v>
      </c>
      <c r="L126" s="7" t="s">
        <v>193</v>
      </c>
      <c r="M126" s="12" t="s">
        <v>130</v>
      </c>
      <c r="N126" s="12"/>
      <c r="O126" s="14" t="s">
        <v>194</v>
      </c>
    </row>
    <row r="127" spans="1:15">
      <c r="A127" s="14" t="s">
        <v>119</v>
      </c>
      <c r="B127" s="14"/>
      <c r="C127" s="14" t="s">
        <v>182</v>
      </c>
      <c r="D127" s="14"/>
      <c r="E127" s="14" t="s">
        <v>120</v>
      </c>
      <c r="F127" s="14"/>
      <c r="G127" s="14"/>
      <c r="H127" s="14"/>
      <c r="I127" s="7" t="s">
        <v>121</v>
      </c>
      <c r="J127" s="7" t="s">
        <v>122</v>
      </c>
      <c r="K127" s="7" t="s">
        <v>138</v>
      </c>
      <c r="L127" s="7" t="s">
        <v>161</v>
      </c>
      <c r="M127" s="12" t="s">
        <v>195</v>
      </c>
      <c r="N127" s="12"/>
      <c r="O127" s="14" t="s">
        <v>194</v>
      </c>
    </row>
    <row r="128" spans="1:15">
      <c r="A128" s="14" t="s">
        <v>119</v>
      </c>
      <c r="B128" s="14"/>
      <c r="C128" s="14" t="s">
        <v>182</v>
      </c>
      <c r="D128" s="14"/>
      <c r="E128" s="14" t="s">
        <v>127</v>
      </c>
      <c r="F128" s="14"/>
      <c r="G128" s="14"/>
      <c r="H128" s="14"/>
      <c r="I128" s="7" t="s">
        <v>121</v>
      </c>
      <c r="J128" s="7" t="s">
        <v>122</v>
      </c>
      <c r="K128" s="7" t="s">
        <v>138</v>
      </c>
      <c r="L128" s="7" t="s">
        <v>196</v>
      </c>
      <c r="M128" s="12" t="s">
        <v>197</v>
      </c>
      <c r="N128" s="12"/>
      <c r="O128" s="14" t="s">
        <v>194</v>
      </c>
    </row>
    <row r="129" spans="1:15">
      <c r="A129" s="14" t="s">
        <v>119</v>
      </c>
      <c r="B129" s="14"/>
      <c r="C129" s="7" t="s">
        <v>182</v>
      </c>
      <c r="D129" s="7"/>
      <c r="E129" s="14" t="s">
        <v>127</v>
      </c>
      <c r="F129" s="14"/>
      <c r="G129" s="14"/>
      <c r="H129" s="14"/>
      <c r="I129" s="7" t="s">
        <v>121</v>
      </c>
      <c r="J129" s="7" t="s">
        <v>122</v>
      </c>
      <c r="K129" s="7" t="s">
        <v>163</v>
      </c>
      <c r="L129" s="7" t="s">
        <v>164</v>
      </c>
      <c r="M129" s="12" t="s">
        <v>198</v>
      </c>
      <c r="N129" s="12"/>
      <c r="O129" s="7" t="s">
        <v>199</v>
      </c>
    </row>
    <row r="130" spans="1:15">
      <c r="A130" s="14" t="s">
        <v>119</v>
      </c>
      <c r="B130" s="14"/>
      <c r="C130" s="7" t="s">
        <v>182</v>
      </c>
      <c r="D130" s="7"/>
      <c r="E130" s="14" t="s">
        <v>120</v>
      </c>
      <c r="F130" s="14"/>
      <c r="G130" s="14"/>
      <c r="H130" s="14"/>
      <c r="I130" s="7" t="s">
        <v>121</v>
      </c>
      <c r="J130" s="7" t="s">
        <v>122</v>
      </c>
      <c r="K130" s="7" t="s">
        <v>163</v>
      </c>
      <c r="L130" s="7" t="s">
        <v>167</v>
      </c>
      <c r="M130" s="12" t="s">
        <v>148</v>
      </c>
      <c r="N130" s="12"/>
      <c r="O130" s="7" t="s">
        <v>199</v>
      </c>
    </row>
    <row r="131" spans="1:15">
      <c r="A131" s="7" t="s">
        <v>119</v>
      </c>
      <c r="B131" s="7"/>
      <c r="C131" s="7" t="s">
        <v>200</v>
      </c>
      <c r="D131" s="7"/>
      <c r="E131" s="7" t="s">
        <v>120</v>
      </c>
      <c r="F131" s="7"/>
      <c r="G131" s="7"/>
      <c r="H131" s="7"/>
      <c r="I131" s="7" t="s">
        <v>121</v>
      </c>
      <c r="J131" s="7" t="s">
        <v>122</v>
      </c>
      <c r="K131" s="7" t="s">
        <v>123</v>
      </c>
      <c r="L131" s="7" t="s">
        <v>124</v>
      </c>
      <c r="M131" s="12" t="s">
        <v>168</v>
      </c>
      <c r="N131" s="12"/>
      <c r="O131" s="7" t="s">
        <v>201</v>
      </c>
    </row>
    <row r="132" spans="1:15">
      <c r="A132" s="7" t="s">
        <v>119</v>
      </c>
      <c r="B132" s="7"/>
      <c r="C132" s="7" t="s">
        <v>200</v>
      </c>
      <c r="D132" s="7"/>
      <c r="E132" s="7" t="s">
        <v>127</v>
      </c>
      <c r="F132" s="7"/>
      <c r="G132" s="7"/>
      <c r="H132" s="7"/>
      <c r="I132" s="7" t="s">
        <v>121</v>
      </c>
      <c r="J132" s="7" t="s">
        <v>122</v>
      </c>
      <c r="K132" s="7" t="s">
        <v>123</v>
      </c>
      <c r="L132" s="7" t="s">
        <v>128</v>
      </c>
      <c r="M132" s="12" t="s">
        <v>202</v>
      </c>
      <c r="N132" s="12"/>
      <c r="O132" s="7" t="s">
        <v>201</v>
      </c>
    </row>
    <row r="133" spans="1:15">
      <c r="A133" s="14" t="s">
        <v>119</v>
      </c>
      <c r="B133" s="14"/>
      <c r="C133" s="7" t="s">
        <v>200</v>
      </c>
      <c r="D133" s="7"/>
      <c r="E133" s="14" t="s">
        <v>120</v>
      </c>
      <c r="F133" s="14"/>
      <c r="G133" s="14"/>
      <c r="H133" s="14"/>
      <c r="I133" s="7" t="s">
        <v>121</v>
      </c>
      <c r="J133" s="7" t="s">
        <v>122</v>
      </c>
      <c r="K133" s="7" t="s">
        <v>135</v>
      </c>
      <c r="L133" s="7" t="s">
        <v>136</v>
      </c>
      <c r="M133" s="12" t="s">
        <v>203</v>
      </c>
      <c r="N133" s="12"/>
      <c r="O133" s="7" t="s">
        <v>201</v>
      </c>
    </row>
    <row r="134" spans="1:15">
      <c r="A134" s="14" t="s">
        <v>119</v>
      </c>
      <c r="B134" s="14"/>
      <c r="C134" s="7" t="s">
        <v>200</v>
      </c>
      <c r="D134" s="7"/>
      <c r="E134" s="14" t="s">
        <v>120</v>
      </c>
      <c r="F134" s="14"/>
      <c r="G134" s="14"/>
      <c r="H134" s="14"/>
      <c r="I134" s="7" t="s">
        <v>121</v>
      </c>
      <c r="J134" s="7" t="s">
        <v>122</v>
      </c>
      <c r="K134" s="7" t="s">
        <v>138</v>
      </c>
      <c r="L134" s="7" t="s">
        <v>139</v>
      </c>
      <c r="M134" s="12" t="s">
        <v>184</v>
      </c>
      <c r="N134" s="12"/>
      <c r="O134" s="7" t="s">
        <v>201</v>
      </c>
    </row>
    <row r="135" spans="1:15">
      <c r="A135" s="14" t="s">
        <v>119</v>
      </c>
      <c r="B135" s="14"/>
      <c r="C135" s="7" t="s">
        <v>204</v>
      </c>
      <c r="D135" s="7"/>
      <c r="E135" s="14" t="s">
        <v>120</v>
      </c>
      <c r="F135" s="14"/>
      <c r="G135" s="14"/>
      <c r="H135" s="14"/>
      <c r="I135" s="7" t="s">
        <v>121</v>
      </c>
      <c r="J135" s="7" t="s">
        <v>122</v>
      </c>
      <c r="K135" s="7" t="s">
        <v>163</v>
      </c>
      <c r="L135" s="7" t="s">
        <v>205</v>
      </c>
      <c r="M135" s="12" t="s">
        <v>148</v>
      </c>
      <c r="N135" s="12"/>
      <c r="O135" s="7" t="s">
        <v>206</v>
      </c>
    </row>
    <row r="136" spans="1:15">
      <c r="A136" s="14" t="s">
        <v>119</v>
      </c>
      <c r="B136" s="14"/>
      <c r="C136" s="7" t="s">
        <v>204</v>
      </c>
      <c r="D136" s="7"/>
      <c r="E136" s="14" t="s">
        <v>120</v>
      </c>
      <c r="F136" s="14"/>
      <c r="G136" s="14"/>
      <c r="H136" s="14"/>
      <c r="I136" s="7" t="s">
        <v>121</v>
      </c>
      <c r="J136" s="7" t="s">
        <v>122</v>
      </c>
      <c r="K136" s="7" t="s">
        <v>138</v>
      </c>
      <c r="L136" s="7" t="s">
        <v>207</v>
      </c>
      <c r="M136" s="12" t="s">
        <v>208</v>
      </c>
      <c r="N136" s="12"/>
      <c r="O136" s="7" t="s">
        <v>206</v>
      </c>
    </row>
    <row r="137" spans="1:15">
      <c r="A137" s="7" t="s">
        <v>789</v>
      </c>
      <c r="B137" s="7" t="s">
        <v>455</v>
      </c>
      <c r="C137" s="7" t="s">
        <v>209</v>
      </c>
      <c r="D137" s="7"/>
      <c r="E137" s="7" t="s">
        <v>210</v>
      </c>
      <c r="F137" s="7"/>
      <c r="G137" s="7"/>
      <c r="H137" s="7"/>
      <c r="I137" s="7" t="s">
        <v>50</v>
      </c>
      <c r="J137" s="7" t="s">
        <v>55</v>
      </c>
      <c r="K137" s="7" t="s">
        <v>53</v>
      </c>
      <c r="L137" s="7" t="s">
        <v>69</v>
      </c>
      <c r="M137" s="7">
        <v>30.7</v>
      </c>
      <c r="N137" s="79" t="s">
        <v>792</v>
      </c>
      <c r="O137" s="7" t="s">
        <v>211</v>
      </c>
    </row>
    <row r="138" spans="1:15">
      <c r="A138" s="7" t="s">
        <v>789</v>
      </c>
      <c r="B138" s="7" t="s">
        <v>455</v>
      </c>
      <c r="C138" s="7" t="s">
        <v>6</v>
      </c>
      <c r="D138" s="7"/>
      <c r="E138" s="7" t="s">
        <v>212</v>
      </c>
      <c r="F138" s="7"/>
      <c r="G138" s="7"/>
      <c r="H138" s="7"/>
      <c r="I138" s="7" t="s">
        <v>50</v>
      </c>
      <c r="J138" s="7" t="s">
        <v>55</v>
      </c>
      <c r="K138" s="7" t="s">
        <v>53</v>
      </c>
      <c r="L138" s="7" t="s">
        <v>69</v>
      </c>
      <c r="M138" s="7">
        <v>1.6</v>
      </c>
      <c r="N138" s="79" t="s">
        <v>792</v>
      </c>
      <c r="O138" s="7" t="s">
        <v>211</v>
      </c>
    </row>
    <row r="139" spans="1:15">
      <c r="A139" s="7" t="s">
        <v>789</v>
      </c>
      <c r="B139" s="7" t="s">
        <v>455</v>
      </c>
      <c r="C139" s="7" t="s">
        <v>223</v>
      </c>
      <c r="D139" s="7"/>
      <c r="E139" s="7" t="s">
        <v>224</v>
      </c>
      <c r="F139" s="7"/>
      <c r="G139" s="7" t="s">
        <v>453</v>
      </c>
      <c r="H139" s="7"/>
      <c r="I139" s="7" t="s">
        <v>50</v>
      </c>
      <c r="J139" s="7" t="s">
        <v>55</v>
      </c>
      <c r="K139" s="7" t="s">
        <v>53</v>
      </c>
      <c r="L139" s="7" t="s">
        <v>69</v>
      </c>
      <c r="M139" s="7">
        <v>7.3</v>
      </c>
      <c r="N139" s="79" t="s">
        <v>792</v>
      </c>
      <c r="O139" s="7" t="s">
        <v>211</v>
      </c>
    </row>
    <row r="140" spans="1:15">
      <c r="A140" s="7" t="s">
        <v>789</v>
      </c>
      <c r="B140" s="7" t="s">
        <v>455</v>
      </c>
      <c r="C140" s="7" t="s">
        <v>225</v>
      </c>
      <c r="D140" s="7"/>
      <c r="E140" s="7" t="s">
        <v>226</v>
      </c>
      <c r="F140" s="7"/>
      <c r="G140" s="7"/>
      <c r="H140" s="7"/>
      <c r="I140" s="7" t="s">
        <v>50</v>
      </c>
      <c r="J140" s="7" t="s">
        <v>55</v>
      </c>
      <c r="K140" s="7" t="s">
        <v>53</v>
      </c>
      <c r="L140" s="7" t="s">
        <v>69</v>
      </c>
      <c r="M140" s="7">
        <v>0.9</v>
      </c>
      <c r="N140" s="79" t="s">
        <v>792</v>
      </c>
      <c r="O140" s="7" t="s">
        <v>211</v>
      </c>
    </row>
    <row r="141" spans="1:15">
      <c r="A141" s="7" t="s">
        <v>789</v>
      </c>
      <c r="B141" s="7" t="s">
        <v>455</v>
      </c>
      <c r="C141" s="7" t="s">
        <v>31</v>
      </c>
      <c r="D141" s="7"/>
      <c r="E141" s="7" t="s">
        <v>212</v>
      </c>
      <c r="F141" s="7"/>
      <c r="G141" s="7"/>
      <c r="H141" s="7"/>
      <c r="I141" s="7" t="s">
        <v>50</v>
      </c>
      <c r="J141" s="7" t="s">
        <v>55</v>
      </c>
      <c r="K141" s="7" t="s">
        <v>53</v>
      </c>
      <c r="L141" s="7" t="s">
        <v>69</v>
      </c>
      <c r="M141" s="7">
        <v>3.6</v>
      </c>
      <c r="N141" s="79" t="s">
        <v>792</v>
      </c>
      <c r="O141" s="7" t="s">
        <v>211</v>
      </c>
    </row>
    <row r="142" spans="1:15">
      <c r="A142" s="7" t="s">
        <v>789</v>
      </c>
      <c r="B142" s="7" t="s">
        <v>455</v>
      </c>
      <c r="C142" s="7" t="s">
        <v>85</v>
      </c>
      <c r="D142" s="7"/>
      <c r="E142" s="7" t="s">
        <v>233</v>
      </c>
      <c r="F142" s="7"/>
      <c r="G142" s="7"/>
      <c r="H142" s="7"/>
      <c r="I142" s="7" t="s">
        <v>50</v>
      </c>
      <c r="J142" s="7" t="s">
        <v>55</v>
      </c>
      <c r="K142" s="7" t="s">
        <v>53</v>
      </c>
      <c r="L142" s="7" t="s">
        <v>69</v>
      </c>
      <c r="M142" s="7">
        <v>4.8</v>
      </c>
      <c r="N142" s="79" t="s">
        <v>792</v>
      </c>
      <c r="O142" s="7" t="s">
        <v>211</v>
      </c>
    </row>
    <row r="143" spans="1:15">
      <c r="A143" s="7" t="s">
        <v>790</v>
      </c>
      <c r="B143" s="7" t="s">
        <v>460</v>
      </c>
      <c r="C143" s="7" t="s">
        <v>6</v>
      </c>
      <c r="D143" s="7"/>
      <c r="E143" s="7" t="s">
        <v>457</v>
      </c>
      <c r="F143" s="7" t="s">
        <v>456</v>
      </c>
      <c r="G143" s="7" t="s">
        <v>462</v>
      </c>
      <c r="H143" s="7" t="s">
        <v>459</v>
      </c>
      <c r="I143" s="7" t="s">
        <v>234</v>
      </c>
      <c r="J143" s="7" t="s">
        <v>55</v>
      </c>
      <c r="K143" s="7" t="s">
        <v>53</v>
      </c>
      <c r="L143" s="7" t="s">
        <v>243</v>
      </c>
      <c r="M143" s="7">
        <v>8329</v>
      </c>
      <c r="N143" s="79" t="s">
        <v>792</v>
      </c>
      <c r="O143" s="7" t="s">
        <v>239</v>
      </c>
    </row>
    <row r="144" spans="1:15">
      <c r="A144" s="7" t="s">
        <v>790</v>
      </c>
      <c r="B144" s="7" t="s">
        <v>460</v>
      </c>
      <c r="C144" s="7" t="s">
        <v>6</v>
      </c>
      <c r="D144" s="7"/>
      <c r="E144" s="7" t="s">
        <v>457</v>
      </c>
      <c r="F144" s="7" t="s">
        <v>456</v>
      </c>
      <c r="G144" s="7" t="s">
        <v>462</v>
      </c>
      <c r="H144" s="7" t="s">
        <v>459</v>
      </c>
      <c r="I144" s="7" t="s">
        <v>234</v>
      </c>
      <c r="J144" s="7" t="s">
        <v>55</v>
      </c>
      <c r="K144" s="7" t="s">
        <v>244</v>
      </c>
      <c r="L144" s="7" t="s">
        <v>245</v>
      </c>
      <c r="M144" s="7">
        <v>16.2</v>
      </c>
      <c r="N144" s="79" t="s">
        <v>792</v>
      </c>
      <c r="O144" s="7" t="s">
        <v>235</v>
      </c>
    </row>
    <row r="145" spans="1:15">
      <c r="A145" s="7" t="s">
        <v>790</v>
      </c>
      <c r="B145" s="7" t="s">
        <v>460</v>
      </c>
      <c r="C145" s="7" t="s">
        <v>6</v>
      </c>
      <c r="D145" s="7"/>
      <c r="E145" s="7" t="s">
        <v>457</v>
      </c>
      <c r="F145" s="7" t="s">
        <v>456</v>
      </c>
      <c r="G145" s="7" t="s">
        <v>462</v>
      </c>
      <c r="H145" s="7" t="s">
        <v>459</v>
      </c>
      <c r="I145" s="7" t="s">
        <v>234</v>
      </c>
      <c r="J145" s="7" t="s">
        <v>55</v>
      </c>
      <c r="K145" s="7" t="s">
        <v>246</v>
      </c>
      <c r="L145" s="7" t="s">
        <v>205</v>
      </c>
      <c r="M145" s="7">
        <v>0.51</v>
      </c>
      <c r="N145" s="79" t="s">
        <v>792</v>
      </c>
      <c r="O145" s="7" t="s">
        <v>235</v>
      </c>
    </row>
    <row r="146" spans="1:15">
      <c r="A146" s="7" t="s">
        <v>790</v>
      </c>
      <c r="B146" s="7" t="s">
        <v>460</v>
      </c>
      <c r="C146" s="7" t="s">
        <v>6</v>
      </c>
      <c r="D146" s="7"/>
      <c r="E146" s="7" t="s">
        <v>457</v>
      </c>
      <c r="F146" s="7" t="s">
        <v>456</v>
      </c>
      <c r="G146" s="7" t="s">
        <v>462</v>
      </c>
      <c r="H146" s="7" t="s">
        <v>459</v>
      </c>
      <c r="I146" s="7" t="s">
        <v>234</v>
      </c>
      <c r="J146" s="7" t="s">
        <v>55</v>
      </c>
      <c r="K146" s="7" t="s">
        <v>236</v>
      </c>
      <c r="L146" s="7" t="s">
        <v>238</v>
      </c>
      <c r="M146" s="7">
        <v>115</v>
      </c>
      <c r="N146" s="79" t="s">
        <v>792</v>
      </c>
      <c r="O146" s="7" t="s">
        <v>235</v>
      </c>
    </row>
    <row r="147" spans="1:15">
      <c r="A147" s="7" t="s">
        <v>790</v>
      </c>
      <c r="B147" s="7" t="s">
        <v>460</v>
      </c>
      <c r="C147" s="7" t="s">
        <v>6</v>
      </c>
      <c r="D147" s="7"/>
      <c r="E147" s="7" t="s">
        <v>457</v>
      </c>
      <c r="F147" s="7" t="s">
        <v>456</v>
      </c>
      <c r="G147" s="7" t="s">
        <v>462</v>
      </c>
      <c r="H147" s="7" t="s">
        <v>459</v>
      </c>
      <c r="I147" s="7" t="s">
        <v>234</v>
      </c>
      <c r="J147" s="7" t="s">
        <v>55</v>
      </c>
      <c r="K147" s="7" t="s">
        <v>74</v>
      </c>
      <c r="L147" s="7" t="s">
        <v>247</v>
      </c>
      <c r="M147" s="7">
        <v>46.4</v>
      </c>
      <c r="N147" s="79" t="s">
        <v>792</v>
      </c>
      <c r="O147" s="7" t="s">
        <v>235</v>
      </c>
    </row>
    <row r="148" spans="1:15">
      <c r="A148" s="7" t="s">
        <v>790</v>
      </c>
      <c r="B148" s="7" t="s">
        <v>460</v>
      </c>
      <c r="C148" s="7" t="s">
        <v>6</v>
      </c>
      <c r="D148" s="7"/>
      <c r="E148" s="7" t="s">
        <v>457</v>
      </c>
      <c r="F148" s="7" t="s">
        <v>456</v>
      </c>
      <c r="G148" s="7" t="s">
        <v>462</v>
      </c>
      <c r="H148" s="7" t="s">
        <v>459</v>
      </c>
      <c r="I148" s="7" t="s">
        <v>234</v>
      </c>
      <c r="J148" s="7" t="s">
        <v>55</v>
      </c>
      <c r="K148" s="7" t="s">
        <v>237</v>
      </c>
      <c r="L148" s="7" t="s">
        <v>248</v>
      </c>
      <c r="M148" s="7">
        <v>0.4</v>
      </c>
      <c r="N148" s="79" t="s">
        <v>792</v>
      </c>
      <c r="O148" s="7" t="s">
        <v>235</v>
      </c>
    </row>
    <row r="149" spans="1:15">
      <c r="A149" s="7" t="s">
        <v>790</v>
      </c>
      <c r="B149" s="7" t="s">
        <v>460</v>
      </c>
      <c r="C149" s="7" t="s">
        <v>6</v>
      </c>
      <c r="D149" s="7"/>
      <c r="E149" s="7" t="s">
        <v>457</v>
      </c>
      <c r="F149" s="7" t="s">
        <v>456</v>
      </c>
      <c r="G149" s="7" t="s">
        <v>462</v>
      </c>
      <c r="H149" s="7" t="s">
        <v>459</v>
      </c>
      <c r="I149" s="7" t="s">
        <v>234</v>
      </c>
      <c r="J149" s="7" t="s">
        <v>55</v>
      </c>
      <c r="K149" s="7" t="s">
        <v>249</v>
      </c>
      <c r="L149" s="7" t="s">
        <v>248</v>
      </c>
      <c r="M149" s="7">
        <v>1.7</v>
      </c>
      <c r="N149" s="79" t="s">
        <v>792</v>
      </c>
      <c r="O149" s="7" t="s">
        <v>235</v>
      </c>
    </row>
    <row r="150" spans="1:15">
      <c r="A150" s="7" t="s">
        <v>790</v>
      </c>
      <c r="B150" s="7" t="s">
        <v>460</v>
      </c>
      <c r="C150" s="7" t="s">
        <v>6</v>
      </c>
      <c r="D150" s="7"/>
      <c r="E150" s="7" t="s">
        <v>457</v>
      </c>
      <c r="F150" s="7" t="s">
        <v>456</v>
      </c>
      <c r="G150" s="7" t="s">
        <v>462</v>
      </c>
      <c r="H150" s="7" t="s">
        <v>459</v>
      </c>
      <c r="I150" s="7" t="s">
        <v>234</v>
      </c>
      <c r="J150" s="7" t="s">
        <v>55</v>
      </c>
      <c r="K150" s="7" t="s">
        <v>250</v>
      </c>
      <c r="L150" s="7" t="s">
        <v>248</v>
      </c>
      <c r="M150" s="7">
        <v>1.4</v>
      </c>
      <c r="N150" s="79" t="s">
        <v>792</v>
      </c>
      <c r="O150" s="7" t="s">
        <v>235</v>
      </c>
    </row>
    <row r="151" spans="1:15">
      <c r="A151" s="7" t="s">
        <v>790</v>
      </c>
      <c r="B151" s="7" t="s">
        <v>460</v>
      </c>
      <c r="C151" s="7" t="s">
        <v>6</v>
      </c>
      <c r="D151" s="7"/>
      <c r="E151" s="7" t="s">
        <v>457</v>
      </c>
      <c r="F151" s="7" t="s">
        <v>456</v>
      </c>
      <c r="G151" s="7" t="s">
        <v>462</v>
      </c>
      <c r="H151" s="7" t="s">
        <v>459</v>
      </c>
      <c r="I151" s="7" t="s">
        <v>234</v>
      </c>
      <c r="J151" s="7" t="s">
        <v>55</v>
      </c>
      <c r="K151" s="7" t="s">
        <v>109</v>
      </c>
      <c r="L151" s="7" t="s">
        <v>251</v>
      </c>
      <c r="M151" s="7">
        <v>0.03</v>
      </c>
      <c r="N151" s="79" t="s">
        <v>792</v>
      </c>
      <c r="O151" s="7" t="s">
        <v>235</v>
      </c>
    </row>
    <row r="152" spans="1:15">
      <c r="A152" s="7" t="s">
        <v>790</v>
      </c>
      <c r="B152" s="7" t="s">
        <v>460</v>
      </c>
      <c r="C152" s="7" t="s">
        <v>6</v>
      </c>
      <c r="D152" s="7"/>
      <c r="E152" s="7" t="s">
        <v>457</v>
      </c>
      <c r="F152" s="7" t="s">
        <v>456</v>
      </c>
      <c r="G152" s="7" t="s">
        <v>462</v>
      </c>
      <c r="H152" s="7" t="s">
        <v>459</v>
      </c>
      <c r="I152" s="7" t="s">
        <v>234</v>
      </c>
      <c r="J152" s="7" t="s">
        <v>55</v>
      </c>
      <c r="K152" s="7" t="s">
        <v>108</v>
      </c>
      <c r="L152" s="7" t="s">
        <v>251</v>
      </c>
      <c r="M152" s="7">
        <v>2.2999999999999998</v>
      </c>
      <c r="N152" s="79" t="s">
        <v>792</v>
      </c>
      <c r="O152" s="7" t="s">
        <v>235</v>
      </c>
    </row>
    <row r="153" spans="1:15">
      <c r="A153" s="7" t="s">
        <v>790</v>
      </c>
      <c r="B153" s="7" t="s">
        <v>460</v>
      </c>
      <c r="C153" s="7" t="s">
        <v>115</v>
      </c>
      <c r="D153" s="7"/>
      <c r="E153" s="7" t="s">
        <v>49</v>
      </c>
      <c r="F153" s="7" t="s">
        <v>461</v>
      </c>
      <c r="G153" s="7" t="s">
        <v>464</v>
      </c>
      <c r="H153" s="7"/>
      <c r="I153" s="7" t="s">
        <v>234</v>
      </c>
      <c r="J153" s="7" t="s">
        <v>55</v>
      </c>
      <c r="K153" s="7" t="s">
        <v>106</v>
      </c>
      <c r="L153" s="7" t="s">
        <v>205</v>
      </c>
      <c r="M153" s="7">
        <v>0.21</v>
      </c>
      <c r="N153" s="79" t="s">
        <v>792</v>
      </c>
      <c r="O153" s="7" t="s">
        <v>235</v>
      </c>
    </row>
    <row r="154" spans="1:15">
      <c r="A154" s="7" t="s">
        <v>790</v>
      </c>
      <c r="B154" s="7" t="s">
        <v>460</v>
      </c>
      <c r="C154" s="7" t="s">
        <v>115</v>
      </c>
      <c r="D154" s="7"/>
      <c r="E154" s="7" t="s">
        <v>49</v>
      </c>
      <c r="F154" s="7" t="s">
        <v>461</v>
      </c>
      <c r="G154" s="7" t="s">
        <v>464</v>
      </c>
      <c r="H154" s="7"/>
      <c r="I154" s="7" t="s">
        <v>234</v>
      </c>
      <c r="J154" s="7" t="s">
        <v>55</v>
      </c>
      <c r="K154" s="7" t="s">
        <v>236</v>
      </c>
      <c r="L154" s="7" t="s">
        <v>238</v>
      </c>
      <c r="M154" s="7">
        <v>135</v>
      </c>
      <c r="N154" s="79" t="s">
        <v>792</v>
      </c>
      <c r="O154" s="7" t="s">
        <v>235</v>
      </c>
    </row>
    <row r="155" spans="1:15">
      <c r="A155" s="7" t="s">
        <v>790</v>
      </c>
      <c r="B155" s="7" t="s">
        <v>460</v>
      </c>
      <c r="C155" s="7" t="s">
        <v>115</v>
      </c>
      <c r="D155" s="7"/>
      <c r="E155" s="7" t="s">
        <v>49</v>
      </c>
      <c r="F155" s="7" t="s">
        <v>461</v>
      </c>
      <c r="G155" s="7" t="s">
        <v>464</v>
      </c>
      <c r="H155" s="7"/>
      <c r="I155" s="7" t="s">
        <v>234</v>
      </c>
      <c r="J155" s="7" t="s">
        <v>55</v>
      </c>
      <c r="K155" s="7" t="s">
        <v>74</v>
      </c>
      <c r="L155" s="7" t="s">
        <v>247</v>
      </c>
      <c r="M155" s="7">
        <v>3.8</v>
      </c>
      <c r="N155" s="79" t="s">
        <v>792</v>
      </c>
      <c r="O155" s="7" t="s">
        <v>235</v>
      </c>
    </row>
    <row r="156" spans="1:15">
      <c r="A156" s="7" t="s">
        <v>790</v>
      </c>
      <c r="B156" s="7" t="s">
        <v>460</v>
      </c>
      <c r="C156" s="7" t="s">
        <v>115</v>
      </c>
      <c r="D156" s="7"/>
      <c r="E156" s="7" t="s">
        <v>49</v>
      </c>
      <c r="F156" s="7" t="s">
        <v>461</v>
      </c>
      <c r="G156" s="7" t="s">
        <v>464</v>
      </c>
      <c r="H156" s="7"/>
      <c r="I156" s="7" t="s">
        <v>234</v>
      </c>
      <c r="J156" s="7" t="s">
        <v>55</v>
      </c>
      <c r="K156" s="7" t="s">
        <v>237</v>
      </c>
      <c r="L156" s="7" t="s">
        <v>248</v>
      </c>
      <c r="M156" s="7">
        <v>0.5</v>
      </c>
      <c r="N156" s="79" t="s">
        <v>792</v>
      </c>
      <c r="O156" s="7" t="s">
        <v>235</v>
      </c>
    </row>
    <row r="157" spans="1:15">
      <c r="A157" s="7" t="s">
        <v>790</v>
      </c>
      <c r="B157" s="7" t="s">
        <v>460</v>
      </c>
      <c r="C157" s="7" t="s">
        <v>115</v>
      </c>
      <c r="D157" s="7"/>
      <c r="E157" s="7" t="s">
        <v>49</v>
      </c>
      <c r="F157" s="7" t="s">
        <v>461</v>
      </c>
      <c r="G157" s="7" t="s">
        <v>464</v>
      </c>
      <c r="H157" s="7"/>
      <c r="I157" s="7" t="s">
        <v>234</v>
      </c>
      <c r="J157" s="7" t="s">
        <v>55</v>
      </c>
      <c r="K157" s="7" t="s">
        <v>109</v>
      </c>
      <c r="L157" s="7" t="s">
        <v>251</v>
      </c>
      <c r="M157" s="7">
        <v>1.3</v>
      </c>
      <c r="N157" s="79" t="s">
        <v>792</v>
      </c>
      <c r="O157" s="7" t="s">
        <v>235</v>
      </c>
    </row>
    <row r="158" spans="1:15">
      <c r="A158" s="7" t="s">
        <v>790</v>
      </c>
      <c r="B158" s="7" t="s">
        <v>460</v>
      </c>
      <c r="C158" s="7" t="s">
        <v>115</v>
      </c>
      <c r="D158" s="7"/>
      <c r="E158" s="7" t="s">
        <v>49</v>
      </c>
      <c r="F158" s="7" t="s">
        <v>461</v>
      </c>
      <c r="G158" s="7" t="s">
        <v>464</v>
      </c>
      <c r="H158" s="7"/>
      <c r="I158" s="7" t="s">
        <v>234</v>
      </c>
      <c r="J158" s="7" t="s">
        <v>55</v>
      </c>
      <c r="K158" s="7" t="s">
        <v>53</v>
      </c>
      <c r="L158" s="7" t="s">
        <v>238</v>
      </c>
      <c r="M158" s="7">
        <v>152.69999999999999</v>
      </c>
      <c r="N158" s="79" t="s">
        <v>792</v>
      </c>
      <c r="O158" s="7" t="s">
        <v>239</v>
      </c>
    </row>
    <row r="159" spans="1:15">
      <c r="A159" s="5" t="s">
        <v>30</v>
      </c>
      <c r="B159" s="5" t="s">
        <v>460</v>
      </c>
      <c r="C159" s="5" t="s">
        <v>31</v>
      </c>
      <c r="D159" s="5" t="s">
        <v>441</v>
      </c>
      <c r="E159" s="5" t="s">
        <v>114</v>
      </c>
      <c r="F159" s="5" t="s">
        <v>465</v>
      </c>
      <c r="G159" s="5" t="s">
        <v>493</v>
      </c>
      <c r="H159" s="14"/>
      <c r="I159" s="5" t="s">
        <v>489</v>
      </c>
      <c r="J159" s="5" t="s">
        <v>122</v>
      </c>
      <c r="K159" s="5" t="s">
        <v>490</v>
      </c>
      <c r="L159" s="5" t="s">
        <v>488</v>
      </c>
      <c r="M159" s="66">
        <v>4.79</v>
      </c>
      <c r="N159" s="66" t="s">
        <v>748</v>
      </c>
      <c r="O159" s="5" t="s">
        <v>749</v>
      </c>
    </row>
    <row r="160" spans="1:15">
      <c r="A160" s="5" t="s">
        <v>30</v>
      </c>
      <c r="B160" s="5" t="s">
        <v>460</v>
      </c>
      <c r="C160" s="5" t="s">
        <v>31</v>
      </c>
      <c r="D160" s="5" t="s">
        <v>441</v>
      </c>
      <c r="E160" s="5" t="s">
        <v>114</v>
      </c>
      <c r="F160" s="5" t="s">
        <v>465</v>
      </c>
      <c r="G160" s="5" t="s">
        <v>493</v>
      </c>
      <c r="H160" s="14"/>
      <c r="I160" s="5" t="s">
        <v>489</v>
      </c>
      <c r="J160" s="5" t="s">
        <v>122</v>
      </c>
      <c r="K160" s="14" t="s">
        <v>466</v>
      </c>
      <c r="L160" s="5" t="s">
        <v>488</v>
      </c>
      <c r="M160" s="67">
        <v>4.5999999999999999E-3</v>
      </c>
      <c r="N160" s="66" t="s">
        <v>748</v>
      </c>
      <c r="O160" s="5" t="s">
        <v>749</v>
      </c>
    </row>
    <row r="161" spans="1:15">
      <c r="A161" s="5" t="s">
        <v>30</v>
      </c>
      <c r="B161" s="5" t="s">
        <v>460</v>
      </c>
      <c r="C161" s="5" t="s">
        <v>31</v>
      </c>
      <c r="D161" s="5" t="s">
        <v>441</v>
      </c>
      <c r="E161" s="5" t="s">
        <v>114</v>
      </c>
      <c r="F161" s="5" t="s">
        <v>465</v>
      </c>
      <c r="G161" s="5" t="s">
        <v>493</v>
      </c>
      <c r="H161" s="14"/>
      <c r="I161" s="5" t="s">
        <v>489</v>
      </c>
      <c r="J161" s="5" t="s">
        <v>122</v>
      </c>
      <c r="K161" s="5" t="s">
        <v>467</v>
      </c>
      <c r="L161" s="5" t="s">
        <v>488</v>
      </c>
      <c r="M161" s="67">
        <v>2.2000000000000001E-4</v>
      </c>
      <c r="N161" s="66" t="s">
        <v>748</v>
      </c>
      <c r="O161" s="5" t="s">
        <v>749</v>
      </c>
    </row>
    <row r="162" spans="1:15">
      <c r="A162" s="5" t="s">
        <v>30</v>
      </c>
      <c r="B162" s="5" t="s">
        <v>460</v>
      </c>
      <c r="C162" s="5" t="s">
        <v>31</v>
      </c>
      <c r="D162" s="5" t="s">
        <v>441</v>
      </c>
      <c r="E162" s="5" t="s">
        <v>114</v>
      </c>
      <c r="F162" s="5" t="s">
        <v>465</v>
      </c>
      <c r="G162" s="5" t="s">
        <v>493</v>
      </c>
      <c r="H162" s="14"/>
      <c r="I162" s="5" t="s">
        <v>489</v>
      </c>
      <c r="J162" s="5" t="s">
        <v>122</v>
      </c>
      <c r="K162" s="14" t="s">
        <v>468</v>
      </c>
      <c r="L162" s="5" t="s">
        <v>488</v>
      </c>
      <c r="M162" s="14">
        <f>0.00005</f>
        <v>5.0000000000000002E-5</v>
      </c>
      <c r="N162" s="66" t="s">
        <v>748</v>
      </c>
      <c r="O162" s="5" t="s">
        <v>749</v>
      </c>
    </row>
    <row r="163" spans="1:15">
      <c r="A163" s="5" t="s">
        <v>30</v>
      </c>
      <c r="B163" s="5" t="s">
        <v>460</v>
      </c>
      <c r="C163" s="5" t="s">
        <v>31</v>
      </c>
      <c r="D163" s="5" t="s">
        <v>441</v>
      </c>
      <c r="E163" s="5" t="s">
        <v>114</v>
      </c>
      <c r="F163" s="5" t="s">
        <v>465</v>
      </c>
      <c r="G163" s="5" t="s">
        <v>493</v>
      </c>
      <c r="H163" s="14"/>
      <c r="I163" s="5" t="s">
        <v>489</v>
      </c>
      <c r="J163" s="5" t="s">
        <v>122</v>
      </c>
      <c r="K163" s="14" t="s">
        <v>469</v>
      </c>
      <c r="L163" s="5" t="s">
        <v>488</v>
      </c>
      <c r="M163" s="14">
        <f>0.00009</f>
        <v>9.0000000000000006E-5</v>
      </c>
      <c r="N163" s="66" t="s">
        <v>748</v>
      </c>
      <c r="O163" s="5" t="s">
        <v>749</v>
      </c>
    </row>
    <row r="164" spans="1:15">
      <c r="A164" s="5" t="s">
        <v>30</v>
      </c>
      <c r="B164" s="5" t="s">
        <v>460</v>
      </c>
      <c r="C164" s="5" t="s">
        <v>31</v>
      </c>
      <c r="D164" s="5" t="s">
        <v>441</v>
      </c>
      <c r="E164" s="5" t="s">
        <v>114</v>
      </c>
      <c r="F164" s="5" t="s">
        <v>465</v>
      </c>
      <c r="G164" s="5" t="s">
        <v>493</v>
      </c>
      <c r="H164" s="14"/>
      <c r="I164" s="5" t="s">
        <v>489</v>
      </c>
      <c r="J164" s="5" t="s">
        <v>122</v>
      </c>
      <c r="K164" s="14" t="s">
        <v>470</v>
      </c>
      <c r="L164" s="5" t="s">
        <v>488</v>
      </c>
      <c r="M164" s="14">
        <f>0.0002</f>
        <v>2.0000000000000001E-4</v>
      </c>
      <c r="N164" s="66" t="s">
        <v>748</v>
      </c>
      <c r="O164" s="5" t="s">
        <v>749</v>
      </c>
    </row>
    <row r="165" spans="1:15">
      <c r="A165" s="5" t="s">
        <v>30</v>
      </c>
      <c r="B165" s="5" t="s">
        <v>460</v>
      </c>
      <c r="C165" s="5" t="s">
        <v>31</v>
      </c>
      <c r="D165" s="5" t="s">
        <v>441</v>
      </c>
      <c r="E165" s="5" t="s">
        <v>114</v>
      </c>
      <c r="F165" s="5" t="s">
        <v>465</v>
      </c>
      <c r="G165" s="5" t="s">
        <v>493</v>
      </c>
      <c r="H165" s="14"/>
      <c r="I165" s="5" t="s">
        <v>489</v>
      </c>
      <c r="J165" s="5" t="s">
        <v>122</v>
      </c>
      <c r="K165" s="14" t="s">
        <v>471</v>
      </c>
      <c r="L165" s="5" t="s">
        <v>488</v>
      </c>
      <c r="M165" s="14">
        <f>0.0006</f>
        <v>5.9999999999999995E-4</v>
      </c>
      <c r="N165" s="66" t="s">
        <v>748</v>
      </c>
      <c r="O165" s="5" t="s">
        <v>749</v>
      </c>
    </row>
    <row r="166" spans="1:15">
      <c r="A166" s="5" t="s">
        <v>30</v>
      </c>
      <c r="B166" s="5" t="s">
        <v>460</v>
      </c>
      <c r="C166" s="5" t="s">
        <v>31</v>
      </c>
      <c r="D166" s="5" t="s">
        <v>441</v>
      </c>
      <c r="E166" s="5" t="s">
        <v>114</v>
      </c>
      <c r="F166" s="5" t="s">
        <v>465</v>
      </c>
      <c r="G166" s="5" t="s">
        <v>493</v>
      </c>
      <c r="H166" s="14"/>
      <c r="I166" s="5" t="s">
        <v>489</v>
      </c>
      <c r="J166" s="5" t="s">
        <v>122</v>
      </c>
      <c r="K166" s="14" t="s">
        <v>472</v>
      </c>
      <c r="L166" s="5" t="s">
        <v>488</v>
      </c>
      <c r="M166" s="14">
        <v>0.12</v>
      </c>
      <c r="N166" s="66" t="s">
        <v>748</v>
      </c>
      <c r="O166" s="5" t="s">
        <v>749</v>
      </c>
    </row>
    <row r="167" spans="1:15">
      <c r="A167" s="5" t="s">
        <v>30</v>
      </c>
      <c r="B167" s="5" t="s">
        <v>460</v>
      </c>
      <c r="C167" s="5" t="s">
        <v>31</v>
      </c>
      <c r="D167" s="5" t="s">
        <v>441</v>
      </c>
      <c r="E167" s="5" t="s">
        <v>114</v>
      </c>
      <c r="F167" s="5" t="s">
        <v>465</v>
      </c>
      <c r="G167" s="5" t="s">
        <v>493</v>
      </c>
      <c r="H167" s="14"/>
      <c r="I167" s="5" t="s">
        <v>489</v>
      </c>
      <c r="J167" s="5" t="s">
        <v>122</v>
      </c>
      <c r="K167" s="14" t="s">
        <v>473</v>
      </c>
      <c r="L167" s="5" t="s">
        <v>491</v>
      </c>
      <c r="M167" s="14">
        <v>11.43</v>
      </c>
      <c r="N167" s="66" t="s">
        <v>748</v>
      </c>
      <c r="O167" s="5" t="s">
        <v>749</v>
      </c>
    </row>
    <row r="168" spans="1:15">
      <c r="A168" s="5" t="s">
        <v>30</v>
      </c>
      <c r="B168" s="5" t="s">
        <v>460</v>
      </c>
      <c r="C168" s="5" t="s">
        <v>31</v>
      </c>
      <c r="D168" s="5" t="s">
        <v>441</v>
      </c>
      <c r="E168" s="5" t="s">
        <v>114</v>
      </c>
      <c r="F168" s="5" t="s">
        <v>465</v>
      </c>
      <c r="G168" s="5" t="s">
        <v>493</v>
      </c>
      <c r="H168" s="14"/>
      <c r="I168" s="5" t="s">
        <v>489</v>
      </c>
      <c r="J168" s="5" t="s">
        <v>122</v>
      </c>
      <c r="K168" s="14" t="s">
        <v>474</v>
      </c>
      <c r="L168" s="5" t="s">
        <v>293</v>
      </c>
      <c r="M168" s="14">
        <v>0.02</v>
      </c>
      <c r="N168" s="66" t="s">
        <v>748</v>
      </c>
      <c r="O168" s="5" t="s">
        <v>749</v>
      </c>
    </row>
    <row r="169" spans="1:15">
      <c r="A169" s="5" t="s">
        <v>30</v>
      </c>
      <c r="B169" s="5" t="s">
        <v>460</v>
      </c>
      <c r="C169" s="5" t="s">
        <v>31</v>
      </c>
      <c r="D169" s="5" t="s">
        <v>441</v>
      </c>
      <c r="E169" s="5" t="s">
        <v>114</v>
      </c>
      <c r="F169" s="5" t="s">
        <v>465</v>
      </c>
      <c r="G169" s="5" t="s">
        <v>493</v>
      </c>
      <c r="H169" s="14"/>
      <c r="I169" s="5" t="s">
        <v>489</v>
      </c>
      <c r="J169" s="5" t="s">
        <v>122</v>
      </c>
      <c r="K169" s="14" t="s">
        <v>475</v>
      </c>
      <c r="L169" s="5" t="s">
        <v>293</v>
      </c>
      <c r="M169" s="14">
        <v>0.32</v>
      </c>
      <c r="N169" s="66" t="s">
        <v>748</v>
      </c>
      <c r="O169" s="5" t="s">
        <v>749</v>
      </c>
    </row>
    <row r="170" spans="1:15">
      <c r="A170" s="5" t="s">
        <v>30</v>
      </c>
      <c r="B170" s="5" t="s">
        <v>460</v>
      </c>
      <c r="C170" s="5" t="s">
        <v>31</v>
      </c>
      <c r="D170" s="5" t="s">
        <v>441</v>
      </c>
      <c r="E170" s="5" t="s">
        <v>114</v>
      </c>
      <c r="F170" s="5" t="s">
        <v>465</v>
      </c>
      <c r="G170" s="5" t="s">
        <v>493</v>
      </c>
      <c r="H170" s="14"/>
      <c r="I170" s="5" t="s">
        <v>489</v>
      </c>
      <c r="J170" s="5" t="s">
        <v>122</v>
      </c>
      <c r="K170" s="14" t="s">
        <v>476</v>
      </c>
      <c r="L170" s="5" t="s">
        <v>488</v>
      </c>
      <c r="M170" s="14">
        <v>0.15</v>
      </c>
      <c r="N170" s="66" t="s">
        <v>748</v>
      </c>
      <c r="O170" s="5" t="s">
        <v>749</v>
      </c>
    </row>
    <row r="171" spans="1:15">
      <c r="A171" s="5" t="s">
        <v>30</v>
      </c>
      <c r="B171" s="5" t="s">
        <v>460</v>
      </c>
      <c r="C171" s="5" t="s">
        <v>31</v>
      </c>
      <c r="D171" s="5" t="s">
        <v>441</v>
      </c>
      <c r="E171" s="5" t="s">
        <v>114</v>
      </c>
      <c r="F171" s="5" t="s">
        <v>465</v>
      </c>
      <c r="G171" s="5" t="s">
        <v>493</v>
      </c>
      <c r="H171" s="14"/>
      <c r="I171" s="5" t="s">
        <v>489</v>
      </c>
      <c r="J171" s="5" t="s">
        <v>122</v>
      </c>
      <c r="K171" s="14" t="s">
        <v>477</v>
      </c>
      <c r="L171" s="5" t="s">
        <v>488</v>
      </c>
      <c r="M171" s="67">
        <v>3.82E-3</v>
      </c>
      <c r="N171" s="66" t="s">
        <v>748</v>
      </c>
      <c r="O171" s="5" t="s">
        <v>749</v>
      </c>
    </row>
    <row r="172" spans="1:15">
      <c r="A172" s="5" t="s">
        <v>30</v>
      </c>
      <c r="B172" s="5" t="s">
        <v>460</v>
      </c>
      <c r="C172" s="5" t="s">
        <v>31</v>
      </c>
      <c r="D172" s="5" t="s">
        <v>441</v>
      </c>
      <c r="E172" s="5" t="s">
        <v>114</v>
      </c>
      <c r="F172" s="5" t="s">
        <v>465</v>
      </c>
      <c r="G172" s="5" t="s">
        <v>493</v>
      </c>
      <c r="H172" s="14"/>
      <c r="I172" s="5" t="s">
        <v>489</v>
      </c>
      <c r="J172" s="5" t="s">
        <v>122</v>
      </c>
      <c r="K172" s="14" t="s">
        <v>478</v>
      </c>
      <c r="L172" s="5" t="s">
        <v>488</v>
      </c>
      <c r="M172" s="14">
        <v>2.15</v>
      </c>
      <c r="N172" s="66" t="s">
        <v>748</v>
      </c>
      <c r="O172" s="5" t="s">
        <v>749</v>
      </c>
    </row>
    <row r="173" spans="1:15">
      <c r="A173" s="5" t="s">
        <v>30</v>
      </c>
      <c r="B173" s="5" t="s">
        <v>460</v>
      </c>
      <c r="C173" s="5" t="s">
        <v>31</v>
      </c>
      <c r="D173" s="5" t="s">
        <v>441</v>
      </c>
      <c r="E173" s="5" t="s">
        <v>114</v>
      </c>
      <c r="F173" s="5" t="s">
        <v>465</v>
      </c>
      <c r="G173" s="5" t="s">
        <v>493</v>
      </c>
      <c r="H173" s="14"/>
      <c r="I173" s="5" t="s">
        <v>489</v>
      </c>
      <c r="J173" s="5" t="s">
        <v>122</v>
      </c>
      <c r="K173" s="14" t="s">
        <v>479</v>
      </c>
      <c r="L173" s="5" t="s">
        <v>488</v>
      </c>
      <c r="M173" s="14">
        <v>2.74</v>
      </c>
      <c r="N173" s="66" t="s">
        <v>748</v>
      </c>
      <c r="O173" s="5" t="s">
        <v>749</v>
      </c>
    </row>
    <row r="174" spans="1:15">
      <c r="A174" s="5" t="s">
        <v>30</v>
      </c>
      <c r="B174" s="5" t="s">
        <v>460</v>
      </c>
      <c r="C174" s="5" t="s">
        <v>31</v>
      </c>
      <c r="D174" s="5" t="s">
        <v>441</v>
      </c>
      <c r="E174" s="5" t="s">
        <v>114</v>
      </c>
      <c r="F174" s="5" t="s">
        <v>465</v>
      </c>
      <c r="G174" s="5" t="s">
        <v>493</v>
      </c>
      <c r="H174" s="14"/>
      <c r="I174" s="5" t="s">
        <v>489</v>
      </c>
      <c r="J174" s="5" t="s">
        <v>122</v>
      </c>
      <c r="K174" s="14" t="s">
        <v>480</v>
      </c>
      <c r="L174" s="5" t="s">
        <v>488</v>
      </c>
      <c r="M174" s="14">
        <v>0.01</v>
      </c>
      <c r="N174" s="66" t="s">
        <v>748</v>
      </c>
      <c r="O174" s="5" t="s">
        <v>749</v>
      </c>
    </row>
    <row r="175" spans="1:15">
      <c r="A175" s="5" t="s">
        <v>30</v>
      </c>
      <c r="B175" s="5" t="s">
        <v>460</v>
      </c>
      <c r="C175" s="5" t="s">
        <v>31</v>
      </c>
      <c r="D175" s="5" t="s">
        <v>441</v>
      </c>
      <c r="E175" s="5" t="s">
        <v>114</v>
      </c>
      <c r="F175" s="5" t="s">
        <v>465</v>
      </c>
      <c r="G175" s="5" t="s">
        <v>493</v>
      </c>
      <c r="H175" s="14"/>
      <c r="I175" s="5" t="s">
        <v>489</v>
      </c>
      <c r="J175" s="5" t="s">
        <v>122</v>
      </c>
      <c r="K175" s="14" t="s">
        <v>481</v>
      </c>
      <c r="L175" s="5" t="s">
        <v>488</v>
      </c>
      <c r="M175" s="14">
        <v>0.2</v>
      </c>
      <c r="N175" s="66" t="s">
        <v>748</v>
      </c>
      <c r="O175" s="5" t="s">
        <v>749</v>
      </c>
    </row>
    <row r="176" spans="1:15">
      <c r="A176" s="5" t="s">
        <v>30</v>
      </c>
      <c r="B176" s="5" t="s">
        <v>460</v>
      </c>
      <c r="C176" s="5" t="s">
        <v>31</v>
      </c>
      <c r="D176" s="5" t="s">
        <v>441</v>
      </c>
      <c r="E176" s="5" t="s">
        <v>114</v>
      </c>
      <c r="F176" s="5" t="s">
        <v>465</v>
      </c>
      <c r="G176" s="5" t="s">
        <v>493</v>
      </c>
      <c r="H176" s="14"/>
      <c r="I176" s="5" t="s">
        <v>489</v>
      </c>
      <c r="J176" s="5" t="s">
        <v>122</v>
      </c>
      <c r="K176" s="14" t="s">
        <v>482</v>
      </c>
      <c r="L176" s="5" t="s">
        <v>488</v>
      </c>
      <c r="M176" s="14">
        <v>0.02</v>
      </c>
      <c r="N176" s="66" t="s">
        <v>748</v>
      </c>
      <c r="O176" s="5" t="s">
        <v>749</v>
      </c>
    </row>
    <row r="177" spans="1:15">
      <c r="A177" s="5" t="s">
        <v>30</v>
      </c>
      <c r="B177" s="5" t="s">
        <v>460</v>
      </c>
      <c r="C177" s="5" t="s">
        <v>31</v>
      </c>
      <c r="D177" s="5" t="s">
        <v>441</v>
      </c>
      <c r="E177" s="5" t="s">
        <v>114</v>
      </c>
      <c r="F177" s="5" t="s">
        <v>465</v>
      </c>
      <c r="G177" s="5" t="s">
        <v>493</v>
      </c>
      <c r="H177" s="14"/>
      <c r="I177" s="5" t="s">
        <v>489</v>
      </c>
      <c r="J177" s="5" t="s">
        <v>122</v>
      </c>
      <c r="K177" s="14" t="s">
        <v>483</v>
      </c>
      <c r="L177" s="5" t="s">
        <v>488</v>
      </c>
      <c r="M177" s="14">
        <v>0.02</v>
      </c>
      <c r="N177" s="66" t="s">
        <v>748</v>
      </c>
      <c r="O177" s="5" t="s">
        <v>749</v>
      </c>
    </row>
    <row r="178" spans="1:15">
      <c r="A178" s="5" t="s">
        <v>30</v>
      </c>
      <c r="B178" s="5" t="s">
        <v>460</v>
      </c>
      <c r="C178" s="5" t="s">
        <v>31</v>
      </c>
      <c r="D178" s="5" t="s">
        <v>441</v>
      </c>
      <c r="E178" s="5" t="s">
        <v>114</v>
      </c>
      <c r="F178" s="5" t="s">
        <v>465</v>
      </c>
      <c r="G178" s="5" t="s">
        <v>493</v>
      </c>
      <c r="H178" s="14"/>
      <c r="I178" s="5" t="s">
        <v>489</v>
      </c>
      <c r="J178" s="5" t="s">
        <v>122</v>
      </c>
      <c r="K178" s="14" t="s">
        <v>484</v>
      </c>
      <c r="L178" s="5" t="s">
        <v>488</v>
      </c>
      <c r="M178" s="14">
        <v>0.02</v>
      </c>
      <c r="N178" s="66" t="s">
        <v>748</v>
      </c>
      <c r="O178" s="5" t="s">
        <v>749</v>
      </c>
    </row>
    <row r="179" spans="1:15">
      <c r="A179" s="5" t="s">
        <v>30</v>
      </c>
      <c r="B179" s="5" t="s">
        <v>460</v>
      </c>
      <c r="C179" s="5" t="s">
        <v>31</v>
      </c>
      <c r="D179" s="5" t="s">
        <v>441</v>
      </c>
      <c r="E179" s="5" t="s">
        <v>114</v>
      </c>
      <c r="F179" s="5" t="s">
        <v>465</v>
      </c>
      <c r="G179" s="5" t="s">
        <v>493</v>
      </c>
      <c r="H179" s="14"/>
      <c r="I179" s="5" t="s">
        <v>489</v>
      </c>
      <c r="J179" s="5" t="s">
        <v>122</v>
      </c>
      <c r="K179" s="14" t="s">
        <v>485</v>
      </c>
      <c r="L179" s="5" t="s">
        <v>488</v>
      </c>
      <c r="M179" s="14">
        <v>0.01</v>
      </c>
      <c r="N179" s="66" t="s">
        <v>748</v>
      </c>
      <c r="O179" s="5" t="s">
        <v>749</v>
      </c>
    </row>
    <row r="180" spans="1:15">
      <c r="A180" s="5" t="s">
        <v>30</v>
      </c>
      <c r="B180" s="5" t="s">
        <v>460</v>
      </c>
      <c r="C180" s="5" t="s">
        <v>31</v>
      </c>
      <c r="D180" s="5" t="s">
        <v>441</v>
      </c>
      <c r="E180" s="5" t="s">
        <v>114</v>
      </c>
      <c r="F180" s="5" t="s">
        <v>465</v>
      </c>
      <c r="G180" s="5" t="s">
        <v>493</v>
      </c>
      <c r="H180" s="14"/>
      <c r="I180" s="5" t="s">
        <v>489</v>
      </c>
      <c r="J180" s="5" t="s">
        <v>122</v>
      </c>
      <c r="K180" s="14" t="s">
        <v>486</v>
      </c>
      <c r="L180" s="5" t="s">
        <v>488</v>
      </c>
      <c r="M180" s="14">
        <v>0.62</v>
      </c>
      <c r="N180" s="66" t="s">
        <v>748</v>
      </c>
      <c r="O180" s="5" t="s">
        <v>749</v>
      </c>
    </row>
    <row r="181" spans="1:15">
      <c r="A181" s="5" t="s">
        <v>30</v>
      </c>
      <c r="B181" s="5" t="s">
        <v>460</v>
      </c>
      <c r="C181" s="5" t="s">
        <v>31</v>
      </c>
      <c r="D181" s="5" t="s">
        <v>441</v>
      </c>
      <c r="E181" s="5" t="s">
        <v>114</v>
      </c>
      <c r="F181" s="5" t="s">
        <v>465</v>
      </c>
      <c r="G181" s="5" t="s">
        <v>493</v>
      </c>
      <c r="H181" s="14"/>
      <c r="I181" s="5" t="s">
        <v>489</v>
      </c>
      <c r="J181" s="5" t="s">
        <v>122</v>
      </c>
      <c r="K181" s="14" t="s">
        <v>487</v>
      </c>
      <c r="L181" s="5" t="s">
        <v>492</v>
      </c>
      <c r="M181" s="14">
        <v>0.08</v>
      </c>
      <c r="N181" s="66" t="s">
        <v>748</v>
      </c>
      <c r="O181" s="5" t="s">
        <v>749</v>
      </c>
    </row>
    <row r="182" spans="1:15">
      <c r="A182" s="5" t="s">
        <v>30</v>
      </c>
      <c r="B182" s="5" t="s">
        <v>460</v>
      </c>
      <c r="C182" s="5" t="s">
        <v>31</v>
      </c>
      <c r="D182" s="5" t="s">
        <v>441</v>
      </c>
      <c r="E182" s="5" t="s">
        <v>114</v>
      </c>
      <c r="F182" s="5" t="s">
        <v>1344</v>
      </c>
      <c r="G182" s="5" t="s">
        <v>494</v>
      </c>
      <c r="H182" s="14" t="s">
        <v>495</v>
      </c>
      <c r="I182" s="5" t="s">
        <v>489</v>
      </c>
      <c r="J182" s="5" t="s">
        <v>122</v>
      </c>
      <c r="K182" s="5" t="s">
        <v>496</v>
      </c>
      <c r="L182" s="5" t="s">
        <v>488</v>
      </c>
      <c r="M182" s="14">
        <v>7.79</v>
      </c>
      <c r="N182" s="5" t="s">
        <v>750</v>
      </c>
      <c r="O182" s="5" t="s">
        <v>511</v>
      </c>
    </row>
    <row r="183" spans="1:15">
      <c r="A183" s="5" t="s">
        <v>30</v>
      </c>
      <c r="B183" s="5" t="s">
        <v>460</v>
      </c>
      <c r="C183" s="5" t="s">
        <v>31</v>
      </c>
      <c r="D183" s="5" t="s">
        <v>441</v>
      </c>
      <c r="E183" s="5" t="s">
        <v>114</v>
      </c>
      <c r="F183" s="5" t="s">
        <v>1344</v>
      </c>
      <c r="G183" s="5" t="s">
        <v>494</v>
      </c>
      <c r="H183" s="5" t="s">
        <v>457</v>
      </c>
      <c r="I183" s="5" t="s">
        <v>489</v>
      </c>
      <c r="J183" s="5" t="s">
        <v>122</v>
      </c>
      <c r="K183" s="5" t="s">
        <v>497</v>
      </c>
      <c r="L183" s="5" t="s">
        <v>293</v>
      </c>
      <c r="M183" s="14">
        <v>3.64</v>
      </c>
      <c r="N183" s="5" t="s">
        <v>750</v>
      </c>
      <c r="O183" s="5" t="s">
        <v>511</v>
      </c>
    </row>
    <row r="184" spans="1:15">
      <c r="A184" s="5" t="s">
        <v>30</v>
      </c>
      <c r="B184" s="5" t="s">
        <v>460</v>
      </c>
      <c r="C184" s="5" t="s">
        <v>31</v>
      </c>
      <c r="D184" s="5" t="s">
        <v>441</v>
      </c>
      <c r="E184" s="5" t="s">
        <v>114</v>
      </c>
      <c r="F184" s="5" t="s">
        <v>1344</v>
      </c>
      <c r="G184" s="5" t="s">
        <v>494</v>
      </c>
      <c r="H184" s="5" t="s">
        <v>457</v>
      </c>
      <c r="I184" s="5" t="s">
        <v>489</v>
      </c>
      <c r="J184" s="5" t="s">
        <v>122</v>
      </c>
      <c r="K184" s="14" t="s">
        <v>498</v>
      </c>
      <c r="L184" s="5" t="s">
        <v>491</v>
      </c>
      <c r="M184" s="14">
        <f>2.28+3.06</f>
        <v>5.34</v>
      </c>
      <c r="N184" s="5" t="s">
        <v>750</v>
      </c>
      <c r="O184" s="5" t="s">
        <v>511</v>
      </c>
    </row>
    <row r="185" spans="1:15">
      <c r="A185" s="5" t="s">
        <v>30</v>
      </c>
      <c r="B185" s="5" t="s">
        <v>460</v>
      </c>
      <c r="C185" s="5" t="s">
        <v>31</v>
      </c>
      <c r="D185" s="5" t="s">
        <v>441</v>
      </c>
      <c r="E185" s="5" t="s">
        <v>114</v>
      </c>
      <c r="F185" s="5" t="s">
        <v>1344</v>
      </c>
      <c r="G185" s="5" t="s">
        <v>494</v>
      </c>
      <c r="H185" s="5" t="s">
        <v>499</v>
      </c>
      <c r="I185" s="5" t="s">
        <v>489</v>
      </c>
      <c r="J185" s="5" t="s">
        <v>122</v>
      </c>
      <c r="K185" s="14" t="s">
        <v>501</v>
      </c>
      <c r="L185" s="5" t="s">
        <v>510</v>
      </c>
      <c r="M185" s="14">
        <v>3.54</v>
      </c>
      <c r="N185" s="5" t="s">
        <v>750</v>
      </c>
      <c r="O185" s="5" t="s">
        <v>511</v>
      </c>
    </row>
    <row r="186" spans="1:15">
      <c r="A186" s="5" t="s">
        <v>30</v>
      </c>
      <c r="B186" s="5" t="s">
        <v>460</v>
      </c>
      <c r="C186" s="5" t="s">
        <v>31</v>
      </c>
      <c r="D186" s="5" t="s">
        <v>441</v>
      </c>
      <c r="E186" s="5" t="s">
        <v>114</v>
      </c>
      <c r="F186" s="5" t="s">
        <v>1344</v>
      </c>
      <c r="G186" s="5" t="s">
        <v>494</v>
      </c>
      <c r="H186" s="5" t="s">
        <v>500</v>
      </c>
      <c r="I186" s="5" t="s">
        <v>489</v>
      </c>
      <c r="J186" s="5" t="s">
        <v>122</v>
      </c>
      <c r="K186" s="14" t="s">
        <v>502</v>
      </c>
      <c r="L186" s="5" t="s">
        <v>293</v>
      </c>
      <c r="M186" s="14">
        <v>8.1999999999999993</v>
      </c>
      <c r="N186" s="5" t="s">
        <v>750</v>
      </c>
      <c r="O186" s="5" t="s">
        <v>511</v>
      </c>
    </row>
    <row r="187" spans="1:15">
      <c r="A187" s="5" t="s">
        <v>30</v>
      </c>
      <c r="B187" s="5" t="s">
        <v>460</v>
      </c>
      <c r="C187" s="5" t="s">
        <v>31</v>
      </c>
      <c r="D187" s="5" t="s">
        <v>441</v>
      </c>
      <c r="E187" s="5" t="s">
        <v>114</v>
      </c>
      <c r="F187" s="5" t="s">
        <v>1344</v>
      </c>
      <c r="G187" s="5" t="s">
        <v>494</v>
      </c>
      <c r="H187" s="5" t="s">
        <v>500</v>
      </c>
      <c r="I187" s="5" t="s">
        <v>489</v>
      </c>
      <c r="J187" s="5" t="s">
        <v>122</v>
      </c>
      <c r="K187" s="14" t="s">
        <v>503</v>
      </c>
      <c r="L187" s="5" t="s">
        <v>293</v>
      </c>
      <c r="M187" s="14">
        <v>6.24</v>
      </c>
      <c r="N187" s="5" t="s">
        <v>750</v>
      </c>
      <c r="O187" s="5" t="s">
        <v>511</v>
      </c>
    </row>
    <row r="188" spans="1:15">
      <c r="A188" s="5" t="s">
        <v>30</v>
      </c>
      <c r="B188" s="5" t="s">
        <v>460</v>
      </c>
      <c r="C188" s="5" t="s">
        <v>31</v>
      </c>
      <c r="D188" s="5" t="s">
        <v>441</v>
      </c>
      <c r="E188" s="5" t="s">
        <v>114</v>
      </c>
      <c r="F188" s="5" t="s">
        <v>1344</v>
      </c>
      <c r="G188" s="5" t="s">
        <v>494</v>
      </c>
      <c r="H188" s="5" t="s">
        <v>500</v>
      </c>
      <c r="I188" s="5" t="s">
        <v>489</v>
      </c>
      <c r="J188" s="5" t="s">
        <v>122</v>
      </c>
      <c r="K188" s="14" t="s">
        <v>503</v>
      </c>
      <c r="L188" s="5" t="s">
        <v>293</v>
      </c>
      <c r="M188" s="14">
        <v>11.22</v>
      </c>
      <c r="N188" s="5" t="s">
        <v>750</v>
      </c>
      <c r="O188" s="5" t="s">
        <v>511</v>
      </c>
    </row>
    <row r="189" spans="1:15">
      <c r="A189" s="5" t="s">
        <v>30</v>
      </c>
      <c r="B189" s="5" t="s">
        <v>460</v>
      </c>
      <c r="C189" s="5" t="s">
        <v>31</v>
      </c>
      <c r="D189" s="5" t="s">
        <v>441</v>
      </c>
      <c r="E189" s="5" t="s">
        <v>114</v>
      </c>
      <c r="F189" s="5" t="s">
        <v>1344</v>
      </c>
      <c r="G189" s="5" t="s">
        <v>494</v>
      </c>
      <c r="H189" s="5" t="s">
        <v>500</v>
      </c>
      <c r="I189" s="5" t="s">
        <v>489</v>
      </c>
      <c r="J189" s="5" t="s">
        <v>122</v>
      </c>
      <c r="K189" s="14" t="s">
        <v>479</v>
      </c>
      <c r="L189" s="5" t="s">
        <v>488</v>
      </c>
      <c r="M189" s="14">
        <v>0.49</v>
      </c>
      <c r="N189" s="5" t="s">
        <v>750</v>
      </c>
      <c r="O189" s="5" t="s">
        <v>511</v>
      </c>
    </row>
    <row r="190" spans="1:15">
      <c r="A190" s="5" t="s">
        <v>30</v>
      </c>
      <c r="B190" s="5" t="s">
        <v>460</v>
      </c>
      <c r="C190" s="5" t="s">
        <v>31</v>
      </c>
      <c r="D190" s="5" t="s">
        <v>441</v>
      </c>
      <c r="E190" s="5" t="s">
        <v>114</v>
      </c>
      <c r="F190" s="5" t="s">
        <v>1344</v>
      </c>
      <c r="G190" s="5" t="s">
        <v>494</v>
      </c>
      <c r="H190" s="5" t="s">
        <v>500</v>
      </c>
      <c r="I190" s="5" t="s">
        <v>489</v>
      </c>
      <c r="J190" s="5" t="s">
        <v>122</v>
      </c>
      <c r="K190" s="14" t="s">
        <v>504</v>
      </c>
      <c r="L190" s="5" t="s">
        <v>488</v>
      </c>
      <c r="M190" s="14">
        <v>2.2400000000000002</v>
      </c>
      <c r="N190" s="5" t="s">
        <v>750</v>
      </c>
      <c r="O190" s="5" t="s">
        <v>511</v>
      </c>
    </row>
    <row r="191" spans="1:15">
      <c r="A191" s="5" t="s">
        <v>30</v>
      </c>
      <c r="B191" s="5" t="s">
        <v>460</v>
      </c>
      <c r="C191" s="5" t="s">
        <v>31</v>
      </c>
      <c r="D191" s="5" t="s">
        <v>441</v>
      </c>
      <c r="E191" s="5" t="s">
        <v>114</v>
      </c>
      <c r="F191" s="5" t="s">
        <v>1344</v>
      </c>
      <c r="G191" s="5" t="s">
        <v>494</v>
      </c>
      <c r="H191" s="5" t="s">
        <v>505</v>
      </c>
      <c r="I191" s="5" t="s">
        <v>489</v>
      </c>
      <c r="J191" s="5" t="s">
        <v>122</v>
      </c>
      <c r="K191" s="14" t="s">
        <v>503</v>
      </c>
      <c r="L191" s="5" t="s">
        <v>293</v>
      </c>
      <c r="M191" s="14">
        <v>9.01</v>
      </c>
      <c r="N191" s="5" t="s">
        <v>750</v>
      </c>
      <c r="O191" s="5" t="s">
        <v>511</v>
      </c>
    </row>
    <row r="192" spans="1:15">
      <c r="A192" s="5" t="s">
        <v>30</v>
      </c>
      <c r="B192" s="5" t="s">
        <v>460</v>
      </c>
      <c r="C192" s="5" t="s">
        <v>31</v>
      </c>
      <c r="D192" s="5" t="s">
        <v>441</v>
      </c>
      <c r="E192" s="5" t="s">
        <v>114</v>
      </c>
      <c r="F192" s="5" t="s">
        <v>1344</v>
      </c>
      <c r="G192" s="5" t="s">
        <v>494</v>
      </c>
      <c r="H192" s="5" t="s">
        <v>505</v>
      </c>
      <c r="I192" s="5" t="s">
        <v>489</v>
      </c>
      <c r="J192" s="5" t="s">
        <v>122</v>
      </c>
      <c r="K192" s="14" t="s">
        <v>473</v>
      </c>
      <c r="L192" s="5" t="s">
        <v>491</v>
      </c>
      <c r="M192" s="14">
        <v>0.7</v>
      </c>
      <c r="N192" s="5" t="s">
        <v>750</v>
      </c>
      <c r="O192" s="5" t="s">
        <v>511</v>
      </c>
    </row>
    <row r="193" spans="1:38">
      <c r="A193" s="5" t="s">
        <v>30</v>
      </c>
      <c r="B193" s="5" t="s">
        <v>460</v>
      </c>
      <c r="C193" s="5" t="s">
        <v>31</v>
      </c>
      <c r="D193" s="5" t="s">
        <v>441</v>
      </c>
      <c r="E193" s="5" t="s">
        <v>114</v>
      </c>
      <c r="F193" s="5" t="s">
        <v>1344</v>
      </c>
      <c r="G193" s="5" t="s">
        <v>494</v>
      </c>
      <c r="H193" s="5" t="s">
        <v>506</v>
      </c>
      <c r="I193" s="5" t="s">
        <v>489</v>
      </c>
      <c r="J193" s="5" t="s">
        <v>122</v>
      </c>
      <c r="K193" s="14" t="s">
        <v>504</v>
      </c>
      <c r="L193" s="5" t="s">
        <v>488</v>
      </c>
      <c r="M193" s="14">
        <v>0.28999999999999998</v>
      </c>
      <c r="N193" s="5" t="s">
        <v>750</v>
      </c>
      <c r="O193" s="5" t="s">
        <v>511</v>
      </c>
    </row>
    <row r="194" spans="1:38">
      <c r="A194" s="5" t="s">
        <v>30</v>
      </c>
      <c r="B194" s="5" t="s">
        <v>460</v>
      </c>
      <c r="C194" s="5" t="s">
        <v>31</v>
      </c>
      <c r="D194" s="5" t="s">
        <v>441</v>
      </c>
      <c r="E194" s="5" t="s">
        <v>114</v>
      </c>
      <c r="F194" s="5" t="s">
        <v>1344</v>
      </c>
      <c r="G194" s="5" t="s">
        <v>494</v>
      </c>
      <c r="H194" s="14" t="s">
        <v>507</v>
      </c>
      <c r="I194" s="5" t="s">
        <v>489</v>
      </c>
      <c r="J194" s="5" t="s">
        <v>122</v>
      </c>
      <c r="K194" s="14" t="s">
        <v>501</v>
      </c>
      <c r="L194" s="5" t="s">
        <v>510</v>
      </c>
      <c r="M194" s="14">
        <v>0.91</v>
      </c>
      <c r="N194" s="5" t="s">
        <v>750</v>
      </c>
      <c r="O194" s="5" t="s">
        <v>511</v>
      </c>
    </row>
    <row r="195" spans="1:38">
      <c r="A195" s="5" t="s">
        <v>30</v>
      </c>
      <c r="B195" s="5" t="s">
        <v>460</v>
      </c>
      <c r="C195" s="5" t="s">
        <v>31</v>
      </c>
      <c r="D195" s="5" t="s">
        <v>441</v>
      </c>
      <c r="E195" s="5" t="s">
        <v>114</v>
      </c>
      <c r="F195" s="5" t="s">
        <v>1344</v>
      </c>
      <c r="G195" s="5" t="s">
        <v>494</v>
      </c>
      <c r="H195" s="14" t="s">
        <v>507</v>
      </c>
      <c r="I195" s="5" t="s">
        <v>489</v>
      </c>
      <c r="J195" s="5" t="s">
        <v>122</v>
      </c>
      <c r="K195" s="14" t="s">
        <v>508</v>
      </c>
      <c r="L195" s="5" t="s">
        <v>488</v>
      </c>
      <c r="M195" s="14">
        <v>0.64</v>
      </c>
      <c r="N195" s="5" t="s">
        <v>750</v>
      </c>
      <c r="O195" s="5" t="s">
        <v>511</v>
      </c>
    </row>
    <row r="196" spans="1:38">
      <c r="A196" s="5" t="s">
        <v>30</v>
      </c>
      <c r="B196" s="5" t="s">
        <v>460</v>
      </c>
      <c r="C196" s="5" t="s">
        <v>31</v>
      </c>
      <c r="D196" s="5" t="s">
        <v>441</v>
      </c>
      <c r="E196" s="5" t="s">
        <v>114</v>
      </c>
      <c r="F196" s="5" t="s">
        <v>1344</v>
      </c>
      <c r="G196" s="5" t="s">
        <v>494</v>
      </c>
      <c r="H196" s="14" t="s">
        <v>507</v>
      </c>
      <c r="I196" s="5" t="s">
        <v>489</v>
      </c>
      <c r="J196" s="5" t="s">
        <v>122</v>
      </c>
      <c r="K196" s="14" t="s">
        <v>509</v>
      </c>
      <c r="L196" s="5" t="s">
        <v>488</v>
      </c>
      <c r="M196" s="14">
        <v>7.0000000000000007E-2</v>
      </c>
      <c r="N196" s="5" t="s">
        <v>750</v>
      </c>
      <c r="O196" s="5" t="s">
        <v>511</v>
      </c>
    </row>
    <row r="197" spans="1:38">
      <c r="A197" s="5" t="s">
        <v>30</v>
      </c>
      <c r="B197" s="5" t="s">
        <v>460</v>
      </c>
      <c r="C197" s="5" t="s">
        <v>31</v>
      </c>
      <c r="D197" s="5" t="s">
        <v>441</v>
      </c>
      <c r="E197" s="5" t="s">
        <v>114</v>
      </c>
      <c r="F197" s="5" t="s">
        <v>1344</v>
      </c>
      <c r="G197" s="5" t="s">
        <v>494</v>
      </c>
      <c r="H197" s="14" t="s">
        <v>507</v>
      </c>
      <c r="I197" s="5" t="s">
        <v>489</v>
      </c>
      <c r="J197" s="5" t="s">
        <v>122</v>
      </c>
      <c r="K197" s="14" t="s">
        <v>473</v>
      </c>
      <c r="L197" s="5" t="s">
        <v>491</v>
      </c>
      <c r="M197" s="14">
        <v>2.9</v>
      </c>
      <c r="N197" s="5" t="s">
        <v>750</v>
      </c>
      <c r="O197" s="5" t="s">
        <v>511</v>
      </c>
    </row>
    <row r="198" spans="1:38">
      <c r="A198" s="5" t="s">
        <v>30</v>
      </c>
      <c r="B198" s="5" t="s">
        <v>460</v>
      </c>
      <c r="C198" s="5" t="s">
        <v>31</v>
      </c>
      <c r="D198" s="5" t="s">
        <v>441</v>
      </c>
      <c r="E198" s="5" t="s">
        <v>114</v>
      </c>
      <c r="F198" s="5" t="s">
        <v>1344</v>
      </c>
      <c r="G198" s="5" t="s">
        <v>494</v>
      </c>
      <c r="H198" s="14" t="s">
        <v>507</v>
      </c>
      <c r="I198" s="5" t="s">
        <v>489</v>
      </c>
      <c r="J198" s="5" t="s">
        <v>122</v>
      </c>
      <c r="K198" s="14" t="s">
        <v>502</v>
      </c>
      <c r="L198" s="5" t="s">
        <v>293</v>
      </c>
      <c r="M198" s="14">
        <v>18.5</v>
      </c>
      <c r="N198" s="5" t="s">
        <v>750</v>
      </c>
      <c r="O198" s="5" t="s">
        <v>511</v>
      </c>
    </row>
    <row r="199" spans="1:38">
      <c r="A199" s="7" t="s">
        <v>89</v>
      </c>
      <c r="B199" s="7" t="s">
        <v>460</v>
      </c>
      <c r="C199" s="7" t="s">
        <v>6</v>
      </c>
      <c r="D199" s="7" t="s">
        <v>441</v>
      </c>
      <c r="E199" s="7" t="s">
        <v>90</v>
      </c>
      <c r="F199" s="7" t="s">
        <v>693</v>
      </c>
      <c r="G199" s="7" t="s">
        <v>691</v>
      </c>
      <c r="H199" s="10" t="s">
        <v>692</v>
      </c>
      <c r="I199" s="7" t="s">
        <v>91</v>
      </c>
      <c r="J199" s="7" t="s">
        <v>122</v>
      </c>
      <c r="K199" s="7" t="s">
        <v>92</v>
      </c>
      <c r="L199" s="7" t="s">
        <v>93</v>
      </c>
      <c r="M199" s="11">
        <v>2453</v>
      </c>
      <c r="N199" s="7" t="s">
        <v>690</v>
      </c>
      <c r="O199" s="7" t="s">
        <v>94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>
      <c r="A200" s="7" t="s">
        <v>89</v>
      </c>
      <c r="B200" s="7" t="s">
        <v>460</v>
      </c>
      <c r="C200" s="7" t="s">
        <v>6</v>
      </c>
      <c r="D200" s="7" t="s">
        <v>441</v>
      </c>
      <c r="E200" s="7" t="s">
        <v>90</v>
      </c>
      <c r="F200" s="7" t="s">
        <v>693</v>
      </c>
      <c r="G200" s="7" t="s">
        <v>691</v>
      </c>
      <c r="H200" s="10" t="s">
        <v>692</v>
      </c>
      <c r="I200" s="7" t="s">
        <v>91</v>
      </c>
      <c r="J200" s="7" t="s">
        <v>122</v>
      </c>
      <c r="K200" s="7" t="s">
        <v>95</v>
      </c>
      <c r="L200" s="7" t="s">
        <v>93</v>
      </c>
      <c r="M200" s="7">
        <v>11444</v>
      </c>
      <c r="N200" s="7" t="s">
        <v>690</v>
      </c>
      <c r="O200" s="7" t="s">
        <v>94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>
      <c r="A201" s="7" t="s">
        <v>89</v>
      </c>
      <c r="B201" s="7" t="s">
        <v>460</v>
      </c>
      <c r="C201" s="7" t="s">
        <v>6</v>
      </c>
      <c r="D201" s="7" t="s">
        <v>441</v>
      </c>
      <c r="E201" s="7" t="s">
        <v>90</v>
      </c>
      <c r="F201" s="7" t="s">
        <v>693</v>
      </c>
      <c r="G201" s="7" t="s">
        <v>691</v>
      </c>
      <c r="H201" s="10" t="s">
        <v>692</v>
      </c>
      <c r="I201" s="7" t="s">
        <v>91</v>
      </c>
      <c r="J201" s="7" t="s">
        <v>122</v>
      </c>
      <c r="K201" s="7" t="s">
        <v>96</v>
      </c>
      <c r="L201" s="7" t="s">
        <v>93</v>
      </c>
      <c r="M201" s="7">
        <v>444</v>
      </c>
      <c r="N201" s="7" t="s">
        <v>690</v>
      </c>
      <c r="O201" s="7" t="s">
        <v>94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>
      <c r="A202" s="7" t="s">
        <v>89</v>
      </c>
      <c r="B202" s="7" t="s">
        <v>460</v>
      </c>
      <c r="C202" s="7" t="s">
        <v>6</v>
      </c>
      <c r="D202" s="7" t="s">
        <v>441</v>
      </c>
      <c r="E202" s="7" t="s">
        <v>90</v>
      </c>
      <c r="F202" s="7" t="s">
        <v>693</v>
      </c>
      <c r="G202" s="7" t="s">
        <v>691</v>
      </c>
      <c r="H202" s="10" t="s">
        <v>692</v>
      </c>
      <c r="I202" s="7" t="s">
        <v>91</v>
      </c>
      <c r="J202" s="7" t="s">
        <v>122</v>
      </c>
      <c r="K202" s="7" t="s">
        <v>97</v>
      </c>
      <c r="L202" s="7" t="s">
        <v>93</v>
      </c>
      <c r="M202" s="7">
        <v>1969</v>
      </c>
      <c r="N202" s="7" t="s">
        <v>690</v>
      </c>
      <c r="O202" s="7" t="s">
        <v>94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>
      <c r="A203" s="7" t="s">
        <v>89</v>
      </c>
      <c r="B203" s="7" t="s">
        <v>460</v>
      </c>
      <c r="C203" s="7" t="s">
        <v>6</v>
      </c>
      <c r="D203" s="7" t="s">
        <v>441</v>
      </c>
      <c r="E203" s="7" t="s">
        <v>90</v>
      </c>
      <c r="F203" s="7" t="s">
        <v>693</v>
      </c>
      <c r="G203" s="7" t="s">
        <v>691</v>
      </c>
      <c r="H203" s="10" t="s">
        <v>692</v>
      </c>
      <c r="I203" s="7" t="s">
        <v>91</v>
      </c>
      <c r="J203" s="7" t="s">
        <v>122</v>
      </c>
      <c r="K203" s="7" t="s">
        <v>98</v>
      </c>
      <c r="L203" s="7" t="s">
        <v>93</v>
      </c>
      <c r="M203" s="7">
        <v>579</v>
      </c>
      <c r="N203" s="7" t="s">
        <v>690</v>
      </c>
      <c r="O203" s="7" t="s">
        <v>94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>
      <c r="A204" s="7" t="s">
        <v>89</v>
      </c>
      <c r="B204" s="7" t="s">
        <v>460</v>
      </c>
      <c r="C204" s="7" t="s">
        <v>6</v>
      </c>
      <c r="D204" s="7" t="s">
        <v>441</v>
      </c>
      <c r="E204" s="7" t="s">
        <v>90</v>
      </c>
      <c r="F204" s="7" t="s">
        <v>693</v>
      </c>
      <c r="G204" s="7" t="s">
        <v>691</v>
      </c>
      <c r="H204" s="10" t="s">
        <v>692</v>
      </c>
      <c r="I204" s="7" t="s">
        <v>91</v>
      </c>
      <c r="J204" s="7" t="s">
        <v>122</v>
      </c>
      <c r="K204" s="7" t="s">
        <v>99</v>
      </c>
      <c r="L204" s="7" t="s">
        <v>93</v>
      </c>
      <c r="M204" s="7">
        <v>1372</v>
      </c>
      <c r="N204" s="7" t="s">
        <v>690</v>
      </c>
      <c r="O204" s="7" t="s">
        <v>94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>
      <c r="A205" s="7" t="s">
        <v>89</v>
      </c>
      <c r="B205" s="7" t="s">
        <v>460</v>
      </c>
      <c r="C205" s="7" t="s">
        <v>6</v>
      </c>
      <c r="D205" s="7" t="s">
        <v>441</v>
      </c>
      <c r="E205" s="7" t="s">
        <v>90</v>
      </c>
      <c r="F205" s="7" t="s">
        <v>693</v>
      </c>
      <c r="G205" s="7" t="s">
        <v>691</v>
      </c>
      <c r="H205" s="10" t="s">
        <v>692</v>
      </c>
      <c r="I205" s="7" t="s">
        <v>91</v>
      </c>
      <c r="J205" s="7" t="s">
        <v>122</v>
      </c>
      <c r="K205" s="7" t="s">
        <v>100</v>
      </c>
      <c r="L205" s="7" t="s">
        <v>93</v>
      </c>
      <c r="M205" s="7">
        <v>583</v>
      </c>
      <c r="N205" s="7" t="s">
        <v>690</v>
      </c>
      <c r="O205" s="7" t="s">
        <v>94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>
      <c r="A206" s="7" t="s">
        <v>89</v>
      </c>
      <c r="B206" s="7" t="s">
        <v>460</v>
      </c>
      <c r="C206" s="7" t="s">
        <v>6</v>
      </c>
      <c r="D206" s="7" t="s">
        <v>441</v>
      </c>
      <c r="E206" s="7" t="s">
        <v>90</v>
      </c>
      <c r="F206" s="7" t="s">
        <v>693</v>
      </c>
      <c r="G206" s="7" t="s">
        <v>691</v>
      </c>
      <c r="H206" s="10" t="s">
        <v>692</v>
      </c>
      <c r="I206" s="7" t="s">
        <v>91</v>
      </c>
      <c r="J206" s="7" t="s">
        <v>122</v>
      </c>
      <c r="K206" s="7" t="s">
        <v>101</v>
      </c>
      <c r="L206" s="7" t="s">
        <v>93</v>
      </c>
      <c r="M206" s="7">
        <v>506</v>
      </c>
      <c r="N206" s="7" t="s">
        <v>690</v>
      </c>
      <c r="O206" s="7" t="s">
        <v>94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>
      <c r="A207" s="7" t="s">
        <v>89</v>
      </c>
      <c r="B207" s="7" t="s">
        <v>460</v>
      </c>
      <c r="C207" s="7" t="s">
        <v>6</v>
      </c>
      <c r="D207" s="7" t="s">
        <v>441</v>
      </c>
      <c r="E207" s="7" t="s">
        <v>90</v>
      </c>
      <c r="F207" s="7" t="s">
        <v>693</v>
      </c>
      <c r="G207" s="7" t="s">
        <v>691</v>
      </c>
      <c r="H207" s="10" t="s">
        <v>692</v>
      </c>
      <c r="I207" s="7" t="s">
        <v>91</v>
      </c>
      <c r="J207" s="7" t="s">
        <v>122</v>
      </c>
      <c r="K207" s="7" t="s">
        <v>102</v>
      </c>
      <c r="L207" s="7" t="s">
        <v>103</v>
      </c>
      <c r="M207" s="7">
        <v>143418</v>
      </c>
      <c r="N207" s="7" t="s">
        <v>690</v>
      </c>
      <c r="O207" s="7" t="s">
        <v>94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>
      <c r="A208" s="7" t="s">
        <v>89</v>
      </c>
      <c r="B208" s="7" t="s">
        <v>460</v>
      </c>
      <c r="C208" s="7" t="s">
        <v>6</v>
      </c>
      <c r="D208" s="7" t="s">
        <v>441</v>
      </c>
      <c r="E208" s="7" t="s">
        <v>90</v>
      </c>
      <c r="F208" s="7" t="s">
        <v>693</v>
      </c>
      <c r="G208" s="7" t="s">
        <v>691</v>
      </c>
      <c r="H208" s="10" t="s">
        <v>692</v>
      </c>
      <c r="I208" s="7" t="s">
        <v>91</v>
      </c>
      <c r="J208" s="7" t="s">
        <v>122</v>
      </c>
      <c r="K208" s="7" t="s">
        <v>104</v>
      </c>
      <c r="L208" s="7" t="s">
        <v>103</v>
      </c>
      <c r="M208" s="7">
        <v>4559</v>
      </c>
      <c r="N208" s="7" t="s">
        <v>690</v>
      </c>
      <c r="O208" s="7" t="s">
        <v>94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>
      <c r="A209" s="7" t="s">
        <v>89</v>
      </c>
      <c r="B209" s="7" t="s">
        <v>460</v>
      </c>
      <c r="C209" s="7" t="s">
        <v>6</v>
      </c>
      <c r="D209" s="7" t="s">
        <v>441</v>
      </c>
      <c r="E209" s="7" t="s">
        <v>90</v>
      </c>
      <c r="F209" s="7" t="s">
        <v>693</v>
      </c>
      <c r="G209" s="7" t="s">
        <v>691</v>
      </c>
      <c r="H209" s="10" t="s">
        <v>692</v>
      </c>
      <c r="I209" s="7" t="s">
        <v>91</v>
      </c>
      <c r="J209" s="7" t="s">
        <v>122</v>
      </c>
      <c r="K209" s="7" t="s">
        <v>105</v>
      </c>
      <c r="L209" s="7" t="s">
        <v>103</v>
      </c>
      <c r="M209" s="7">
        <v>446</v>
      </c>
      <c r="N209" s="7" t="s">
        <v>690</v>
      </c>
      <c r="O209" s="7" t="s">
        <v>94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>
      <c r="A210" s="7" t="s">
        <v>89</v>
      </c>
      <c r="B210" s="7" t="s">
        <v>460</v>
      </c>
      <c r="C210" s="7" t="s">
        <v>6</v>
      </c>
      <c r="D210" s="7" t="s">
        <v>441</v>
      </c>
      <c r="E210" s="7" t="s">
        <v>90</v>
      </c>
      <c r="F210" s="7" t="s">
        <v>693</v>
      </c>
      <c r="G210" s="7" t="s">
        <v>691</v>
      </c>
      <c r="H210" s="10" t="s">
        <v>692</v>
      </c>
      <c r="I210" s="7" t="s">
        <v>91</v>
      </c>
      <c r="J210" s="7" t="s">
        <v>122</v>
      </c>
      <c r="K210" s="7" t="s">
        <v>106</v>
      </c>
      <c r="L210" s="7" t="s">
        <v>103</v>
      </c>
      <c r="M210" s="7">
        <v>1174440</v>
      </c>
      <c r="N210" s="7" t="s">
        <v>690</v>
      </c>
      <c r="O210" s="7" t="s">
        <v>94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>
      <c r="A211" s="7" t="s">
        <v>89</v>
      </c>
      <c r="B211" s="7" t="s">
        <v>460</v>
      </c>
      <c r="C211" s="7" t="s">
        <v>6</v>
      </c>
      <c r="D211" s="7" t="s">
        <v>441</v>
      </c>
      <c r="E211" s="7" t="s">
        <v>90</v>
      </c>
      <c r="F211" s="7" t="s">
        <v>693</v>
      </c>
      <c r="G211" s="7" t="s">
        <v>691</v>
      </c>
      <c r="H211" s="10" t="s">
        <v>692</v>
      </c>
      <c r="I211" s="7" t="s">
        <v>91</v>
      </c>
      <c r="J211" s="7" t="s">
        <v>122</v>
      </c>
      <c r="K211" s="7" t="s">
        <v>107</v>
      </c>
      <c r="L211" s="7" t="s">
        <v>103</v>
      </c>
      <c r="M211" s="7">
        <v>1732</v>
      </c>
      <c r="N211" s="7" t="s">
        <v>690</v>
      </c>
      <c r="O211" s="7" t="s">
        <v>94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>
      <c r="A212" s="7" t="s">
        <v>89</v>
      </c>
      <c r="B212" s="7" t="s">
        <v>460</v>
      </c>
      <c r="C212" s="7" t="s">
        <v>6</v>
      </c>
      <c r="D212" s="7" t="s">
        <v>441</v>
      </c>
      <c r="E212" s="7" t="s">
        <v>90</v>
      </c>
      <c r="F212" s="7" t="s">
        <v>693</v>
      </c>
      <c r="G212" s="7" t="s">
        <v>691</v>
      </c>
      <c r="H212" s="10" t="s">
        <v>692</v>
      </c>
      <c r="I212" s="7" t="s">
        <v>91</v>
      </c>
      <c r="J212" s="7" t="s">
        <v>122</v>
      </c>
      <c r="K212" s="7" t="s">
        <v>108</v>
      </c>
      <c r="L212" s="7" t="s">
        <v>103</v>
      </c>
      <c r="M212" s="7">
        <v>51289</v>
      </c>
      <c r="N212" s="7" t="s">
        <v>690</v>
      </c>
      <c r="O212" s="7" t="s">
        <v>94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>
      <c r="A213" s="7" t="s">
        <v>89</v>
      </c>
      <c r="B213" s="7" t="s">
        <v>460</v>
      </c>
      <c r="C213" s="7" t="s">
        <v>6</v>
      </c>
      <c r="D213" s="7" t="s">
        <v>441</v>
      </c>
      <c r="E213" s="7" t="s">
        <v>90</v>
      </c>
      <c r="F213" s="7" t="s">
        <v>693</v>
      </c>
      <c r="G213" s="7" t="s">
        <v>691</v>
      </c>
      <c r="H213" s="10" t="s">
        <v>692</v>
      </c>
      <c r="I213" s="7" t="s">
        <v>91</v>
      </c>
      <c r="J213" s="7" t="s">
        <v>122</v>
      </c>
      <c r="K213" s="7" t="s">
        <v>109</v>
      </c>
      <c r="L213" s="7" t="s">
        <v>103</v>
      </c>
      <c r="M213" s="7">
        <v>4096</v>
      </c>
      <c r="N213" s="7" t="s">
        <v>690</v>
      </c>
      <c r="O213" s="7" t="s">
        <v>94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s="123" customFormat="1">
      <c r="A214" s="122" t="s">
        <v>707</v>
      </c>
      <c r="B214" s="122" t="s">
        <v>460</v>
      </c>
      <c r="C214" s="122" t="s">
        <v>14</v>
      </c>
      <c r="D214" s="122" t="s">
        <v>708</v>
      </c>
      <c r="E214" s="123" t="s">
        <v>49</v>
      </c>
      <c r="F214" s="122" t="s">
        <v>461</v>
      </c>
      <c r="G214" s="122" t="s">
        <v>702</v>
      </c>
      <c r="H214" s="122" t="s">
        <v>710</v>
      </c>
      <c r="I214" s="122" t="s">
        <v>711</v>
      </c>
      <c r="J214" s="122" t="s">
        <v>122</v>
      </c>
      <c r="K214" s="123" t="s">
        <v>712</v>
      </c>
      <c r="L214" s="123" t="s">
        <v>248</v>
      </c>
      <c r="M214" s="123">
        <v>5.3</v>
      </c>
      <c r="N214" s="122" t="s">
        <v>709</v>
      </c>
      <c r="O214" s="122" t="s">
        <v>113</v>
      </c>
    </row>
    <row r="215" spans="1:38" s="123" customFormat="1">
      <c r="A215" s="122" t="s">
        <v>707</v>
      </c>
      <c r="B215" s="122" t="s">
        <v>460</v>
      </c>
      <c r="C215" s="122" t="s">
        <v>14</v>
      </c>
      <c r="D215" s="122" t="s">
        <v>708</v>
      </c>
      <c r="E215" s="123" t="s">
        <v>49</v>
      </c>
      <c r="F215" s="122" t="s">
        <v>461</v>
      </c>
      <c r="G215" s="122" t="s">
        <v>702</v>
      </c>
      <c r="H215" s="122" t="s">
        <v>710</v>
      </c>
      <c r="I215" s="122" t="s">
        <v>711</v>
      </c>
      <c r="J215" s="122" t="s">
        <v>122</v>
      </c>
      <c r="K215" s="123" t="s">
        <v>237</v>
      </c>
      <c r="L215" s="123" t="s">
        <v>248</v>
      </c>
      <c r="M215" s="123">
        <v>1.7</v>
      </c>
      <c r="N215" s="122" t="s">
        <v>709</v>
      </c>
      <c r="O215" s="122" t="s">
        <v>113</v>
      </c>
    </row>
    <row r="216" spans="1:38" s="123" customFormat="1">
      <c r="A216" s="122" t="s">
        <v>707</v>
      </c>
      <c r="B216" s="122" t="s">
        <v>460</v>
      </c>
      <c r="C216" s="122" t="s">
        <v>14</v>
      </c>
      <c r="D216" s="122" t="s">
        <v>708</v>
      </c>
      <c r="E216" s="123" t="s">
        <v>49</v>
      </c>
      <c r="F216" s="122" t="s">
        <v>461</v>
      </c>
      <c r="G216" s="122" t="s">
        <v>702</v>
      </c>
      <c r="H216" s="122" t="s">
        <v>710</v>
      </c>
      <c r="I216" s="122" t="s">
        <v>711</v>
      </c>
      <c r="J216" s="122" t="s">
        <v>122</v>
      </c>
      <c r="K216" s="123" t="s">
        <v>109</v>
      </c>
      <c r="L216" s="123" t="s">
        <v>251</v>
      </c>
      <c r="M216" s="123">
        <v>3</v>
      </c>
      <c r="N216" s="122" t="s">
        <v>709</v>
      </c>
      <c r="O216" s="122" t="s">
        <v>113</v>
      </c>
    </row>
    <row r="217" spans="1:38" s="123" customFormat="1">
      <c r="A217" s="122" t="s">
        <v>707</v>
      </c>
      <c r="B217" s="122" t="s">
        <v>460</v>
      </c>
      <c r="C217" s="122" t="s">
        <v>14</v>
      </c>
      <c r="D217" s="122" t="s">
        <v>708</v>
      </c>
      <c r="E217" s="123" t="s">
        <v>713</v>
      </c>
      <c r="F217" s="122" t="s">
        <v>461</v>
      </c>
      <c r="G217" s="122" t="s">
        <v>702</v>
      </c>
      <c r="H217" s="122" t="s">
        <v>710</v>
      </c>
      <c r="I217" s="122" t="s">
        <v>711</v>
      </c>
      <c r="J217" s="122" t="s">
        <v>122</v>
      </c>
      <c r="K217" s="123" t="s">
        <v>74</v>
      </c>
      <c r="L217" s="123" t="s">
        <v>247</v>
      </c>
      <c r="M217" s="123">
        <v>17.7</v>
      </c>
      <c r="N217" s="122" t="s">
        <v>709</v>
      </c>
      <c r="O217" s="122" t="s">
        <v>113</v>
      </c>
    </row>
    <row r="218" spans="1:38" s="123" customFormat="1">
      <c r="A218" s="122" t="s">
        <v>707</v>
      </c>
      <c r="B218" s="122" t="s">
        <v>460</v>
      </c>
      <c r="C218" s="122" t="s">
        <v>14</v>
      </c>
      <c r="D218" s="122" t="s">
        <v>708</v>
      </c>
      <c r="E218" s="123" t="s">
        <v>713</v>
      </c>
      <c r="F218" s="122" t="s">
        <v>461</v>
      </c>
      <c r="G218" s="122" t="s">
        <v>702</v>
      </c>
      <c r="H218" s="122" t="s">
        <v>710</v>
      </c>
      <c r="I218" s="122" t="s">
        <v>711</v>
      </c>
      <c r="J218" s="122" t="s">
        <v>122</v>
      </c>
      <c r="K218" s="123" t="s">
        <v>714</v>
      </c>
      <c r="L218" s="123" t="s">
        <v>248</v>
      </c>
      <c r="M218" s="123">
        <v>0.71</v>
      </c>
      <c r="N218" s="122" t="s">
        <v>709</v>
      </c>
      <c r="O218" s="122" t="s">
        <v>113</v>
      </c>
    </row>
    <row r="219" spans="1:38">
      <c r="A219" s="5" t="s">
        <v>707</v>
      </c>
      <c r="B219" s="5" t="s">
        <v>460</v>
      </c>
      <c r="C219" s="5" t="s">
        <v>14</v>
      </c>
      <c r="D219" s="5" t="s">
        <v>708</v>
      </c>
      <c r="E219" t="s">
        <v>732</v>
      </c>
      <c r="F219" s="5" t="s">
        <v>461</v>
      </c>
      <c r="G219" s="5" t="s">
        <v>702</v>
      </c>
      <c r="H219" s="5" t="s">
        <v>710</v>
      </c>
      <c r="I219" s="5" t="s">
        <v>711</v>
      </c>
      <c r="J219" s="5" t="s">
        <v>122</v>
      </c>
      <c r="K219" t="s">
        <v>74</v>
      </c>
      <c r="L219" t="s">
        <v>247</v>
      </c>
      <c r="M219">
        <v>3</v>
      </c>
      <c r="N219" s="5" t="s">
        <v>709</v>
      </c>
      <c r="O219" s="5" t="s">
        <v>113</v>
      </c>
    </row>
    <row r="220" spans="1:38">
      <c r="A220" s="5" t="s">
        <v>707</v>
      </c>
      <c r="B220" s="5" t="s">
        <v>460</v>
      </c>
      <c r="C220" s="5" t="s">
        <v>14</v>
      </c>
      <c r="D220" s="5" t="s">
        <v>708</v>
      </c>
      <c r="E220" t="s">
        <v>732</v>
      </c>
      <c r="F220" s="5" t="s">
        <v>461</v>
      </c>
      <c r="G220" s="5" t="s">
        <v>702</v>
      </c>
      <c r="H220" s="5" t="s">
        <v>710</v>
      </c>
      <c r="I220" s="5" t="s">
        <v>711</v>
      </c>
      <c r="J220" s="5" t="s">
        <v>122</v>
      </c>
      <c r="K220" t="s">
        <v>249</v>
      </c>
      <c r="L220" t="s">
        <v>725</v>
      </c>
      <c r="M220">
        <v>154</v>
      </c>
      <c r="N220" s="5" t="s">
        <v>709</v>
      </c>
      <c r="O220" s="5" t="s">
        <v>113</v>
      </c>
    </row>
    <row r="221" spans="1:38">
      <c r="A221" s="5" t="s">
        <v>707</v>
      </c>
      <c r="B221" s="5" t="s">
        <v>460</v>
      </c>
      <c r="C221" s="5" t="s">
        <v>14</v>
      </c>
      <c r="D221" s="5" t="s">
        <v>708</v>
      </c>
      <c r="E221" t="s">
        <v>732</v>
      </c>
      <c r="F221" s="5" t="s">
        <v>461</v>
      </c>
      <c r="G221" s="5" t="s">
        <v>702</v>
      </c>
      <c r="H221" s="5" t="s">
        <v>710</v>
      </c>
      <c r="I221" s="5" t="s">
        <v>711</v>
      </c>
      <c r="J221" s="5" t="s">
        <v>122</v>
      </c>
      <c r="K221" t="s">
        <v>595</v>
      </c>
      <c r="L221" t="s">
        <v>251</v>
      </c>
      <c r="M221">
        <v>0.1</v>
      </c>
      <c r="N221" s="5" t="s">
        <v>709</v>
      </c>
      <c r="O221" s="5" t="s">
        <v>113</v>
      </c>
    </row>
    <row r="222" spans="1:38">
      <c r="A222" s="5" t="s">
        <v>707</v>
      </c>
      <c r="B222" s="5" t="s">
        <v>460</v>
      </c>
      <c r="C222" s="5" t="s">
        <v>14</v>
      </c>
      <c r="D222" s="5" t="s">
        <v>708</v>
      </c>
      <c r="E222" t="s">
        <v>732</v>
      </c>
      <c r="F222" s="5" t="s">
        <v>461</v>
      </c>
      <c r="G222" s="5" t="s">
        <v>702</v>
      </c>
      <c r="H222" s="5" t="s">
        <v>710</v>
      </c>
      <c r="I222" s="5" t="s">
        <v>711</v>
      </c>
      <c r="J222" s="5" t="s">
        <v>122</v>
      </c>
      <c r="K222" t="s">
        <v>108</v>
      </c>
      <c r="L222" t="s">
        <v>251</v>
      </c>
      <c r="M222">
        <v>0.9</v>
      </c>
      <c r="N222" s="5" t="s">
        <v>709</v>
      </c>
      <c r="O222" s="5" t="s">
        <v>113</v>
      </c>
    </row>
    <row r="223" spans="1:38">
      <c r="A223" s="5" t="s">
        <v>707</v>
      </c>
      <c r="B223" s="5" t="s">
        <v>460</v>
      </c>
      <c r="C223" s="5" t="s">
        <v>14</v>
      </c>
      <c r="D223" s="5" t="s">
        <v>708</v>
      </c>
      <c r="E223" t="s">
        <v>733</v>
      </c>
      <c r="F223" s="5" t="s">
        <v>461</v>
      </c>
      <c r="G223" s="5" t="s">
        <v>702</v>
      </c>
      <c r="H223" s="5" t="s">
        <v>710</v>
      </c>
      <c r="I223" s="5" t="s">
        <v>711</v>
      </c>
      <c r="J223" s="5" t="s">
        <v>122</v>
      </c>
      <c r="K223" t="s">
        <v>74</v>
      </c>
      <c r="L223" t="s">
        <v>739</v>
      </c>
      <c r="M223">
        <v>121</v>
      </c>
      <c r="N223" s="5" t="s">
        <v>709</v>
      </c>
      <c r="O223" s="5" t="s">
        <v>113</v>
      </c>
    </row>
    <row r="224" spans="1:38">
      <c r="A224" s="5" t="s">
        <v>707</v>
      </c>
      <c r="B224" s="5" t="s">
        <v>460</v>
      </c>
      <c r="C224" s="5" t="s">
        <v>14</v>
      </c>
      <c r="D224" s="5" t="s">
        <v>708</v>
      </c>
      <c r="E224" t="s">
        <v>733</v>
      </c>
      <c r="F224" s="5" t="s">
        <v>461</v>
      </c>
      <c r="G224" s="5" t="s">
        <v>702</v>
      </c>
      <c r="H224" s="5" t="s">
        <v>710</v>
      </c>
      <c r="I224" s="5" t="s">
        <v>711</v>
      </c>
      <c r="J224" s="5" t="s">
        <v>122</v>
      </c>
      <c r="K224" t="s">
        <v>715</v>
      </c>
      <c r="L224" t="s">
        <v>740</v>
      </c>
      <c r="M224">
        <v>0.23</v>
      </c>
      <c r="N224" s="5" t="s">
        <v>709</v>
      </c>
      <c r="O224" s="5" t="s">
        <v>113</v>
      </c>
    </row>
    <row r="225" spans="1:15">
      <c r="A225" s="5" t="s">
        <v>707</v>
      </c>
      <c r="B225" s="5" t="s">
        <v>460</v>
      </c>
      <c r="C225" s="5" t="s">
        <v>14</v>
      </c>
      <c r="D225" s="5" t="s">
        <v>708</v>
      </c>
      <c r="E225" t="s">
        <v>733</v>
      </c>
      <c r="F225" s="5" t="s">
        <v>461</v>
      </c>
      <c r="G225" s="5" t="s">
        <v>702</v>
      </c>
      <c r="H225" s="5" t="s">
        <v>710</v>
      </c>
      <c r="I225" s="5" t="s">
        <v>711</v>
      </c>
      <c r="J225" s="5" t="s">
        <v>122</v>
      </c>
      <c r="K225" t="s">
        <v>97</v>
      </c>
      <c r="L225" t="s">
        <v>243</v>
      </c>
      <c r="M225">
        <v>68</v>
      </c>
      <c r="N225" s="5" t="s">
        <v>709</v>
      </c>
      <c r="O225" s="5" t="s">
        <v>113</v>
      </c>
    </row>
    <row r="226" spans="1:15">
      <c r="A226" s="5" t="s">
        <v>707</v>
      </c>
      <c r="B226" s="5" t="s">
        <v>460</v>
      </c>
      <c r="C226" s="5" t="s">
        <v>14</v>
      </c>
      <c r="D226" s="5" t="s">
        <v>708</v>
      </c>
      <c r="E226" t="s">
        <v>733</v>
      </c>
      <c r="F226" s="5" t="s">
        <v>461</v>
      </c>
      <c r="G226" s="5" t="s">
        <v>702</v>
      </c>
      <c r="H226" s="5" t="s">
        <v>710</v>
      </c>
      <c r="I226" s="5" t="s">
        <v>711</v>
      </c>
      <c r="J226" s="5" t="s">
        <v>122</v>
      </c>
      <c r="K226" t="s">
        <v>716</v>
      </c>
      <c r="L226" t="s">
        <v>741</v>
      </c>
      <c r="M226">
        <v>98</v>
      </c>
      <c r="N226" s="5" t="s">
        <v>709</v>
      </c>
      <c r="O226" s="5" t="s">
        <v>113</v>
      </c>
    </row>
    <row r="227" spans="1:15" s="123" customFormat="1">
      <c r="A227" s="122" t="s">
        <v>707</v>
      </c>
      <c r="B227" s="122" t="s">
        <v>460</v>
      </c>
      <c r="C227" s="122" t="s">
        <v>14</v>
      </c>
      <c r="D227" s="122" t="s">
        <v>708</v>
      </c>
      <c r="E227" s="123" t="s">
        <v>734</v>
      </c>
      <c r="F227" s="122" t="s">
        <v>461</v>
      </c>
      <c r="G227" s="122" t="s">
        <v>702</v>
      </c>
      <c r="H227" s="122" t="s">
        <v>710</v>
      </c>
      <c r="I227" s="122" t="s">
        <v>711</v>
      </c>
      <c r="J227" s="122" t="s">
        <v>122</v>
      </c>
      <c r="K227" s="123" t="s">
        <v>74</v>
      </c>
      <c r="L227" s="123" t="s">
        <v>247</v>
      </c>
      <c r="M227" s="123">
        <v>1.4</v>
      </c>
      <c r="N227" s="122" t="s">
        <v>709</v>
      </c>
      <c r="O227" s="122" t="s">
        <v>113</v>
      </c>
    </row>
    <row r="228" spans="1:15" s="123" customFormat="1">
      <c r="A228" s="122" t="s">
        <v>707</v>
      </c>
      <c r="B228" s="122" t="s">
        <v>460</v>
      </c>
      <c r="C228" s="122" t="s">
        <v>14</v>
      </c>
      <c r="D228" s="122" t="s">
        <v>708</v>
      </c>
      <c r="E228" s="123" t="s">
        <v>734</v>
      </c>
      <c r="F228" s="122" t="s">
        <v>461</v>
      </c>
      <c r="G228" s="122" t="s">
        <v>702</v>
      </c>
      <c r="H228" s="122" t="s">
        <v>710</v>
      </c>
      <c r="I228" s="122" t="s">
        <v>711</v>
      </c>
      <c r="J228" s="122" t="s">
        <v>122</v>
      </c>
      <c r="K228" s="123" t="s">
        <v>59</v>
      </c>
      <c r="L228" s="123" t="s">
        <v>248</v>
      </c>
      <c r="M228" s="123">
        <v>2.2000000000000002</v>
      </c>
      <c r="N228" s="122" t="s">
        <v>709</v>
      </c>
      <c r="O228" s="122" t="s">
        <v>113</v>
      </c>
    </row>
    <row r="229" spans="1:15" s="123" customFormat="1">
      <c r="A229" s="122" t="s">
        <v>707</v>
      </c>
      <c r="B229" s="122" t="s">
        <v>460</v>
      </c>
      <c r="C229" s="122" t="s">
        <v>14</v>
      </c>
      <c r="D229" s="122" t="s">
        <v>708</v>
      </c>
      <c r="E229" s="123" t="s">
        <v>734</v>
      </c>
      <c r="F229" s="122" t="s">
        <v>461</v>
      </c>
      <c r="G229" s="122" t="s">
        <v>702</v>
      </c>
      <c r="H229" s="122" t="s">
        <v>710</v>
      </c>
      <c r="I229" s="122" t="s">
        <v>711</v>
      </c>
      <c r="J229" s="122" t="s">
        <v>122</v>
      </c>
      <c r="K229" s="123" t="s">
        <v>717</v>
      </c>
      <c r="L229" s="123" t="s">
        <v>248</v>
      </c>
      <c r="M229" s="123">
        <v>0.64</v>
      </c>
      <c r="N229" s="122" t="s">
        <v>709</v>
      </c>
      <c r="O229" s="122" t="s">
        <v>113</v>
      </c>
    </row>
    <row r="230" spans="1:15" s="123" customFormat="1">
      <c r="A230" s="122" t="s">
        <v>707</v>
      </c>
      <c r="B230" s="122" t="s">
        <v>460</v>
      </c>
      <c r="C230" s="122" t="s">
        <v>14</v>
      </c>
      <c r="D230" s="122" t="s">
        <v>708</v>
      </c>
      <c r="E230" s="123" t="s">
        <v>734</v>
      </c>
      <c r="F230" s="122" t="s">
        <v>461</v>
      </c>
      <c r="G230" s="122" t="s">
        <v>702</v>
      </c>
      <c r="H230" s="122" t="s">
        <v>710</v>
      </c>
      <c r="I230" s="122" t="s">
        <v>711</v>
      </c>
      <c r="J230" s="122" t="s">
        <v>122</v>
      </c>
      <c r="K230" s="123" t="s">
        <v>730</v>
      </c>
      <c r="L230" s="123" t="s">
        <v>251</v>
      </c>
      <c r="M230" s="123">
        <v>1</v>
      </c>
      <c r="N230" s="122" t="s">
        <v>709</v>
      </c>
      <c r="O230" s="122" t="s">
        <v>113</v>
      </c>
    </row>
    <row r="231" spans="1:15" s="123" customFormat="1">
      <c r="A231" s="122" t="s">
        <v>707</v>
      </c>
      <c r="B231" s="122" t="s">
        <v>460</v>
      </c>
      <c r="C231" s="122" t="s">
        <v>14</v>
      </c>
      <c r="D231" s="122" t="s">
        <v>708</v>
      </c>
      <c r="E231" s="123" t="s">
        <v>734</v>
      </c>
      <c r="F231" s="122" t="s">
        <v>461</v>
      </c>
      <c r="G231" s="122" t="s">
        <v>702</v>
      </c>
      <c r="H231" s="122" t="s">
        <v>710</v>
      </c>
      <c r="I231" s="122" t="s">
        <v>711</v>
      </c>
      <c r="J231" s="122" t="s">
        <v>122</v>
      </c>
      <c r="K231" s="123" t="s">
        <v>731</v>
      </c>
      <c r="L231" s="123" t="s">
        <v>251</v>
      </c>
      <c r="M231" s="123">
        <v>0.1</v>
      </c>
      <c r="N231" s="122" t="s">
        <v>709</v>
      </c>
      <c r="O231" s="122" t="s">
        <v>113</v>
      </c>
    </row>
    <row r="232" spans="1:15" s="123" customFormat="1">
      <c r="A232" s="122" t="s">
        <v>707</v>
      </c>
      <c r="B232" s="122" t="s">
        <v>460</v>
      </c>
      <c r="C232" s="122" t="s">
        <v>14</v>
      </c>
      <c r="D232" s="122" t="s">
        <v>708</v>
      </c>
      <c r="E232" s="123" t="s">
        <v>735</v>
      </c>
      <c r="F232" s="122" t="s">
        <v>461</v>
      </c>
      <c r="G232" s="122" t="s">
        <v>702</v>
      </c>
      <c r="H232" s="122" t="s">
        <v>710</v>
      </c>
      <c r="I232" s="122" t="s">
        <v>711</v>
      </c>
      <c r="J232" s="122" t="s">
        <v>122</v>
      </c>
      <c r="K232" s="123" t="s">
        <v>74</v>
      </c>
      <c r="L232" s="123" t="s">
        <v>247</v>
      </c>
      <c r="M232" s="123">
        <v>5.8</v>
      </c>
      <c r="N232" s="122" t="s">
        <v>709</v>
      </c>
      <c r="O232" s="122" t="s">
        <v>113</v>
      </c>
    </row>
    <row r="233" spans="1:15" s="123" customFormat="1">
      <c r="A233" s="122" t="s">
        <v>707</v>
      </c>
      <c r="B233" s="122" t="s">
        <v>460</v>
      </c>
      <c r="C233" s="122" t="s">
        <v>14</v>
      </c>
      <c r="D233" s="122" t="s">
        <v>708</v>
      </c>
      <c r="E233" s="123" t="s">
        <v>735</v>
      </c>
      <c r="F233" s="122" t="s">
        <v>461</v>
      </c>
      <c r="G233" s="122" t="s">
        <v>702</v>
      </c>
      <c r="H233" s="122" t="s">
        <v>710</v>
      </c>
      <c r="I233" s="122" t="s">
        <v>711</v>
      </c>
      <c r="J233" s="122" t="s">
        <v>122</v>
      </c>
      <c r="K233" s="123" t="s">
        <v>718</v>
      </c>
      <c r="L233" s="123" t="s">
        <v>725</v>
      </c>
      <c r="M233" s="123">
        <v>24</v>
      </c>
      <c r="N233" s="122" t="s">
        <v>709</v>
      </c>
      <c r="O233" s="122" t="s">
        <v>113</v>
      </c>
    </row>
    <row r="234" spans="1:15" s="123" customFormat="1">
      <c r="A234" s="122" t="s">
        <v>707</v>
      </c>
      <c r="B234" s="122" t="s">
        <v>460</v>
      </c>
      <c r="C234" s="122" t="s">
        <v>14</v>
      </c>
      <c r="D234" s="122" t="s">
        <v>708</v>
      </c>
      <c r="E234" s="123" t="s">
        <v>735</v>
      </c>
      <c r="F234" s="122" t="s">
        <v>461</v>
      </c>
      <c r="G234" s="122" t="s">
        <v>702</v>
      </c>
      <c r="H234" s="122" t="s">
        <v>710</v>
      </c>
      <c r="I234" s="122" t="s">
        <v>711</v>
      </c>
      <c r="J234" s="122" t="s">
        <v>122</v>
      </c>
      <c r="K234" s="123" t="s">
        <v>365</v>
      </c>
      <c r="L234" s="123" t="s">
        <v>248</v>
      </c>
      <c r="M234" s="123">
        <v>0.12</v>
      </c>
      <c r="N234" s="122" t="s">
        <v>709</v>
      </c>
      <c r="O234" s="122" t="s">
        <v>113</v>
      </c>
    </row>
    <row r="235" spans="1:15" s="123" customFormat="1">
      <c r="A235" s="122" t="s">
        <v>707</v>
      </c>
      <c r="B235" s="122" t="s">
        <v>460</v>
      </c>
      <c r="C235" s="122" t="s">
        <v>14</v>
      </c>
      <c r="D235" s="122" t="s">
        <v>708</v>
      </c>
      <c r="E235" s="123" t="s">
        <v>735</v>
      </c>
      <c r="F235" s="122" t="s">
        <v>461</v>
      </c>
      <c r="G235" s="122" t="s">
        <v>702</v>
      </c>
      <c r="H235" s="122" t="s">
        <v>710</v>
      </c>
      <c r="I235" s="122" t="s">
        <v>711</v>
      </c>
      <c r="J235" s="122" t="s">
        <v>122</v>
      </c>
      <c r="K235" s="123" t="s">
        <v>719</v>
      </c>
      <c r="L235" s="123" t="s">
        <v>725</v>
      </c>
      <c r="M235" s="123">
        <v>83</v>
      </c>
      <c r="N235" s="122" t="s">
        <v>709</v>
      </c>
      <c r="O235" s="122" t="s">
        <v>113</v>
      </c>
    </row>
    <row r="236" spans="1:15" s="123" customFormat="1">
      <c r="A236" s="122" t="s">
        <v>707</v>
      </c>
      <c r="B236" s="122" t="s">
        <v>460</v>
      </c>
      <c r="C236" s="122" t="s">
        <v>14</v>
      </c>
      <c r="D236" s="122" t="s">
        <v>708</v>
      </c>
      <c r="E236" s="123" t="s">
        <v>736</v>
      </c>
      <c r="F236" s="122" t="s">
        <v>461</v>
      </c>
      <c r="G236" s="122" t="s">
        <v>702</v>
      </c>
      <c r="H236" s="122" t="s">
        <v>710</v>
      </c>
      <c r="I236" s="122" t="s">
        <v>711</v>
      </c>
      <c r="J236" s="122" t="s">
        <v>122</v>
      </c>
      <c r="K236" s="123" t="s">
        <v>74</v>
      </c>
      <c r="L236" s="123" t="s">
        <v>726</v>
      </c>
      <c r="M236" s="123">
        <v>3100</v>
      </c>
      <c r="N236" s="122" t="s">
        <v>709</v>
      </c>
      <c r="O236" s="122" t="s">
        <v>113</v>
      </c>
    </row>
    <row r="237" spans="1:15" s="123" customFormat="1">
      <c r="A237" s="122" t="s">
        <v>707</v>
      </c>
      <c r="B237" s="122" t="s">
        <v>460</v>
      </c>
      <c r="C237" s="122" t="s">
        <v>14</v>
      </c>
      <c r="D237" s="122" t="s">
        <v>708</v>
      </c>
      <c r="E237" s="123" t="s">
        <v>736</v>
      </c>
      <c r="F237" s="122" t="s">
        <v>461</v>
      </c>
      <c r="G237" s="122" t="s">
        <v>702</v>
      </c>
      <c r="H237" s="122" t="s">
        <v>710</v>
      </c>
      <c r="I237" s="122" t="s">
        <v>711</v>
      </c>
      <c r="J237" s="122" t="s">
        <v>122</v>
      </c>
      <c r="K237" s="123" t="s">
        <v>720</v>
      </c>
      <c r="L237" s="123" t="s">
        <v>257</v>
      </c>
      <c r="M237" s="123">
        <v>0.25</v>
      </c>
      <c r="N237" s="122" t="s">
        <v>709</v>
      </c>
      <c r="O237" s="122" t="s">
        <v>113</v>
      </c>
    </row>
    <row r="238" spans="1:15" s="123" customFormat="1">
      <c r="A238" s="122" t="s">
        <v>707</v>
      </c>
      <c r="B238" s="122" t="s">
        <v>460</v>
      </c>
      <c r="C238" s="122" t="s">
        <v>14</v>
      </c>
      <c r="D238" s="122" t="s">
        <v>708</v>
      </c>
      <c r="E238" s="123" t="s">
        <v>736</v>
      </c>
      <c r="F238" s="122" t="s">
        <v>461</v>
      </c>
      <c r="G238" s="122" t="s">
        <v>702</v>
      </c>
      <c r="H238" s="122" t="s">
        <v>710</v>
      </c>
      <c r="I238" s="122" t="s">
        <v>711</v>
      </c>
      <c r="J238" s="122" t="s">
        <v>122</v>
      </c>
      <c r="K238" s="123" t="s">
        <v>719</v>
      </c>
      <c r="L238" s="123" t="s">
        <v>257</v>
      </c>
      <c r="M238" s="123">
        <v>0.49</v>
      </c>
      <c r="N238" s="122" t="s">
        <v>709</v>
      </c>
      <c r="O238" s="122" t="s">
        <v>113</v>
      </c>
    </row>
    <row r="239" spans="1:15" s="123" customFormat="1">
      <c r="A239" s="122" t="s">
        <v>707</v>
      </c>
      <c r="B239" s="122" t="s">
        <v>460</v>
      </c>
      <c r="C239" s="122" t="s">
        <v>14</v>
      </c>
      <c r="D239" s="122" t="s">
        <v>708</v>
      </c>
      <c r="E239" s="123" t="s">
        <v>737</v>
      </c>
      <c r="F239" s="122" t="s">
        <v>461</v>
      </c>
      <c r="G239" s="122" t="s">
        <v>702</v>
      </c>
      <c r="H239" s="122" t="s">
        <v>710</v>
      </c>
      <c r="I239" s="122" t="s">
        <v>711</v>
      </c>
      <c r="J239" s="122" t="s">
        <v>122</v>
      </c>
      <c r="K239" s="123" t="s">
        <v>97</v>
      </c>
      <c r="L239" s="123" t="s">
        <v>255</v>
      </c>
      <c r="M239" s="123">
        <v>0.35</v>
      </c>
      <c r="N239" s="122" t="s">
        <v>709</v>
      </c>
      <c r="O239" s="122" t="s">
        <v>113</v>
      </c>
    </row>
    <row r="240" spans="1:15">
      <c r="A240" s="5" t="s">
        <v>707</v>
      </c>
      <c r="B240" s="5" t="s">
        <v>460</v>
      </c>
      <c r="C240" s="5" t="s">
        <v>14</v>
      </c>
      <c r="D240" s="5" t="s">
        <v>708</v>
      </c>
      <c r="E240" t="s">
        <v>738</v>
      </c>
      <c r="F240" s="5" t="s">
        <v>461</v>
      </c>
      <c r="G240" s="5" t="s">
        <v>702</v>
      </c>
      <c r="H240" s="5" t="s">
        <v>710</v>
      </c>
      <c r="I240" s="5" t="s">
        <v>711</v>
      </c>
      <c r="J240" s="5" t="s">
        <v>122</v>
      </c>
      <c r="K240" t="s">
        <v>68</v>
      </c>
      <c r="L240" t="s">
        <v>248</v>
      </c>
      <c r="M240">
        <v>0.3</v>
      </c>
      <c r="N240" s="5" t="s">
        <v>709</v>
      </c>
      <c r="O240" s="5" t="s">
        <v>113</v>
      </c>
    </row>
    <row r="241" spans="1:15">
      <c r="A241" s="5" t="s">
        <v>707</v>
      </c>
      <c r="B241" s="5" t="s">
        <v>460</v>
      </c>
      <c r="C241" s="5" t="s">
        <v>14</v>
      </c>
      <c r="D241" s="5" t="s">
        <v>708</v>
      </c>
      <c r="E241" t="s">
        <v>738</v>
      </c>
      <c r="F241" s="5" t="s">
        <v>461</v>
      </c>
      <c r="G241" s="5" t="s">
        <v>702</v>
      </c>
      <c r="H241" s="5" t="s">
        <v>710</v>
      </c>
      <c r="I241" s="5" t="s">
        <v>711</v>
      </c>
      <c r="J241" s="5" t="s">
        <v>122</v>
      </c>
      <c r="K241" t="s">
        <v>74</v>
      </c>
      <c r="L241" t="s">
        <v>727</v>
      </c>
      <c r="M241">
        <v>8.6</v>
      </c>
      <c r="N241" s="5" t="s">
        <v>709</v>
      </c>
      <c r="O241" s="5" t="s">
        <v>113</v>
      </c>
    </row>
    <row r="242" spans="1:15">
      <c r="A242" s="5" t="s">
        <v>707</v>
      </c>
      <c r="B242" s="5" t="s">
        <v>460</v>
      </c>
      <c r="C242" s="5" t="s">
        <v>14</v>
      </c>
      <c r="D242" s="5" t="s">
        <v>708</v>
      </c>
      <c r="E242" t="s">
        <v>721</v>
      </c>
      <c r="F242" s="5" t="s">
        <v>461</v>
      </c>
      <c r="G242" s="5" t="s">
        <v>702</v>
      </c>
      <c r="H242" s="5" t="s">
        <v>710</v>
      </c>
      <c r="I242" s="5" t="s">
        <v>711</v>
      </c>
      <c r="J242" s="5" t="s">
        <v>122</v>
      </c>
      <c r="K242" t="s">
        <v>74</v>
      </c>
      <c r="L242" t="s">
        <v>727</v>
      </c>
      <c r="M242">
        <v>480</v>
      </c>
      <c r="N242" s="5" t="s">
        <v>709</v>
      </c>
      <c r="O242" s="5" t="s">
        <v>113</v>
      </c>
    </row>
    <row r="243" spans="1:15">
      <c r="A243" s="5" t="s">
        <v>707</v>
      </c>
      <c r="B243" s="5" t="s">
        <v>460</v>
      </c>
      <c r="C243" s="5" t="s">
        <v>14</v>
      </c>
      <c r="D243" s="5" t="s">
        <v>708</v>
      </c>
      <c r="E243" t="s">
        <v>721</v>
      </c>
      <c r="F243" s="5" t="s">
        <v>461</v>
      </c>
      <c r="G243" s="5" t="s">
        <v>702</v>
      </c>
      <c r="H243" s="5" t="s">
        <v>710</v>
      </c>
      <c r="I243" s="5" t="s">
        <v>711</v>
      </c>
      <c r="J243" s="5" t="s">
        <v>122</v>
      </c>
      <c r="K243" t="s">
        <v>722</v>
      </c>
      <c r="L243" t="s">
        <v>728</v>
      </c>
      <c r="M243">
        <v>7.0000000000000007E-2</v>
      </c>
      <c r="N243" s="5" t="s">
        <v>709</v>
      </c>
      <c r="O243" s="5" t="s">
        <v>113</v>
      </c>
    </row>
    <row r="244" spans="1:15">
      <c r="A244" s="5" t="s">
        <v>707</v>
      </c>
      <c r="B244" s="5" t="s">
        <v>460</v>
      </c>
      <c r="C244" s="5" t="s">
        <v>14</v>
      </c>
      <c r="D244" s="5" t="s">
        <v>708</v>
      </c>
      <c r="E244" t="s">
        <v>723</v>
      </c>
      <c r="F244" s="5" t="s">
        <v>461</v>
      </c>
      <c r="G244" s="5" t="s">
        <v>702</v>
      </c>
      <c r="H244" s="5" t="s">
        <v>710</v>
      </c>
      <c r="I244" s="5" t="s">
        <v>711</v>
      </c>
      <c r="J244" s="5" t="s">
        <v>122</v>
      </c>
      <c r="K244" t="s">
        <v>74</v>
      </c>
      <c r="L244" t="s">
        <v>726</v>
      </c>
      <c r="M244">
        <v>325</v>
      </c>
      <c r="N244" s="5" t="s">
        <v>709</v>
      </c>
      <c r="O244" s="5" t="s">
        <v>113</v>
      </c>
    </row>
    <row r="245" spans="1:15">
      <c r="A245" s="5" t="s">
        <v>707</v>
      </c>
      <c r="B245" s="5" t="s">
        <v>460</v>
      </c>
      <c r="C245" s="5" t="s">
        <v>14</v>
      </c>
      <c r="D245" s="5" t="s">
        <v>708</v>
      </c>
      <c r="E245" t="s">
        <v>724</v>
      </c>
      <c r="F245" s="5" t="s">
        <v>461</v>
      </c>
      <c r="G245" s="5" t="s">
        <v>702</v>
      </c>
      <c r="H245" s="5" t="s">
        <v>710</v>
      </c>
      <c r="I245" s="5" t="s">
        <v>711</v>
      </c>
      <c r="J245" s="5" t="s">
        <v>122</v>
      </c>
      <c r="K245" t="s">
        <v>74</v>
      </c>
      <c r="L245" t="s">
        <v>729</v>
      </c>
      <c r="M245">
        <v>630</v>
      </c>
      <c r="N245" s="5" t="s">
        <v>709</v>
      </c>
      <c r="O245" s="5" t="s">
        <v>113</v>
      </c>
    </row>
    <row r="246" spans="1:1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</row>
    <row r="247" spans="1:1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</row>
    <row r="248" spans="1:1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</row>
    <row r="249" spans="1:1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</row>
    <row r="250" spans="1:1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</row>
    <row r="251" spans="1:1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</row>
    <row r="252" spans="1:1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</row>
    <row r="253" spans="1:1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</row>
    <row r="254" spans="1:1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</row>
    <row r="255" spans="1:1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</row>
    <row r="256" spans="1:1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</row>
    <row r="257" spans="1:1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</row>
    <row r="258" spans="1:1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</row>
    <row r="259" spans="1:1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</row>
    <row r="260" spans="1:1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</row>
    <row r="261" spans="1:1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</row>
    <row r="262" spans="1:1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</row>
    <row r="263" spans="1:1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</row>
    <row r="264" spans="1:1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</row>
    <row r="265" spans="1:1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</row>
    <row r="266" spans="1:1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</row>
    <row r="267" spans="1:1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</row>
    <row r="268" spans="1:1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</row>
    <row r="269" spans="1:1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</row>
    <row r="270" spans="1:1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</row>
    <row r="271" spans="1:1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</row>
    <row r="272" spans="1:1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</row>
    <row r="273" spans="1:1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</row>
    <row r="274" spans="1:1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</row>
    <row r="275" spans="1:1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</row>
    <row r="276" spans="1:1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</row>
    <row r="277" spans="1:1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  <row r="278" spans="1:1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</row>
    <row r="279" spans="1:1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</row>
    <row r="280" spans="1:1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</row>
    <row r="281" spans="1:1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</row>
    <row r="282" spans="1:1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</row>
    <row r="283" spans="1:1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</row>
    <row r="284" spans="1:1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</row>
    <row r="285" spans="1:1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</row>
    <row r="286" spans="1:1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</row>
    <row r="287" spans="1:1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</row>
    <row r="288" spans="1:1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</row>
    <row r="289" spans="1:1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</row>
    <row r="290" spans="1:1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</row>
    <row r="291" spans="1:1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</row>
    <row r="292" spans="1:1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</row>
    <row r="293" spans="1:1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</row>
    <row r="294" spans="1:1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</row>
    <row r="295" spans="1:1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</row>
    <row r="296" spans="1:1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</row>
    <row r="297" spans="1:1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</row>
    <row r="298" spans="1:1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</row>
    <row r="299" spans="1:1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</row>
    <row r="300" spans="1:1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</row>
    <row r="301" spans="1:1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</row>
    <row r="302" spans="1:1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</row>
    <row r="303" spans="1:1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</row>
    <row r="304" spans="1:1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</row>
    <row r="305" spans="1:1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</row>
    <row r="306" spans="1:1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</row>
    <row r="307" spans="1:1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</row>
    <row r="308" spans="1:1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</row>
    <row r="309" spans="1:1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</row>
    <row r="310" spans="1:1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</row>
    <row r="311" spans="1:1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</row>
    <row r="312" spans="1:1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</row>
    <row r="313" spans="1:1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</row>
    <row r="314" spans="1:1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</row>
    <row r="315" spans="1: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</row>
    <row r="316" spans="1:1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</row>
    <row r="317" spans="1:1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</row>
    <row r="318" spans="1:1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</row>
    <row r="319" spans="1:1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</row>
    <row r="320" spans="1:1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</row>
    <row r="321" spans="1:1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</row>
    <row r="322" spans="1:1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</row>
    <row r="323" spans="1:1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</row>
    <row r="324" spans="1:1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</row>
    <row r="325" spans="1:1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</row>
    <row r="326" spans="1:1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</row>
    <row r="327" spans="1:1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</row>
    <row r="328" spans="1:1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</row>
    <row r="329" spans="1:1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</row>
    <row r="330" spans="1:1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</row>
    <row r="331" spans="1:1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</row>
    <row r="332" spans="1:1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</row>
    <row r="333" spans="1:1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</row>
    <row r="334" spans="1:1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</row>
    <row r="335" spans="1:1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</row>
    <row r="336" spans="1:1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</row>
    <row r="337" spans="1:1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</row>
    <row r="338" spans="1:1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</row>
    <row r="339" spans="1:1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</row>
    <row r="340" spans="1:1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</row>
    <row r="341" spans="1:1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</row>
    <row r="342" spans="1:1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</row>
    <row r="343" spans="1:1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</row>
    <row r="344" spans="1:1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</row>
    <row r="345" spans="1:1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</row>
    <row r="346" spans="1:1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</row>
    <row r="347" spans="1:1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</row>
    <row r="348" spans="1:1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</row>
    <row r="349" spans="1:1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</row>
    <row r="350" spans="1:1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</row>
    <row r="351" spans="1:1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</row>
    <row r="352" spans="1:1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</row>
    <row r="353" spans="1:1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</row>
    <row r="354" spans="1:1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</row>
    <row r="355" spans="1:1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</row>
    <row r="356" spans="1:1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</row>
    <row r="357" spans="1:1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</row>
    <row r="358" spans="1:1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</row>
    <row r="359" spans="1:1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</row>
    <row r="360" spans="1:1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</row>
    <row r="361" spans="1:1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</row>
    <row r="362" spans="1:1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</row>
    <row r="363" spans="1:1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</row>
    <row r="364" spans="1:1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</row>
    <row r="365" spans="1:1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</row>
    <row r="366" spans="1:1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</row>
    <row r="367" spans="1:1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</row>
    <row r="368" spans="1:1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</row>
    <row r="369" spans="1:1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</row>
    <row r="370" spans="1:1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</row>
    <row r="371" spans="1:1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</row>
    <row r="372" spans="1:1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</row>
    <row r="373" spans="1:1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</row>
    <row r="374" spans="1:1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</row>
    <row r="375" spans="1:1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</row>
    <row r="376" spans="1:1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</row>
    <row r="377" spans="1:1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</row>
    <row r="378" spans="1:1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</row>
    <row r="379" spans="1:1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</row>
    <row r="380" spans="1:1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</row>
    <row r="381" spans="1:1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</row>
    <row r="382" spans="1:1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</row>
    <row r="383" spans="1:1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</row>
    <row r="384" spans="1:1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</row>
    <row r="385" spans="1:1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</row>
    <row r="386" spans="1:1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</row>
    <row r="387" spans="1:1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</row>
    <row r="388" spans="1:1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</row>
    <row r="389" spans="1:1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</row>
    <row r="390" spans="1:1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</row>
    <row r="391" spans="1:1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</row>
    <row r="392" spans="1:1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</row>
    <row r="393" spans="1:1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</row>
    <row r="394" spans="1:1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</row>
    <row r="395" spans="1:1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</row>
    <row r="396" spans="1:1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</row>
    <row r="397" spans="1:1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</row>
    <row r="398" spans="1:1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</row>
    <row r="399" spans="1:1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</row>
    <row r="400" spans="1:1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</row>
    <row r="401" spans="1:1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</row>
    <row r="402" spans="1:1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</row>
    <row r="403" spans="1:1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</row>
    <row r="404" spans="1:1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</row>
    <row r="405" spans="1:1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</row>
    <row r="406" spans="1:1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</row>
    <row r="407" spans="1:1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</row>
    <row r="408" spans="1:1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</row>
    <row r="409" spans="1:1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</row>
    <row r="410" spans="1:1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</row>
    <row r="411" spans="1:1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</row>
    <row r="412" spans="1:1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</row>
    <row r="413" spans="1:1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</row>
    <row r="414" spans="1:1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</row>
    <row r="415" spans="1: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</row>
    <row r="416" spans="1:1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</row>
    <row r="417" spans="1:1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</row>
    <row r="418" spans="1:1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</row>
    <row r="419" spans="1:1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</row>
    <row r="420" spans="1:1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</row>
    <row r="421" spans="1:1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</row>
    <row r="422" spans="1:1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</row>
    <row r="423" spans="1:1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</row>
    <row r="424" spans="1:1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 spans="1:1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</row>
    <row r="426" spans="1:1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</row>
    <row r="427" spans="1:1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</row>
    <row r="428" spans="1:1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</row>
    <row r="429" spans="1:1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</row>
    <row r="430" spans="1:1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</row>
    <row r="431" spans="1:1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</row>
    <row r="432" spans="1:1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</row>
    <row r="433" spans="1:1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</row>
    <row r="434" spans="1:1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</row>
    <row r="435" spans="1:1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</row>
    <row r="436" spans="1:1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</row>
    <row r="437" spans="1:1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</row>
    <row r="438" spans="1:1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</row>
    <row r="439" spans="1:1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</row>
    <row r="440" spans="1:1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</row>
    <row r="441" spans="1:1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</row>
    <row r="442" spans="1:1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</row>
    <row r="443" spans="1:1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</row>
    <row r="444" spans="1:1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</row>
    <row r="445" spans="1:1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</row>
    <row r="446" spans="1:1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</row>
    <row r="447" spans="1:1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</row>
    <row r="448" spans="1:1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</row>
    <row r="449" spans="1:1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</row>
    <row r="450" spans="1:1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</row>
    <row r="451" spans="1:1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</row>
    <row r="452" spans="1:1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</row>
    <row r="453" spans="1:1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</row>
    <row r="454" spans="1:1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</row>
    <row r="455" spans="1:1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</row>
    <row r="456" spans="1:1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</row>
    <row r="457" spans="1:1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</row>
    <row r="458" spans="1:1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</row>
    <row r="459" spans="1:1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</row>
    <row r="460" spans="1:1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</row>
    <row r="461" spans="1:1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</row>
    <row r="462" spans="1:1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</row>
    <row r="463" spans="1:1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</row>
    <row r="464" spans="1:1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</row>
    <row r="465" spans="1:1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</row>
    <row r="466" spans="1:1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</row>
    <row r="467" spans="1:1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</row>
    <row r="468" spans="1:1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</row>
    <row r="469" spans="1:1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</row>
    <row r="470" spans="1:1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</row>
    <row r="471" spans="1:1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</row>
    <row r="472" spans="1:1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</row>
    <row r="473" spans="1:1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</row>
    <row r="474" spans="1:1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</row>
    <row r="475" spans="1:1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</row>
    <row r="476" spans="1:1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</row>
    <row r="477" spans="1:1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</row>
    <row r="478" spans="1:1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</row>
    <row r="479" spans="1:1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</row>
    <row r="480" spans="1:1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</row>
    <row r="481" spans="1:1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</row>
    <row r="482" spans="1:1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</row>
    <row r="483" spans="1:1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</row>
    <row r="484" spans="1:1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</row>
    <row r="485" spans="1:1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</row>
    <row r="486" spans="1:1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</row>
    <row r="487" spans="1:1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</row>
    <row r="488" spans="1:1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</row>
    <row r="489" spans="1:1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</row>
    <row r="490" spans="1:1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</row>
    <row r="491" spans="1:1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</row>
    <row r="492" spans="1:1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</row>
    <row r="493" spans="1:1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</row>
    <row r="494" spans="1:1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</row>
    <row r="495" spans="1:1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</row>
    <row r="496" spans="1:1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</row>
    <row r="497" spans="1:1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</row>
    <row r="498" spans="1:1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</row>
    <row r="499" spans="1:1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</row>
    <row r="500" spans="1:1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</row>
    <row r="501" spans="1:1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</row>
    <row r="502" spans="1:1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</row>
    <row r="503" spans="1:1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</row>
    <row r="504" spans="1:1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</row>
    <row r="505" spans="1:1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</row>
    <row r="506" spans="1:1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</row>
    <row r="507" spans="1:1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</row>
    <row r="508" spans="1:1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</row>
    <row r="509" spans="1:1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</row>
    <row r="510" spans="1:1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</row>
    <row r="511" spans="1:1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</row>
    <row r="512" spans="1:1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</row>
    <row r="513" spans="1:1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</row>
    <row r="514" spans="1:1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</row>
    <row r="515" spans="1: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</row>
    <row r="516" spans="1:1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</row>
    <row r="517" spans="1:1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</row>
    <row r="518" spans="1:1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</row>
    <row r="519" spans="1:1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</row>
    <row r="520" spans="1:1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</row>
    <row r="521" spans="1:1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</row>
    <row r="522" spans="1:1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</row>
    <row r="523" spans="1:1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</row>
    <row r="524" spans="1:1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</row>
    <row r="525" spans="1:1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</row>
    <row r="526" spans="1:1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</row>
    <row r="527" spans="1:1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</row>
    <row r="528" spans="1:1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</row>
    <row r="529" spans="1:1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</row>
    <row r="530" spans="1:1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</row>
    <row r="531" spans="1:1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</row>
    <row r="532" spans="1:1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</row>
    <row r="533" spans="1:1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</row>
    <row r="534" spans="1:1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</row>
    <row r="535" spans="1:1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</row>
    <row r="536" spans="1:1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</row>
    <row r="537" spans="1:1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</row>
    <row r="538" spans="1:1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</row>
    <row r="539" spans="1:1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</row>
    <row r="540" spans="1:1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</row>
    <row r="541" spans="1:1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</row>
    <row r="542" spans="1:1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</row>
    <row r="543" spans="1:1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</row>
    <row r="544" spans="1:1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</row>
    <row r="545" spans="1:1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</row>
    <row r="546" spans="1:1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</row>
    <row r="547" spans="1:1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</row>
    <row r="548" spans="1:1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</row>
    <row r="549" spans="1:1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</row>
    <row r="550" spans="1:1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</row>
    <row r="551" spans="1:1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</row>
    <row r="552" spans="1:1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</row>
    <row r="553" spans="1:1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</row>
    <row r="554" spans="1:1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</row>
    <row r="555" spans="1:1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</row>
    <row r="556" spans="1:1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</row>
    <row r="557" spans="1:1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</row>
    <row r="558" spans="1:1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</row>
    <row r="559" spans="1:1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</row>
    <row r="560" spans="1:1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</row>
    <row r="561" spans="1:1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</row>
    <row r="562" spans="1:1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</row>
    <row r="563" spans="1:1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</row>
    <row r="564" spans="1:1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</row>
    <row r="565" spans="1:1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</row>
    <row r="566" spans="1:1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</row>
    <row r="567" spans="1:1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</row>
    <row r="568" spans="1:1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</row>
    <row r="569" spans="1:1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</row>
    <row r="570" spans="1:1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</row>
    <row r="571" spans="1:1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</row>
    <row r="572" spans="1:1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</row>
    <row r="573" spans="1:1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</row>
    <row r="574" spans="1:1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</row>
    <row r="575" spans="1:1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</row>
    <row r="576" spans="1:1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</row>
    <row r="577" spans="1:1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</row>
    <row r="578" spans="1:1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</row>
    <row r="579" spans="1:1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</row>
    <row r="580" spans="1:1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</row>
    <row r="581" spans="1:1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</row>
    <row r="582" spans="1:1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</row>
    <row r="583" spans="1:1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</row>
    <row r="584" spans="1:1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</row>
    <row r="585" spans="1:1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</row>
    <row r="586" spans="1:1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</row>
    <row r="587" spans="1:1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</row>
    <row r="588" spans="1:1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</row>
    <row r="589" spans="1:1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</row>
    <row r="590" spans="1:1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</row>
    <row r="591" spans="1:1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</row>
    <row r="592" spans="1:1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</row>
    <row r="593" spans="1:1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</row>
    <row r="594" spans="1:1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</row>
    <row r="595" spans="1:1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</row>
    <row r="596" spans="1:1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</row>
    <row r="597" spans="1:1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</row>
    <row r="598" spans="1:1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</row>
    <row r="599" spans="1:1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</row>
    <row r="600" spans="1:1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</row>
    <row r="601" spans="1:1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</row>
    <row r="602" spans="1:1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</row>
    <row r="603" spans="1:1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</row>
    <row r="604" spans="1:1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</row>
    <row r="605" spans="1:1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</row>
    <row r="606" spans="1:1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</row>
    <row r="607" spans="1:1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</row>
    <row r="608" spans="1:1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</row>
    <row r="609" spans="1:1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</row>
    <row r="610" spans="1:1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</row>
    <row r="611" spans="1:1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</row>
    <row r="612" spans="1:1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</row>
    <row r="613" spans="1:1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</row>
    <row r="614" spans="1:1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</row>
    <row r="615" spans="1: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</row>
    <row r="616" spans="1:1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</row>
    <row r="617" spans="1:1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</row>
    <row r="618" spans="1:1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</row>
    <row r="619" spans="1:1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</row>
    <row r="620" spans="1:1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</row>
    <row r="621" spans="1:1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</row>
    <row r="622" spans="1:1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</row>
    <row r="623" spans="1:1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</row>
    <row r="624" spans="1:1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</row>
    <row r="625" spans="1:1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</row>
    <row r="626" spans="1:1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</row>
    <row r="627" spans="1:1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</row>
    <row r="628" spans="1:1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</row>
    <row r="629" spans="1:1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</row>
    <row r="630" spans="1:1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</row>
    <row r="631" spans="1:1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</row>
    <row r="632" spans="1:1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</row>
    <row r="633" spans="1:1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</row>
    <row r="634" spans="1:1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</row>
    <row r="635" spans="1:1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</row>
    <row r="636" spans="1:1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</row>
    <row r="637" spans="1:1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</row>
    <row r="638" spans="1:1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</row>
    <row r="639" spans="1:1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</row>
    <row r="640" spans="1:1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</row>
    <row r="641" spans="1:1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</row>
    <row r="642" spans="1:1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</row>
    <row r="643" spans="1:1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</row>
    <row r="644" spans="1:1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</row>
    <row r="645" spans="1:1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</row>
    <row r="646" spans="1:1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</row>
    <row r="647" spans="1:1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</row>
    <row r="648" spans="1:1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</row>
    <row r="649" spans="1:1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</row>
    <row r="650" spans="1:1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</row>
    <row r="651" spans="1:1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</row>
    <row r="652" spans="1:1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</row>
    <row r="653" spans="1:1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</row>
    <row r="654" spans="1:1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</row>
    <row r="655" spans="1:1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</row>
    <row r="656" spans="1:1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</row>
    <row r="657" spans="1:1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</row>
    <row r="658" spans="1:1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</row>
    <row r="659" spans="1:1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</row>
    <row r="660" spans="1:1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</row>
    <row r="661" spans="1:1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</row>
    <row r="662" spans="1:1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</row>
    <row r="663" spans="1:1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</row>
    <row r="664" spans="1:1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</row>
    <row r="665" spans="1:1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</row>
    <row r="666" spans="1:1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</row>
    <row r="667" spans="1:1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</row>
    <row r="668" spans="1:1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</row>
    <row r="669" spans="1:1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</row>
    <row r="670" spans="1:1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</row>
    <row r="671" spans="1:1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</row>
    <row r="672" spans="1:1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</row>
    <row r="673" spans="1:1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</row>
    <row r="674" spans="1:1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</row>
    <row r="675" spans="1:1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</row>
    <row r="676" spans="1:1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</row>
    <row r="677" spans="1:1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</row>
    <row r="678" spans="1:1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</row>
    <row r="679" spans="1:1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</row>
    <row r="680" spans="1:1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</row>
    <row r="681" spans="1:1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</row>
    <row r="682" spans="1:1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</row>
    <row r="683" spans="1:1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</row>
    <row r="684" spans="1:1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</row>
    <row r="685" spans="1:1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</row>
    <row r="686" spans="1:1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</row>
    <row r="687" spans="1:1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</row>
    <row r="688" spans="1:1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</row>
    <row r="689" spans="1:1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</row>
    <row r="690" spans="1:1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</row>
    <row r="691" spans="1:1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</row>
    <row r="692" spans="1:1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</row>
    <row r="693" spans="1:1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</row>
    <row r="694" spans="1:1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</row>
    <row r="695" spans="1:1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</row>
    <row r="696" spans="1:1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</row>
    <row r="697" spans="1:1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</row>
    <row r="698" spans="1:1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</row>
    <row r="699" spans="1:1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</row>
    <row r="700" spans="1:1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</row>
    <row r="701" spans="1:1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</row>
    <row r="702" spans="1:1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</row>
    <row r="703" spans="1:1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</row>
    <row r="704" spans="1:1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</row>
    <row r="705" spans="1:1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</row>
    <row r="706" spans="1:1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</row>
    <row r="707" spans="1:1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</row>
    <row r="708" spans="1:1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</row>
    <row r="709" spans="1:1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</row>
    <row r="710" spans="1:1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</row>
    <row r="711" spans="1:1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</row>
    <row r="712" spans="1:1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</row>
    <row r="713" spans="1:1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</row>
    <row r="714" spans="1:1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</row>
    <row r="715" spans="1: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</row>
    <row r="716" spans="1:1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</row>
    <row r="717" spans="1:1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</row>
    <row r="718" spans="1:1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</row>
    <row r="719" spans="1:1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</row>
    <row r="720" spans="1:1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</row>
    <row r="721" spans="1:1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</row>
    <row r="722" spans="1:1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</row>
    <row r="723" spans="1:1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</row>
    <row r="724" spans="1:1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</row>
    <row r="725" spans="1:1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</row>
    <row r="726" spans="1:1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</row>
    <row r="727" spans="1:1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</row>
    <row r="728" spans="1:1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</row>
    <row r="729" spans="1:1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</row>
    <row r="730" spans="1:1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</row>
    <row r="731" spans="1:1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</row>
    <row r="732" spans="1:1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</row>
    <row r="733" spans="1:1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</row>
    <row r="734" spans="1:1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</row>
    <row r="735" spans="1:1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</row>
    <row r="736" spans="1:1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</row>
    <row r="737" spans="1:1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</row>
    <row r="738" spans="1:1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</row>
    <row r="739" spans="1:1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</row>
    <row r="740" spans="1:1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</row>
    <row r="741" spans="1:1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</row>
    <row r="742" spans="1:1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</row>
    <row r="743" spans="1:1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</row>
    <row r="744" spans="1:1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</row>
    <row r="745" spans="1:1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</row>
    <row r="746" spans="1:1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</row>
    <row r="747" spans="1:1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</row>
    <row r="748" spans="1:1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</row>
    <row r="749" spans="1:1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</row>
    <row r="750" spans="1:1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</row>
    <row r="751" spans="1:1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</row>
    <row r="752" spans="1:1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</row>
    <row r="753" spans="1:1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</row>
    <row r="754" spans="1:1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</row>
    <row r="755" spans="1:1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</row>
    <row r="756" spans="1:1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</row>
    <row r="757" spans="1:1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</row>
    <row r="758" spans="1:1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</row>
    <row r="759" spans="1:1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</row>
    <row r="760" spans="1:1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</row>
    <row r="761" spans="1:1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</row>
    <row r="762" spans="1:1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</row>
    <row r="763" spans="1:1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</row>
    <row r="764" spans="1:1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</row>
    <row r="765" spans="1:1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</row>
    <row r="766" spans="1:1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</row>
    <row r="767" spans="1:1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</row>
    <row r="768" spans="1:1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</row>
    <row r="769" spans="1:1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</row>
    <row r="770" spans="1:1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</row>
    <row r="771" spans="1:1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</row>
    <row r="772" spans="1:1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</row>
    <row r="773" spans="1:1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</row>
    <row r="774" spans="1:1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</row>
    <row r="775" spans="1:1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</row>
    <row r="776" spans="1:1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</row>
    <row r="777" spans="1:1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</row>
    <row r="778" spans="1:1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</row>
    <row r="779" spans="1:1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</row>
    <row r="780" spans="1:1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</row>
    <row r="781" spans="1:1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</row>
    <row r="782" spans="1:1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</row>
    <row r="783" spans="1:1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</row>
    <row r="784" spans="1:1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</row>
    <row r="785" spans="1:1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</row>
    <row r="786" spans="1:1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</row>
    <row r="787" spans="1:1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</row>
    <row r="788" spans="1:1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</row>
    <row r="789" spans="1:1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</row>
    <row r="790" spans="1:1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</row>
    <row r="791" spans="1:1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</row>
    <row r="792" spans="1:1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</row>
    <row r="793" spans="1:1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</row>
    <row r="794" spans="1:1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</row>
    <row r="795" spans="1:1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</row>
    <row r="796" spans="1:1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</row>
    <row r="797" spans="1:1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</row>
    <row r="798" spans="1:1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</row>
    <row r="799" spans="1:1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</row>
    <row r="800" spans="1:1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</row>
    <row r="801" spans="1:1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</row>
    <row r="802" spans="1:1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</row>
    <row r="803" spans="1:1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</row>
    <row r="804" spans="1:1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</row>
    <row r="805" spans="1:1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</row>
    <row r="806" spans="1:1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</row>
    <row r="807" spans="1:1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</row>
    <row r="808" spans="1:1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</row>
    <row r="809" spans="1:1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</row>
    <row r="810" spans="1:1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</row>
    <row r="811" spans="1:1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</row>
    <row r="812" spans="1:1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</row>
    <row r="813" spans="1:1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</row>
    <row r="814" spans="1:1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</row>
    <row r="815" spans="1: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</row>
    <row r="816" spans="1:1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</row>
    <row r="817" spans="1:1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</row>
    <row r="818" spans="1:1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</row>
    <row r="819" spans="1:1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</row>
    <row r="820" spans="1:1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</row>
    <row r="821" spans="1:1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</row>
    <row r="822" spans="1:1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</row>
    <row r="823" spans="1:1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</row>
    <row r="824" spans="1:1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</row>
    <row r="825" spans="1:1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</row>
    <row r="826" spans="1:1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</row>
    <row r="827" spans="1:1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</row>
    <row r="828" spans="1:1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</row>
    <row r="829" spans="1:1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</row>
    <row r="830" spans="1:1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</row>
    <row r="831" spans="1:1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</row>
    <row r="832" spans="1:1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</row>
    <row r="833" spans="1:1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</row>
    <row r="834" spans="1:1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</row>
    <row r="835" spans="1:1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</row>
    <row r="836" spans="1:1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</row>
    <row r="837" spans="1:1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</row>
    <row r="838" spans="1:1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</row>
    <row r="839" spans="1:1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</row>
    <row r="840" spans="1:1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</row>
    <row r="841" spans="1:1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</row>
    <row r="842" spans="1:1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</row>
    <row r="843" spans="1:1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</row>
    <row r="844" spans="1:1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</row>
    <row r="845" spans="1:1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</row>
    <row r="846" spans="1:1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</row>
    <row r="847" spans="1:1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</row>
    <row r="848" spans="1:1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</row>
    <row r="849" spans="1:1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</row>
    <row r="850" spans="1:1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</row>
    <row r="851" spans="1:1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</row>
    <row r="852" spans="1:1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</row>
    <row r="853" spans="1:1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</row>
    <row r="854" spans="1:1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</row>
    <row r="855" spans="1:1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</row>
    <row r="856" spans="1:1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</row>
    <row r="857" spans="1:1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</row>
    <row r="858" spans="1:1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</row>
    <row r="859" spans="1:1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</row>
    <row r="860" spans="1:1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</row>
    <row r="861" spans="1:1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</row>
    <row r="862" spans="1:1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</row>
    <row r="863" spans="1:1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</row>
    <row r="864" spans="1:1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</row>
    <row r="865" spans="1:1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</row>
    <row r="866" spans="1:1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</row>
    <row r="867" spans="1:1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</row>
    <row r="868" spans="1:1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</row>
    <row r="869" spans="1:1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</row>
    <row r="870" spans="1:1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</row>
    <row r="871" spans="1:1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</row>
    <row r="872" spans="1:1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</row>
    <row r="873" spans="1:1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</row>
    <row r="874" spans="1:1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</row>
    <row r="875" spans="1:1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</row>
    <row r="876" spans="1:1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</row>
    <row r="877" spans="1:1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</row>
    <row r="878" spans="1:1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</row>
    <row r="879" spans="1:1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</row>
    <row r="880" spans="1:1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</row>
    <row r="881" spans="1:1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</row>
    <row r="882" spans="1:1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</row>
    <row r="883" spans="1:1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</row>
    <row r="884" spans="1:1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</row>
    <row r="885" spans="1:1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</row>
    <row r="886" spans="1:1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</row>
    <row r="887" spans="1:1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</row>
    <row r="888" spans="1:1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</row>
    <row r="889" spans="1:1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</row>
    <row r="890" spans="1:1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</row>
    <row r="891" spans="1:1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</row>
    <row r="892" spans="1:1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</row>
    <row r="893" spans="1:1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</row>
    <row r="894" spans="1:1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</row>
    <row r="895" spans="1:1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</row>
    <row r="896" spans="1:1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</row>
    <row r="897" spans="1:1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</row>
    <row r="898" spans="1:1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</row>
    <row r="899" spans="1:1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</row>
    <row r="900" spans="1:1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</row>
    <row r="901" spans="1:1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</row>
    <row r="902" spans="1:1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</row>
    <row r="903" spans="1:1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</row>
    <row r="904" spans="1:1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</row>
    <row r="905" spans="1:1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</row>
    <row r="906" spans="1:1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</row>
    <row r="907" spans="1:1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</row>
    <row r="908" spans="1:1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</row>
    <row r="909" spans="1:1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</row>
    <row r="910" spans="1:1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</row>
    <row r="911" spans="1:1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</row>
    <row r="912" spans="1:1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</row>
    <row r="913" spans="1:1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</row>
    <row r="914" spans="1:1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</row>
    <row r="915" spans="1: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</row>
    <row r="916" spans="1:1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</row>
    <row r="917" spans="1:1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</row>
    <row r="918" spans="1:1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</row>
    <row r="919" spans="1:1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</row>
    <row r="920" spans="1:1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</row>
    <row r="921" spans="1:1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</row>
    <row r="922" spans="1:1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</row>
    <row r="923" spans="1:1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</row>
    <row r="924" spans="1:1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</row>
    <row r="925" spans="1:1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</row>
    <row r="926" spans="1:1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</row>
    <row r="927" spans="1:1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</row>
    <row r="928" spans="1:1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</row>
    <row r="929" spans="1:1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</row>
    <row r="930" spans="1:1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</row>
    <row r="931" spans="1:1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</row>
    <row r="932" spans="1:1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</row>
    <row r="933" spans="1:1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</row>
    <row r="934" spans="1:1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</row>
    <row r="935" spans="1:1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</row>
    <row r="936" spans="1:1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</row>
    <row r="937" spans="1:1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</row>
    <row r="938" spans="1:1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</row>
    <row r="939" spans="1:1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</row>
    <row r="940" spans="1:1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</row>
    <row r="941" spans="1:1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</row>
    <row r="942" spans="1:1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</row>
    <row r="943" spans="1:1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</row>
    <row r="944" spans="1:1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</row>
    <row r="945" spans="1:1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</row>
    <row r="946" spans="1:1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</row>
    <row r="947" spans="1:1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</row>
    <row r="948" spans="1:1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</row>
    <row r="949" spans="1:1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</row>
    <row r="950" spans="1:1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</row>
    <row r="951" spans="1:1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</row>
    <row r="952" spans="1:1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</row>
    <row r="953" spans="1:1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</row>
    <row r="954" spans="1:1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</row>
    <row r="955" spans="1:1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</row>
    <row r="956" spans="1:1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</row>
    <row r="957" spans="1:1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</row>
    <row r="958" spans="1:1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</row>
    <row r="959" spans="1:1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</row>
    <row r="960" spans="1:1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</row>
    <row r="961" spans="1:1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</row>
    <row r="962" spans="1:1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</row>
    <row r="963" spans="1:1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</row>
    <row r="964" spans="1:1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</row>
    <row r="965" spans="1:1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</row>
    <row r="966" spans="1:1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</row>
    <row r="967" spans="1:1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</row>
    <row r="968" spans="1:1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</row>
    <row r="969" spans="1:1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</row>
    <row r="970" spans="1:1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</row>
    <row r="971" spans="1:1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</row>
    <row r="972" spans="1:1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</row>
    <row r="973" spans="1:1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</row>
    <row r="974" spans="1:1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</row>
    <row r="975" spans="1:1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</row>
    <row r="976" spans="1:1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</row>
    <row r="977" spans="1:1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</row>
    <row r="978" spans="1:1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</row>
    <row r="979" spans="1:1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</row>
    <row r="980" spans="1:1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</row>
    <row r="981" spans="1:1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</row>
    <row r="982" spans="1:1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</row>
    <row r="983" spans="1:1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</row>
    <row r="984" spans="1:1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</row>
    <row r="985" spans="1:1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</row>
    <row r="986" spans="1:1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</row>
    <row r="987" spans="1:1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</row>
    <row r="988" spans="1:1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</row>
    <row r="989" spans="1:1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</row>
    <row r="990" spans="1:1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</row>
    <row r="991" spans="1:1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</row>
    <row r="992" spans="1:1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</row>
    <row r="993" spans="1:1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</row>
    <row r="994" spans="1:1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</row>
    <row r="995" spans="1:1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</row>
    <row r="996" spans="1:1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</row>
    <row r="997" spans="1:1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</row>
    <row r="998" spans="1:1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</row>
    <row r="999" spans="1:1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</row>
    <row r="1000" spans="1:1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</row>
    <row r="1001" spans="1:1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</row>
    <row r="1002" spans="1:1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</row>
    <row r="1003" spans="1:15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</row>
    <row r="1004" spans="1:15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</row>
    <row r="1005" spans="1:1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</row>
    <row r="1006" spans="1:15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</row>
    <row r="1007" spans="1:15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</row>
    <row r="1008" spans="1:15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</row>
    <row r="1009" spans="1:15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</row>
    <row r="1010" spans="1:15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</row>
    <row r="1011" spans="1:15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</row>
    <row r="1012" spans="1:15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</row>
    <row r="1013" spans="1:15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</row>
    <row r="1014" spans="1:15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</row>
    <row r="1015" spans="1: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</row>
  </sheetData>
  <autoFilter ref="A1:AL1" xr:uid="{09B8F24A-B406-4F38-88B4-431C0545D777}"/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43FD-FF5C-49F6-8742-188586761649}">
  <sheetPr>
    <outlinePr summaryBelow="0" summaryRight="0"/>
  </sheetPr>
  <dimension ref="A1:M86"/>
  <sheetViews>
    <sheetView topLeftCell="A22" workbookViewId="0">
      <selection activeCell="I82" sqref="I82"/>
    </sheetView>
  </sheetViews>
  <sheetFormatPr baseColWidth="10" defaultColWidth="16.85546875" defaultRowHeight="15" customHeight="1"/>
  <cols>
    <col min="1" max="1" width="17" bestFit="1" customWidth="1"/>
    <col min="2" max="2" width="19.85546875" bestFit="1" customWidth="1"/>
    <col min="3" max="3" width="6" bestFit="1" customWidth="1"/>
    <col min="4" max="4" width="10.140625" bestFit="1" customWidth="1"/>
    <col min="5" max="5" width="18.140625" bestFit="1" customWidth="1"/>
    <col min="6" max="6" width="8.28515625" bestFit="1" customWidth="1"/>
    <col min="7" max="7" width="18.85546875" bestFit="1" customWidth="1"/>
    <col min="8" max="8" width="8" customWidth="1"/>
    <col min="9" max="9" width="21.140625" bestFit="1" customWidth="1"/>
  </cols>
  <sheetData>
    <row r="1" spans="1:13" ht="15" customHeight="1">
      <c r="A1" s="106" t="s">
        <v>38</v>
      </c>
      <c r="B1" s="106" t="s">
        <v>39</v>
      </c>
      <c r="C1" s="106" t="s">
        <v>1043</v>
      </c>
      <c r="D1" s="106" t="s">
        <v>1044</v>
      </c>
      <c r="E1" s="106" t="s">
        <v>45</v>
      </c>
      <c r="F1" s="106" t="s">
        <v>46</v>
      </c>
      <c r="G1" s="106" t="s">
        <v>321</v>
      </c>
      <c r="H1" s="106" t="s">
        <v>47</v>
      </c>
      <c r="I1" s="106" t="s">
        <v>48</v>
      </c>
      <c r="J1" s="105"/>
      <c r="K1" s="105"/>
      <c r="L1" s="104"/>
      <c r="M1" s="103"/>
    </row>
    <row r="2" spans="1:13" ht="15" customHeight="1">
      <c r="A2" s="97" t="s">
        <v>18</v>
      </c>
      <c r="B2" t="s">
        <v>305</v>
      </c>
      <c r="C2">
        <v>0.5</v>
      </c>
      <c r="D2" s="102" t="s">
        <v>52</v>
      </c>
      <c r="E2" s="102" t="s">
        <v>1046</v>
      </c>
      <c r="F2" s="102" t="s">
        <v>823</v>
      </c>
      <c r="G2" s="102" t="s">
        <v>49</v>
      </c>
      <c r="H2" s="96">
        <v>51525.762692961005</v>
      </c>
      <c r="I2" s="96"/>
      <c r="J2" s="96"/>
    </row>
    <row r="3" spans="1:13" ht="15" customHeight="1">
      <c r="A3" s="97" t="s">
        <v>18</v>
      </c>
      <c r="B3" t="s">
        <v>305</v>
      </c>
      <c r="C3">
        <v>1</v>
      </c>
      <c r="D3" s="102" t="s">
        <v>52</v>
      </c>
      <c r="E3" s="102" t="s">
        <v>1046</v>
      </c>
      <c r="F3" s="102" t="s">
        <v>823</v>
      </c>
      <c r="G3" s="102" t="s">
        <v>49</v>
      </c>
      <c r="H3" s="96">
        <v>25197.898937198999</v>
      </c>
      <c r="I3" s="96"/>
      <c r="J3" s="96"/>
    </row>
    <row r="4" spans="1:13" ht="15" customHeight="1">
      <c r="A4" s="97" t="s">
        <v>18</v>
      </c>
      <c r="B4" t="s">
        <v>305</v>
      </c>
      <c r="C4">
        <v>1.5</v>
      </c>
      <c r="D4" s="102" t="s">
        <v>52</v>
      </c>
      <c r="E4" s="102" t="s">
        <v>1046</v>
      </c>
      <c r="F4" s="102" t="s">
        <v>823</v>
      </c>
      <c r="G4" s="102" t="s">
        <v>49</v>
      </c>
      <c r="H4" s="96">
        <v>16581.257785747999</v>
      </c>
      <c r="I4" s="96"/>
      <c r="J4" s="96"/>
    </row>
    <row r="5" spans="1:13" ht="15" customHeight="1">
      <c r="A5" s="97" t="s">
        <v>18</v>
      </c>
      <c r="B5" t="s">
        <v>305</v>
      </c>
      <c r="C5">
        <v>2</v>
      </c>
      <c r="D5" s="102" t="s">
        <v>52</v>
      </c>
      <c r="E5" s="102" t="s">
        <v>1046</v>
      </c>
      <c r="F5" s="102" t="s">
        <v>823</v>
      </c>
      <c r="G5" s="102" t="s">
        <v>49</v>
      </c>
      <c r="H5" s="96">
        <v>12321.997307187001</v>
      </c>
      <c r="I5" s="96"/>
      <c r="J5" s="96"/>
    </row>
    <row r="6" spans="1:13" ht="15" customHeight="1">
      <c r="A6" s="97" t="s">
        <v>18</v>
      </c>
      <c r="B6" t="s">
        <v>305</v>
      </c>
      <c r="C6">
        <v>2.0499999999999998</v>
      </c>
      <c r="D6" s="102" t="s">
        <v>52</v>
      </c>
      <c r="E6" s="102" t="s">
        <v>1046</v>
      </c>
      <c r="F6" s="102" t="s">
        <v>823</v>
      </c>
      <c r="G6" s="102" t="s">
        <v>49</v>
      </c>
      <c r="H6" s="96">
        <v>10710.927019655999</v>
      </c>
      <c r="I6" s="96"/>
      <c r="J6" s="96"/>
    </row>
    <row r="7" spans="1:13" ht="15" customHeight="1">
      <c r="A7" s="97" t="s">
        <v>18</v>
      </c>
      <c r="B7" t="s">
        <v>305</v>
      </c>
      <c r="C7">
        <v>2.5</v>
      </c>
      <c r="D7" s="102" t="s">
        <v>52</v>
      </c>
      <c r="E7" s="102" t="s">
        <v>1046</v>
      </c>
      <c r="F7" s="102" t="s">
        <v>823</v>
      </c>
      <c r="G7" s="102" t="s">
        <v>49</v>
      </c>
      <c r="H7" s="96">
        <v>9787.7531482809991</v>
      </c>
      <c r="I7" s="96"/>
      <c r="J7" s="96"/>
    </row>
    <row r="8" spans="1:13" ht="15" customHeight="1">
      <c r="A8" s="97" t="s">
        <v>18</v>
      </c>
      <c r="B8" t="s">
        <v>305</v>
      </c>
      <c r="C8">
        <v>3</v>
      </c>
      <c r="D8" s="102" t="s">
        <v>52</v>
      </c>
      <c r="E8" s="102" t="s">
        <v>1046</v>
      </c>
      <c r="F8" s="102" t="s">
        <v>823</v>
      </c>
      <c r="G8" s="102" t="s">
        <v>49</v>
      </c>
      <c r="H8" s="96">
        <v>8109.1592861580002</v>
      </c>
      <c r="I8" s="96"/>
      <c r="J8" s="96"/>
    </row>
    <row r="9" spans="1:13" ht="15" customHeight="1">
      <c r="A9" s="97" t="s">
        <v>18</v>
      </c>
      <c r="B9" t="s">
        <v>594</v>
      </c>
      <c r="C9">
        <v>0.18</v>
      </c>
      <c r="D9" s="102" t="s">
        <v>52</v>
      </c>
      <c r="E9" s="102" t="s">
        <v>1046</v>
      </c>
      <c r="F9" s="102" t="s">
        <v>823</v>
      </c>
      <c r="G9" s="102" t="s">
        <v>49</v>
      </c>
      <c r="H9" s="96">
        <v>19486.881604909999</v>
      </c>
      <c r="I9" s="96"/>
      <c r="J9" s="96"/>
    </row>
    <row r="10" spans="1:13" ht="15" customHeight="1">
      <c r="A10" s="97" t="s">
        <v>18</v>
      </c>
      <c r="B10" t="s">
        <v>594</v>
      </c>
      <c r="C10">
        <v>0.5</v>
      </c>
      <c r="D10" s="102" t="s">
        <v>52</v>
      </c>
      <c r="E10" s="102" t="s">
        <v>1046</v>
      </c>
      <c r="F10" s="102" t="s">
        <v>823</v>
      </c>
      <c r="G10" s="102" t="s">
        <v>49</v>
      </c>
      <c r="H10" s="96">
        <v>7778.9268041690011</v>
      </c>
      <c r="I10" s="96"/>
      <c r="J10" s="96"/>
    </row>
    <row r="11" spans="1:13" ht="15" customHeight="1">
      <c r="A11" s="97" t="s">
        <v>18</v>
      </c>
      <c r="B11" t="s">
        <v>594</v>
      </c>
      <c r="C11">
        <v>1</v>
      </c>
      <c r="D11" s="102" t="s">
        <v>52</v>
      </c>
      <c r="E11" s="102" t="s">
        <v>1046</v>
      </c>
      <c r="F11" s="102" t="s">
        <v>823</v>
      </c>
      <c r="G11" s="102" t="s">
        <v>49</v>
      </c>
      <c r="H11" s="96">
        <v>5228.8568074680006</v>
      </c>
      <c r="I11" s="96"/>
      <c r="J11" s="96"/>
    </row>
    <row r="12" spans="1:13" ht="15" customHeight="1">
      <c r="A12" s="97" t="s">
        <v>18</v>
      </c>
      <c r="B12" t="s">
        <v>594</v>
      </c>
      <c r="C12">
        <v>1.5</v>
      </c>
      <c r="D12" s="102" t="s">
        <v>52</v>
      </c>
      <c r="E12" s="102" t="s">
        <v>1046</v>
      </c>
      <c r="F12" s="102" t="s">
        <v>823</v>
      </c>
      <c r="G12" s="102" t="s">
        <v>49</v>
      </c>
      <c r="H12" s="96">
        <v>4145.3144464369998</v>
      </c>
      <c r="I12" s="96"/>
      <c r="J12" s="96"/>
    </row>
    <row r="13" spans="1:13" ht="15" customHeight="1">
      <c r="A13" s="97" t="s">
        <v>18</v>
      </c>
      <c r="B13" t="s">
        <v>594</v>
      </c>
      <c r="C13">
        <v>2</v>
      </c>
      <c r="D13" s="102" t="s">
        <v>52</v>
      </c>
      <c r="E13" s="102" t="s">
        <v>1046</v>
      </c>
      <c r="F13" s="102" t="s">
        <v>823</v>
      </c>
      <c r="G13" s="102" t="s">
        <v>49</v>
      </c>
      <c r="H13" s="96">
        <v>3515.4461021960001</v>
      </c>
      <c r="I13" s="96"/>
      <c r="J13" s="96"/>
    </row>
    <row r="14" spans="1:13" ht="15" customHeight="1">
      <c r="A14" s="97" t="s">
        <v>18</v>
      </c>
      <c r="B14" t="s">
        <v>594</v>
      </c>
      <c r="C14">
        <v>2.5</v>
      </c>
      <c r="D14" s="102" t="s">
        <v>52</v>
      </c>
      <c r="E14" s="102" t="s">
        <v>1046</v>
      </c>
      <c r="F14" s="102" t="s">
        <v>823</v>
      </c>
      <c r="G14" s="102" t="s">
        <v>49</v>
      </c>
      <c r="H14" s="96">
        <v>3093.4237609960001</v>
      </c>
      <c r="I14" s="96"/>
      <c r="J14" s="96"/>
    </row>
    <row r="15" spans="1:13" ht="15" customHeight="1">
      <c r="A15" s="97" t="s">
        <v>18</v>
      </c>
      <c r="B15" t="s">
        <v>594</v>
      </c>
      <c r="C15">
        <v>3</v>
      </c>
      <c r="D15" s="102" t="s">
        <v>52</v>
      </c>
      <c r="E15" s="102" t="s">
        <v>1046</v>
      </c>
      <c r="F15" s="102" t="s">
        <v>823</v>
      </c>
      <c r="G15" s="102" t="s">
        <v>49</v>
      </c>
      <c r="H15" s="96">
        <v>2786.4025077730003</v>
      </c>
      <c r="I15" s="96"/>
      <c r="J15" s="96"/>
    </row>
    <row r="16" spans="1:13" ht="15" customHeight="1">
      <c r="A16" s="97" t="s">
        <v>18</v>
      </c>
      <c r="B16" t="s">
        <v>305</v>
      </c>
      <c r="C16">
        <v>0.5</v>
      </c>
      <c r="D16" s="102" t="s">
        <v>52</v>
      </c>
      <c r="E16" s="102" t="s">
        <v>1046</v>
      </c>
      <c r="F16" s="102" t="s">
        <v>823</v>
      </c>
      <c r="G16" s="102" t="s">
        <v>54</v>
      </c>
      <c r="H16" s="96">
        <v>48098.941282416999</v>
      </c>
      <c r="I16" s="96"/>
      <c r="J16" s="96"/>
    </row>
    <row r="17" spans="1:10" ht="15" customHeight="1">
      <c r="A17" s="97" t="s">
        <v>18</v>
      </c>
      <c r="B17" t="s">
        <v>305</v>
      </c>
      <c r="C17">
        <v>1</v>
      </c>
      <c r="D17" s="102" t="s">
        <v>52</v>
      </c>
      <c r="E17" s="102" t="s">
        <v>1046</v>
      </c>
      <c r="F17" s="102" t="s">
        <v>823</v>
      </c>
      <c r="G17" s="102" t="s">
        <v>54</v>
      </c>
      <c r="H17" s="96">
        <v>23522.470242635005</v>
      </c>
      <c r="I17" s="96"/>
      <c r="J17" s="96"/>
    </row>
    <row r="18" spans="1:10" ht="15" customHeight="1">
      <c r="A18" s="97" t="s">
        <v>18</v>
      </c>
      <c r="B18" t="s">
        <v>305</v>
      </c>
      <c r="C18">
        <v>1.5</v>
      </c>
      <c r="D18" s="102" t="s">
        <v>52</v>
      </c>
      <c r="E18" s="102" t="s">
        <v>1046</v>
      </c>
      <c r="F18" s="102" t="s">
        <v>823</v>
      </c>
      <c r="G18" s="102" t="s">
        <v>54</v>
      </c>
      <c r="H18" s="96">
        <v>15478.724419362999</v>
      </c>
      <c r="I18" s="96"/>
      <c r="J18" s="96"/>
    </row>
    <row r="19" spans="1:10" ht="15" customHeight="1">
      <c r="A19" s="97" t="s">
        <v>18</v>
      </c>
      <c r="B19" t="s">
        <v>305</v>
      </c>
      <c r="C19">
        <v>2</v>
      </c>
      <c r="D19" s="102" t="s">
        <v>52</v>
      </c>
      <c r="E19" s="102" t="s">
        <v>1046</v>
      </c>
      <c r="F19" s="102" t="s">
        <v>823</v>
      </c>
      <c r="G19" s="102" t="s">
        <v>54</v>
      </c>
      <c r="H19" s="96">
        <v>11503.273965259001</v>
      </c>
      <c r="I19" s="96"/>
      <c r="J19" s="96"/>
    </row>
    <row r="20" spans="1:10" ht="15" customHeight="1">
      <c r="A20" s="97" t="s">
        <v>18</v>
      </c>
      <c r="B20" t="s">
        <v>305</v>
      </c>
      <c r="C20">
        <v>2.0499999999999998</v>
      </c>
      <c r="D20" s="102" t="s">
        <v>52</v>
      </c>
      <c r="E20" s="102" t="s">
        <v>1046</v>
      </c>
      <c r="F20" s="102" t="s">
        <v>823</v>
      </c>
      <c r="G20" s="102" t="s">
        <v>54</v>
      </c>
      <c r="H20" s="96">
        <v>9998.7643188810016</v>
      </c>
      <c r="I20" s="96"/>
      <c r="J20" s="96"/>
    </row>
    <row r="21" spans="1:10" ht="15" customHeight="1">
      <c r="A21" s="97" t="s">
        <v>18</v>
      </c>
      <c r="B21" t="s">
        <v>305</v>
      </c>
      <c r="C21">
        <v>2.5</v>
      </c>
      <c r="D21" s="102" t="s">
        <v>52</v>
      </c>
      <c r="E21" s="102" t="s">
        <v>1046</v>
      </c>
      <c r="F21" s="102" t="s">
        <v>823</v>
      </c>
      <c r="G21" s="102" t="s">
        <v>54</v>
      </c>
      <c r="H21" s="96">
        <v>9136.7836869800012</v>
      </c>
      <c r="I21" s="96"/>
      <c r="J21" s="96"/>
    </row>
    <row r="22" spans="1:10" ht="15" customHeight="1">
      <c r="A22" s="97" t="s">
        <v>18</v>
      </c>
      <c r="B22" t="s">
        <v>305</v>
      </c>
      <c r="C22">
        <v>3</v>
      </c>
      <c r="D22" s="102" t="s">
        <v>52</v>
      </c>
      <c r="E22" s="102" t="s">
        <v>1046</v>
      </c>
      <c r="F22" s="102" t="s">
        <v>823</v>
      </c>
      <c r="G22" s="102" t="s">
        <v>54</v>
      </c>
      <c r="H22" s="96">
        <v>7570.0257452750002</v>
      </c>
      <c r="I22" s="96"/>
      <c r="J22" s="96"/>
    </row>
    <row r="23" spans="1:10" ht="15" customHeight="1">
      <c r="A23" s="97" t="s">
        <v>18</v>
      </c>
      <c r="B23" t="s">
        <v>594</v>
      </c>
      <c r="C23">
        <v>0.18</v>
      </c>
      <c r="D23" s="102" t="s">
        <v>52</v>
      </c>
      <c r="E23" s="102" t="s">
        <v>1046</v>
      </c>
      <c r="F23" s="102" t="s">
        <v>823</v>
      </c>
      <c r="G23" s="102" t="s">
        <v>54</v>
      </c>
      <c r="H23" s="96">
        <v>33537.060399310998</v>
      </c>
      <c r="I23" s="96"/>
      <c r="J23" s="96"/>
    </row>
    <row r="24" spans="1:10" ht="15" customHeight="1">
      <c r="A24" s="97" t="s">
        <v>18</v>
      </c>
      <c r="B24" t="s">
        <v>594</v>
      </c>
      <c r="C24">
        <v>0.5</v>
      </c>
      <c r="D24" s="102" t="s">
        <v>52</v>
      </c>
      <c r="E24" s="102" t="s">
        <v>1046</v>
      </c>
      <c r="F24" s="102" t="s">
        <v>823</v>
      </c>
      <c r="G24" s="102" t="s">
        <v>54</v>
      </c>
      <c r="H24" s="96">
        <v>13388.65877457</v>
      </c>
      <c r="I24" s="96"/>
      <c r="J24" s="96"/>
    </row>
    <row r="25" spans="1:10" ht="15" customHeight="1">
      <c r="A25" s="97" t="s">
        <v>18</v>
      </c>
      <c r="B25" t="s">
        <v>594</v>
      </c>
      <c r="C25">
        <v>1</v>
      </c>
      <c r="D25" s="102" t="s">
        <v>52</v>
      </c>
      <c r="E25" s="102" t="s">
        <v>1046</v>
      </c>
      <c r="F25" s="102" t="s">
        <v>823</v>
      </c>
      <c r="G25" s="102" t="s">
        <v>54</v>
      </c>
      <c r="H25" s="96">
        <v>8999.6264260900007</v>
      </c>
      <c r="I25" s="96"/>
      <c r="J25" s="96"/>
    </row>
    <row r="26" spans="1:10" ht="15" customHeight="1">
      <c r="A26" s="97" t="s">
        <v>18</v>
      </c>
      <c r="B26" t="s">
        <v>594</v>
      </c>
      <c r="C26">
        <v>1.5</v>
      </c>
      <c r="D26" s="102" t="s">
        <v>52</v>
      </c>
      <c r="E26" s="102" t="s">
        <v>1046</v>
      </c>
      <c r="F26" s="102" t="s">
        <v>823</v>
      </c>
      <c r="G26" s="102" t="s">
        <v>54</v>
      </c>
      <c r="H26" s="96">
        <v>7134.2876779859998</v>
      </c>
      <c r="I26" s="96"/>
      <c r="J26" s="96"/>
    </row>
    <row r="27" spans="1:10" ht="15" customHeight="1">
      <c r="A27" s="97" t="s">
        <v>18</v>
      </c>
      <c r="B27" t="s">
        <v>594</v>
      </c>
      <c r="C27">
        <v>2</v>
      </c>
      <c r="D27" s="102" t="s">
        <v>52</v>
      </c>
      <c r="E27" s="102" t="s">
        <v>1046</v>
      </c>
      <c r="F27" s="102" t="s">
        <v>823</v>
      </c>
      <c r="G27" s="102" t="s">
        <v>54</v>
      </c>
      <c r="H27" s="96">
        <v>6049.6902611020005</v>
      </c>
      <c r="I27" s="96"/>
      <c r="J27" s="96"/>
    </row>
    <row r="28" spans="1:10" ht="15" customHeight="1">
      <c r="A28" s="97" t="s">
        <v>18</v>
      </c>
      <c r="B28" t="s">
        <v>594</v>
      </c>
      <c r="C28">
        <v>2.5</v>
      </c>
      <c r="D28" s="102" t="s">
        <v>52</v>
      </c>
      <c r="E28" s="102" t="s">
        <v>1046</v>
      </c>
      <c r="F28" s="102" t="s">
        <v>823</v>
      </c>
      <c r="G28" s="102" t="s">
        <v>54</v>
      </c>
      <c r="H28" s="96">
        <v>5323.8118342380003</v>
      </c>
      <c r="I28" s="96"/>
      <c r="J28" s="96"/>
    </row>
    <row r="29" spans="1:10" ht="15" customHeight="1">
      <c r="A29" s="97" t="s">
        <v>18</v>
      </c>
      <c r="B29" t="s">
        <v>594</v>
      </c>
      <c r="C29">
        <v>3</v>
      </c>
      <c r="D29" s="102" t="s">
        <v>52</v>
      </c>
      <c r="E29" s="102" t="s">
        <v>1046</v>
      </c>
      <c r="F29" s="102" t="s">
        <v>823</v>
      </c>
      <c r="G29" s="102" t="s">
        <v>54</v>
      </c>
      <c r="H29" s="96">
        <v>4795.228851885</v>
      </c>
      <c r="I29" s="96"/>
      <c r="J29" s="96"/>
    </row>
    <row r="30" spans="1:10" ht="15" customHeight="1">
      <c r="A30" s="97" t="s">
        <v>18</v>
      </c>
      <c r="B30" t="s">
        <v>305</v>
      </c>
      <c r="C30">
        <v>0.5</v>
      </c>
      <c r="D30" s="102" t="s">
        <v>52</v>
      </c>
      <c r="E30" s="102" t="s">
        <v>1046</v>
      </c>
      <c r="F30" s="102" t="s">
        <v>823</v>
      </c>
      <c r="G30" s="102" t="s">
        <v>1047</v>
      </c>
      <c r="H30" s="96">
        <f>H2+H16</f>
        <v>99624.703975378012</v>
      </c>
      <c r="I30" s="96"/>
      <c r="J30" s="96"/>
    </row>
    <row r="31" spans="1:10" ht="15" customHeight="1">
      <c r="A31" s="97" t="s">
        <v>18</v>
      </c>
      <c r="B31" t="s">
        <v>305</v>
      </c>
      <c r="C31">
        <v>1</v>
      </c>
      <c r="D31" s="102" t="s">
        <v>52</v>
      </c>
      <c r="E31" s="102" t="s">
        <v>1046</v>
      </c>
      <c r="F31" s="102" t="s">
        <v>823</v>
      </c>
      <c r="G31" s="102" t="s">
        <v>1047</v>
      </c>
      <c r="H31" s="96">
        <f t="shared" ref="H31:H43" si="0">H3+H17</f>
        <v>48720.369179834001</v>
      </c>
      <c r="I31" s="96"/>
      <c r="J31" s="96"/>
    </row>
    <row r="32" spans="1:10" ht="15" customHeight="1">
      <c r="A32" s="97" t="s">
        <v>18</v>
      </c>
      <c r="B32" t="s">
        <v>305</v>
      </c>
      <c r="C32">
        <v>1.5</v>
      </c>
      <c r="D32" s="102" t="s">
        <v>52</v>
      </c>
      <c r="E32" s="102" t="s">
        <v>1046</v>
      </c>
      <c r="F32" s="102" t="s">
        <v>823</v>
      </c>
      <c r="G32" s="102" t="s">
        <v>1047</v>
      </c>
      <c r="H32" s="96">
        <f t="shared" si="0"/>
        <v>32059.982205110999</v>
      </c>
      <c r="I32" s="96"/>
      <c r="J32" s="96"/>
    </row>
    <row r="33" spans="1:13" ht="15" customHeight="1">
      <c r="A33" s="97" t="s">
        <v>18</v>
      </c>
      <c r="B33" t="s">
        <v>305</v>
      </c>
      <c r="C33">
        <v>2</v>
      </c>
      <c r="D33" s="102" t="s">
        <v>52</v>
      </c>
      <c r="E33" s="102" t="s">
        <v>1046</v>
      </c>
      <c r="F33" s="102" t="s">
        <v>823</v>
      </c>
      <c r="G33" s="102" t="s">
        <v>1047</v>
      </c>
      <c r="H33" s="96">
        <f t="shared" si="0"/>
        <v>23825.271272446</v>
      </c>
      <c r="I33" s="96"/>
      <c r="J33" s="96"/>
    </row>
    <row r="34" spans="1:13" ht="15" customHeight="1">
      <c r="A34" s="97" t="s">
        <v>18</v>
      </c>
      <c r="B34" t="s">
        <v>305</v>
      </c>
      <c r="C34">
        <v>2.0499999999999998</v>
      </c>
      <c r="D34" s="102" t="s">
        <v>52</v>
      </c>
      <c r="E34" s="102" t="s">
        <v>1046</v>
      </c>
      <c r="F34" s="102" t="s">
        <v>823</v>
      </c>
      <c r="G34" s="102" t="s">
        <v>1047</v>
      </c>
      <c r="H34" s="96">
        <f t="shared" si="0"/>
        <v>20709.691338536999</v>
      </c>
      <c r="I34" s="96"/>
      <c r="J34" s="96"/>
    </row>
    <row r="35" spans="1:13" ht="15" customHeight="1">
      <c r="A35" s="97" t="s">
        <v>18</v>
      </c>
      <c r="B35" t="s">
        <v>305</v>
      </c>
      <c r="C35">
        <v>2.5</v>
      </c>
      <c r="D35" s="102" t="s">
        <v>52</v>
      </c>
      <c r="E35" s="102" t="s">
        <v>1046</v>
      </c>
      <c r="F35" s="102" t="s">
        <v>823</v>
      </c>
      <c r="G35" s="102" t="s">
        <v>1047</v>
      </c>
      <c r="H35" s="96">
        <f t="shared" si="0"/>
        <v>18924.536835261002</v>
      </c>
      <c r="I35" s="96"/>
      <c r="J35" s="96"/>
    </row>
    <row r="36" spans="1:13" ht="15" customHeight="1">
      <c r="A36" s="97" t="s">
        <v>18</v>
      </c>
      <c r="B36" t="s">
        <v>305</v>
      </c>
      <c r="C36">
        <v>3</v>
      </c>
      <c r="D36" s="102" t="s">
        <v>52</v>
      </c>
      <c r="E36" s="102" t="s">
        <v>1046</v>
      </c>
      <c r="F36" s="102" t="s">
        <v>823</v>
      </c>
      <c r="G36" s="102" t="s">
        <v>1047</v>
      </c>
      <c r="H36" s="96">
        <f t="shared" si="0"/>
        <v>15679.185031433</v>
      </c>
      <c r="I36" s="96"/>
      <c r="J36" s="96"/>
    </row>
    <row r="37" spans="1:13" ht="15" customHeight="1">
      <c r="A37" s="97" t="s">
        <v>18</v>
      </c>
      <c r="B37" t="s">
        <v>594</v>
      </c>
      <c r="C37">
        <v>0.18</v>
      </c>
      <c r="D37" s="102" t="s">
        <v>52</v>
      </c>
      <c r="E37" s="102" t="s">
        <v>1046</v>
      </c>
      <c r="F37" s="102" t="s">
        <v>823</v>
      </c>
      <c r="G37" s="102" t="s">
        <v>1047</v>
      </c>
      <c r="H37" s="96">
        <f t="shared" si="0"/>
        <v>53023.942004220997</v>
      </c>
      <c r="I37" s="96"/>
      <c r="J37" s="96"/>
    </row>
    <row r="38" spans="1:13" ht="15" customHeight="1">
      <c r="A38" s="97" t="s">
        <v>18</v>
      </c>
      <c r="B38" t="s">
        <v>594</v>
      </c>
      <c r="C38">
        <v>0.5</v>
      </c>
      <c r="D38" s="102" t="s">
        <v>52</v>
      </c>
      <c r="E38" s="102" t="s">
        <v>1046</v>
      </c>
      <c r="F38" s="102" t="s">
        <v>823</v>
      </c>
      <c r="G38" s="102" t="s">
        <v>1047</v>
      </c>
      <c r="H38" s="96">
        <f t="shared" si="0"/>
        <v>21167.585578739003</v>
      </c>
      <c r="I38" s="96"/>
      <c r="J38" s="96"/>
    </row>
    <row r="39" spans="1:13" ht="15" customHeight="1">
      <c r="A39" s="97" t="s">
        <v>18</v>
      </c>
      <c r="B39" t="s">
        <v>594</v>
      </c>
      <c r="C39">
        <v>1</v>
      </c>
      <c r="D39" s="102" t="s">
        <v>52</v>
      </c>
      <c r="E39" s="102" t="s">
        <v>1046</v>
      </c>
      <c r="F39" s="102" t="s">
        <v>823</v>
      </c>
      <c r="G39" s="102" t="s">
        <v>1047</v>
      </c>
      <c r="H39" s="96">
        <f t="shared" si="0"/>
        <v>14228.483233558001</v>
      </c>
      <c r="I39" s="96"/>
      <c r="J39" s="96"/>
    </row>
    <row r="40" spans="1:13" ht="15" customHeight="1">
      <c r="A40" s="97" t="s">
        <v>18</v>
      </c>
      <c r="B40" t="s">
        <v>594</v>
      </c>
      <c r="C40">
        <v>1.5</v>
      </c>
      <c r="D40" s="102" t="s">
        <v>52</v>
      </c>
      <c r="E40" s="102" t="s">
        <v>1046</v>
      </c>
      <c r="F40" s="102" t="s">
        <v>823</v>
      </c>
      <c r="G40" s="102" t="s">
        <v>1047</v>
      </c>
      <c r="H40" s="96">
        <f t="shared" si="0"/>
        <v>11279.602124423</v>
      </c>
      <c r="I40" s="96"/>
      <c r="J40" s="96"/>
    </row>
    <row r="41" spans="1:13" ht="15" customHeight="1">
      <c r="A41" s="97" t="s">
        <v>18</v>
      </c>
      <c r="B41" t="s">
        <v>594</v>
      </c>
      <c r="C41">
        <v>2</v>
      </c>
      <c r="D41" s="102" t="s">
        <v>52</v>
      </c>
      <c r="E41" s="102" t="s">
        <v>1046</v>
      </c>
      <c r="F41" s="102" t="s">
        <v>823</v>
      </c>
      <c r="G41" s="102" t="s">
        <v>1047</v>
      </c>
      <c r="H41" s="96">
        <f t="shared" si="0"/>
        <v>9565.136363298001</v>
      </c>
      <c r="I41" s="96"/>
      <c r="J41" s="96"/>
    </row>
    <row r="42" spans="1:13" ht="15" customHeight="1">
      <c r="A42" s="97" t="s">
        <v>18</v>
      </c>
      <c r="B42" t="s">
        <v>594</v>
      </c>
      <c r="C42">
        <v>2.5</v>
      </c>
      <c r="D42" s="102" t="s">
        <v>52</v>
      </c>
      <c r="E42" s="102" t="s">
        <v>1046</v>
      </c>
      <c r="F42" s="102" t="s">
        <v>823</v>
      </c>
      <c r="G42" s="102" t="s">
        <v>1047</v>
      </c>
      <c r="H42" s="96">
        <f t="shared" si="0"/>
        <v>8417.2355952340004</v>
      </c>
      <c r="I42" s="96"/>
      <c r="J42" s="96"/>
    </row>
    <row r="43" spans="1:13" ht="15" customHeight="1">
      <c r="A43" s="97" t="s">
        <v>18</v>
      </c>
      <c r="B43" t="s">
        <v>594</v>
      </c>
      <c r="C43">
        <v>3</v>
      </c>
      <c r="D43" s="102" t="s">
        <v>52</v>
      </c>
      <c r="E43" s="102" t="s">
        <v>1046</v>
      </c>
      <c r="F43" s="102" t="s">
        <v>823</v>
      </c>
      <c r="G43" s="102" t="s">
        <v>1047</v>
      </c>
      <c r="H43" s="96">
        <f t="shared" si="0"/>
        <v>7581.6313596580003</v>
      </c>
      <c r="I43" s="96"/>
      <c r="J43" s="96"/>
    </row>
    <row r="44" spans="1:13" ht="15" customHeight="1">
      <c r="A44" s="102" t="s">
        <v>1042</v>
      </c>
      <c r="B44" s="102" t="s">
        <v>1041</v>
      </c>
      <c r="C44">
        <v>0.5</v>
      </c>
      <c r="D44" s="102" t="s">
        <v>253</v>
      </c>
      <c r="E44" s="102" t="s">
        <v>1045</v>
      </c>
      <c r="F44" s="102" t="s">
        <v>255</v>
      </c>
      <c r="G44" s="102" t="s">
        <v>78</v>
      </c>
      <c r="H44">
        <v>1350000</v>
      </c>
      <c r="I44" s="102" t="s">
        <v>256</v>
      </c>
      <c r="L44" s="102"/>
      <c r="M44" s="102"/>
    </row>
    <row r="45" spans="1:13" ht="15" customHeight="1">
      <c r="A45" s="102" t="s">
        <v>1042</v>
      </c>
      <c r="B45" s="102" t="s">
        <v>1041</v>
      </c>
      <c r="C45">
        <v>0.75</v>
      </c>
      <c r="D45" s="102" t="s">
        <v>253</v>
      </c>
      <c r="E45" s="102" t="s">
        <v>1045</v>
      </c>
      <c r="F45" s="102" t="s">
        <v>255</v>
      </c>
      <c r="G45" s="102" t="s">
        <v>78</v>
      </c>
      <c r="H45">
        <v>1150000</v>
      </c>
      <c r="I45" s="102" t="s">
        <v>256</v>
      </c>
    </row>
    <row r="46" spans="1:13" ht="15" customHeight="1">
      <c r="A46" s="102" t="s">
        <v>1042</v>
      </c>
      <c r="B46" s="102" t="s">
        <v>1041</v>
      </c>
      <c r="C46">
        <v>1</v>
      </c>
      <c r="D46" s="102" t="s">
        <v>253</v>
      </c>
      <c r="E46" s="102" t="s">
        <v>1045</v>
      </c>
      <c r="F46" s="102" t="s">
        <v>255</v>
      </c>
      <c r="G46" s="102" t="s">
        <v>78</v>
      </c>
      <c r="H46">
        <v>1000000</v>
      </c>
      <c r="I46" s="102" t="s">
        <v>256</v>
      </c>
    </row>
    <row r="47" spans="1:13" ht="15" customHeight="1">
      <c r="A47" s="102" t="s">
        <v>1042</v>
      </c>
      <c r="B47" s="102" t="s">
        <v>1041</v>
      </c>
      <c r="C47">
        <v>1.25</v>
      </c>
      <c r="D47" s="102" t="s">
        <v>253</v>
      </c>
      <c r="E47" s="102" t="s">
        <v>1045</v>
      </c>
      <c r="F47" s="102" t="s">
        <v>255</v>
      </c>
      <c r="G47" s="102" t="s">
        <v>78</v>
      </c>
      <c r="H47">
        <v>850000</v>
      </c>
      <c r="I47" s="102" t="s">
        <v>256</v>
      </c>
    </row>
    <row r="48" spans="1:13" ht="15" customHeight="1">
      <c r="A48" s="102" t="s">
        <v>1042</v>
      </c>
      <c r="B48" s="102" t="s">
        <v>1041</v>
      </c>
      <c r="C48">
        <v>1.5</v>
      </c>
      <c r="D48" s="102" t="s">
        <v>253</v>
      </c>
      <c r="E48" s="102" t="s">
        <v>1045</v>
      </c>
      <c r="F48" s="102" t="s">
        <v>255</v>
      </c>
      <c r="G48" s="102" t="s">
        <v>78</v>
      </c>
      <c r="H48">
        <v>700000</v>
      </c>
      <c r="I48" s="102" t="s">
        <v>256</v>
      </c>
    </row>
    <row r="49" spans="1:9" ht="15" customHeight="1">
      <c r="A49" s="102" t="s">
        <v>1042</v>
      </c>
      <c r="B49" s="102" t="s">
        <v>1041</v>
      </c>
      <c r="C49">
        <v>1.75</v>
      </c>
      <c r="D49" s="102" t="s">
        <v>253</v>
      </c>
      <c r="E49" s="102" t="s">
        <v>1045</v>
      </c>
      <c r="F49" s="102" t="s">
        <v>255</v>
      </c>
      <c r="G49" s="102" t="s">
        <v>78</v>
      </c>
      <c r="H49">
        <v>600000</v>
      </c>
      <c r="I49" s="102" t="s">
        <v>256</v>
      </c>
    </row>
    <row r="50" spans="1:9" ht="15" customHeight="1">
      <c r="A50" s="102" t="s">
        <v>1042</v>
      </c>
      <c r="B50" s="102" t="s">
        <v>1041</v>
      </c>
      <c r="C50">
        <v>2</v>
      </c>
      <c r="D50" s="102" t="s">
        <v>253</v>
      </c>
      <c r="E50" s="102" t="s">
        <v>1045</v>
      </c>
      <c r="F50" s="102" t="s">
        <v>255</v>
      </c>
      <c r="G50" s="102" t="s">
        <v>78</v>
      </c>
      <c r="H50">
        <v>525000</v>
      </c>
      <c r="I50" s="102" t="s">
        <v>256</v>
      </c>
    </row>
    <row r="51" spans="1:9" ht="15" customHeight="1">
      <c r="A51" s="102" t="s">
        <v>1042</v>
      </c>
      <c r="B51" s="102" t="s">
        <v>1041</v>
      </c>
      <c r="C51">
        <v>2.5</v>
      </c>
      <c r="D51" s="102" t="s">
        <v>253</v>
      </c>
      <c r="E51" s="102" t="s">
        <v>1045</v>
      </c>
      <c r="F51" s="102" t="s">
        <v>255</v>
      </c>
      <c r="G51" s="102" t="s">
        <v>78</v>
      </c>
      <c r="H51">
        <v>450000</v>
      </c>
      <c r="I51" s="102" t="s">
        <v>256</v>
      </c>
    </row>
    <row r="52" spans="1:9" ht="15" customHeight="1">
      <c r="A52" s="102" t="s">
        <v>1042</v>
      </c>
      <c r="B52" s="102" t="s">
        <v>1041</v>
      </c>
      <c r="C52">
        <v>3</v>
      </c>
      <c r="D52" s="102" t="s">
        <v>253</v>
      </c>
      <c r="E52" s="102" t="s">
        <v>1045</v>
      </c>
      <c r="F52" s="102" t="s">
        <v>255</v>
      </c>
      <c r="G52" s="102" t="s">
        <v>78</v>
      </c>
      <c r="H52">
        <v>400000</v>
      </c>
      <c r="I52" s="102" t="s">
        <v>256</v>
      </c>
    </row>
    <row r="53" spans="1:9" ht="15" customHeight="1">
      <c r="A53" s="102" t="s">
        <v>1042</v>
      </c>
      <c r="B53" s="102" t="s">
        <v>1041</v>
      </c>
      <c r="C53">
        <v>4</v>
      </c>
      <c r="D53" s="102" t="s">
        <v>253</v>
      </c>
      <c r="E53" s="102" t="s">
        <v>1045</v>
      </c>
      <c r="F53" s="102" t="s">
        <v>255</v>
      </c>
      <c r="G53" s="102" t="s">
        <v>78</v>
      </c>
      <c r="H53">
        <v>350000</v>
      </c>
      <c r="I53" s="102" t="s">
        <v>256</v>
      </c>
    </row>
    <row r="54" spans="1:9" ht="15" customHeight="1">
      <c r="A54" s="102" t="s">
        <v>1042</v>
      </c>
      <c r="B54" s="102" t="s">
        <v>1041</v>
      </c>
      <c r="C54">
        <v>5</v>
      </c>
      <c r="D54" s="102" t="s">
        <v>253</v>
      </c>
      <c r="E54" s="102" t="s">
        <v>1045</v>
      </c>
      <c r="F54" s="102" t="s">
        <v>255</v>
      </c>
      <c r="G54" s="102" t="s">
        <v>78</v>
      </c>
      <c r="H54">
        <v>300000</v>
      </c>
      <c r="I54" s="102" t="s">
        <v>256</v>
      </c>
    </row>
    <row r="55" spans="1:9" ht="15" customHeight="1">
      <c r="A55" s="102" t="s">
        <v>1042</v>
      </c>
      <c r="B55" s="102" t="s">
        <v>1048</v>
      </c>
      <c r="C55">
        <v>0.5</v>
      </c>
      <c r="D55" s="102" t="s">
        <v>253</v>
      </c>
      <c r="E55" s="102" t="s">
        <v>1045</v>
      </c>
      <c r="F55" s="102" t="s">
        <v>255</v>
      </c>
      <c r="G55" s="102" t="s">
        <v>78</v>
      </c>
      <c r="H55">
        <v>2100000</v>
      </c>
      <c r="I55" s="102" t="s">
        <v>256</v>
      </c>
    </row>
    <row r="56" spans="1:9" ht="15" customHeight="1">
      <c r="A56" s="102" t="s">
        <v>1042</v>
      </c>
      <c r="B56" s="102" t="s">
        <v>1048</v>
      </c>
      <c r="C56">
        <v>0.75</v>
      </c>
      <c r="D56" s="102" t="s">
        <v>253</v>
      </c>
      <c r="E56" s="102" t="s">
        <v>1045</v>
      </c>
      <c r="F56" s="102" t="s">
        <v>255</v>
      </c>
      <c r="G56" s="102" t="s">
        <v>78</v>
      </c>
      <c r="H56">
        <v>1700000</v>
      </c>
      <c r="I56" s="102" t="s">
        <v>256</v>
      </c>
    </row>
    <row r="57" spans="1:9" ht="15" customHeight="1">
      <c r="A57" s="102" t="s">
        <v>1042</v>
      </c>
      <c r="B57" s="102" t="s">
        <v>1048</v>
      </c>
      <c r="C57">
        <v>1</v>
      </c>
      <c r="D57" s="102" t="s">
        <v>253</v>
      </c>
      <c r="E57" s="102" t="s">
        <v>1045</v>
      </c>
      <c r="F57" s="102" t="s">
        <v>255</v>
      </c>
      <c r="G57" s="102" t="s">
        <v>78</v>
      </c>
      <c r="H57">
        <v>1450000</v>
      </c>
      <c r="I57" s="102" t="s">
        <v>256</v>
      </c>
    </row>
    <row r="58" spans="1:9" ht="15" customHeight="1">
      <c r="A58" s="102" t="s">
        <v>1042</v>
      </c>
      <c r="B58" s="102" t="s">
        <v>1048</v>
      </c>
      <c r="C58">
        <v>1.25</v>
      </c>
      <c r="D58" s="102" t="s">
        <v>253</v>
      </c>
      <c r="E58" s="102" t="s">
        <v>1045</v>
      </c>
      <c r="F58" s="102" t="s">
        <v>255</v>
      </c>
      <c r="G58" s="102" t="s">
        <v>78</v>
      </c>
      <c r="H58">
        <v>1200000</v>
      </c>
      <c r="I58" s="102" t="s">
        <v>256</v>
      </c>
    </row>
    <row r="59" spans="1:9" ht="15" customHeight="1">
      <c r="A59" s="102" t="s">
        <v>1042</v>
      </c>
      <c r="B59" s="102" t="s">
        <v>1048</v>
      </c>
      <c r="C59">
        <v>1.5</v>
      </c>
      <c r="D59" s="102" t="s">
        <v>253</v>
      </c>
      <c r="E59" s="102" t="s">
        <v>1045</v>
      </c>
      <c r="F59" s="102" t="s">
        <v>255</v>
      </c>
      <c r="G59" s="102" t="s">
        <v>78</v>
      </c>
      <c r="H59">
        <v>1000000</v>
      </c>
      <c r="I59" s="102" t="s">
        <v>256</v>
      </c>
    </row>
    <row r="60" spans="1:9" ht="15" customHeight="1">
      <c r="A60" s="102" t="s">
        <v>1042</v>
      </c>
      <c r="B60" s="102" t="s">
        <v>1048</v>
      </c>
      <c r="C60">
        <v>1.75</v>
      </c>
      <c r="D60" s="102" t="s">
        <v>253</v>
      </c>
      <c r="E60" s="102" t="s">
        <v>1045</v>
      </c>
      <c r="F60" s="102" t="s">
        <v>255</v>
      </c>
      <c r="G60" s="102" t="s">
        <v>78</v>
      </c>
      <c r="H60">
        <v>900000</v>
      </c>
      <c r="I60" s="102" t="s">
        <v>256</v>
      </c>
    </row>
    <row r="61" spans="1:9" ht="15" customHeight="1">
      <c r="A61" s="102" t="s">
        <v>1042</v>
      </c>
      <c r="B61" s="102" t="s">
        <v>1048</v>
      </c>
      <c r="C61">
        <v>2</v>
      </c>
      <c r="D61" s="102" t="s">
        <v>253</v>
      </c>
      <c r="E61" s="102" t="s">
        <v>1045</v>
      </c>
      <c r="F61" s="102" t="s">
        <v>255</v>
      </c>
      <c r="G61" s="102" t="s">
        <v>78</v>
      </c>
      <c r="H61">
        <v>800000</v>
      </c>
      <c r="I61" s="102" t="s">
        <v>256</v>
      </c>
    </row>
    <row r="62" spans="1:9" ht="15" customHeight="1">
      <c r="A62" s="102" t="s">
        <v>1042</v>
      </c>
      <c r="B62" s="102" t="s">
        <v>1048</v>
      </c>
      <c r="C62">
        <v>2.5</v>
      </c>
      <c r="D62" s="102" t="s">
        <v>253</v>
      </c>
      <c r="E62" s="102" t="s">
        <v>1045</v>
      </c>
      <c r="F62" s="102" t="s">
        <v>255</v>
      </c>
      <c r="G62" s="102" t="s">
        <v>78</v>
      </c>
      <c r="H62">
        <v>675000</v>
      </c>
      <c r="I62" s="102" t="s">
        <v>256</v>
      </c>
    </row>
    <row r="63" spans="1:9" ht="15" customHeight="1">
      <c r="A63" s="102" t="s">
        <v>1042</v>
      </c>
      <c r="B63" s="102" t="s">
        <v>1048</v>
      </c>
      <c r="C63">
        <v>3</v>
      </c>
      <c r="D63" s="102" t="s">
        <v>253</v>
      </c>
      <c r="E63" s="102" t="s">
        <v>1045</v>
      </c>
      <c r="F63" s="102" t="s">
        <v>255</v>
      </c>
      <c r="G63" s="102" t="s">
        <v>78</v>
      </c>
      <c r="H63">
        <v>575000</v>
      </c>
      <c r="I63" s="102" t="s">
        <v>256</v>
      </c>
    </row>
    <row r="64" spans="1:9" ht="15" customHeight="1">
      <c r="A64" s="102" t="s">
        <v>1042</v>
      </c>
      <c r="B64" s="102" t="s">
        <v>1048</v>
      </c>
      <c r="C64">
        <v>4</v>
      </c>
      <c r="D64" s="102" t="s">
        <v>253</v>
      </c>
      <c r="E64" s="102" t="s">
        <v>1045</v>
      </c>
      <c r="F64" s="102" t="s">
        <v>255</v>
      </c>
      <c r="G64" s="102" t="s">
        <v>78</v>
      </c>
      <c r="H64">
        <v>450000</v>
      </c>
      <c r="I64" s="102" t="s">
        <v>256</v>
      </c>
    </row>
    <row r="65" spans="1:9" ht="15" customHeight="1">
      <c r="A65" s="102" t="s">
        <v>1042</v>
      </c>
      <c r="B65" s="102" t="s">
        <v>1048</v>
      </c>
      <c r="C65">
        <v>5</v>
      </c>
      <c r="D65" s="102" t="s">
        <v>253</v>
      </c>
      <c r="E65" s="102" t="s">
        <v>1045</v>
      </c>
      <c r="F65" s="102" t="s">
        <v>255</v>
      </c>
      <c r="G65" s="102" t="s">
        <v>78</v>
      </c>
      <c r="H65">
        <v>375000</v>
      </c>
      <c r="I65" s="102" t="s">
        <v>256</v>
      </c>
    </row>
    <row r="66" spans="1:9" ht="15" customHeight="1">
      <c r="A66" s="102" t="s">
        <v>1042</v>
      </c>
      <c r="B66" s="102" t="s">
        <v>593</v>
      </c>
      <c r="C66">
        <v>0.5</v>
      </c>
      <c r="D66" s="102" t="s">
        <v>253</v>
      </c>
      <c r="E66" s="102" t="s">
        <v>1049</v>
      </c>
      <c r="F66" s="102" t="s">
        <v>257</v>
      </c>
      <c r="G66" s="102" t="s">
        <v>78</v>
      </c>
      <c r="H66">
        <v>1800000</v>
      </c>
      <c r="I66" s="102" t="s">
        <v>258</v>
      </c>
    </row>
    <row r="67" spans="1:9" ht="15" customHeight="1">
      <c r="A67" s="102" t="s">
        <v>1042</v>
      </c>
      <c r="B67" s="102" t="s">
        <v>593</v>
      </c>
      <c r="C67">
        <v>0.75</v>
      </c>
      <c r="D67" s="102" t="s">
        <v>253</v>
      </c>
      <c r="E67" s="102" t="s">
        <v>1049</v>
      </c>
      <c r="F67" s="102" t="s">
        <v>257</v>
      </c>
      <c r="G67" s="102" t="s">
        <v>78</v>
      </c>
      <c r="H67">
        <v>1200000</v>
      </c>
      <c r="I67" s="102" t="s">
        <v>258</v>
      </c>
    </row>
    <row r="68" spans="1:9" ht="15" customHeight="1">
      <c r="A68" s="102" t="s">
        <v>1042</v>
      </c>
      <c r="B68" s="102" t="s">
        <v>593</v>
      </c>
      <c r="C68">
        <v>1</v>
      </c>
      <c r="D68" s="102" t="s">
        <v>253</v>
      </c>
      <c r="E68" s="102" t="s">
        <v>1049</v>
      </c>
      <c r="F68" s="102" t="s">
        <v>257</v>
      </c>
      <c r="G68" s="102" t="s">
        <v>78</v>
      </c>
      <c r="H68">
        <v>950000</v>
      </c>
      <c r="I68" s="102" t="s">
        <v>258</v>
      </c>
    </row>
    <row r="69" spans="1:9" ht="15" customHeight="1">
      <c r="A69" s="102" t="s">
        <v>1042</v>
      </c>
      <c r="B69" s="102" t="s">
        <v>593</v>
      </c>
      <c r="C69">
        <v>1.25</v>
      </c>
      <c r="D69" s="102" t="s">
        <v>253</v>
      </c>
      <c r="E69" s="102" t="s">
        <v>1049</v>
      </c>
      <c r="F69" s="102" t="s">
        <v>257</v>
      </c>
      <c r="G69" s="102" t="s">
        <v>78</v>
      </c>
      <c r="H69">
        <v>800000</v>
      </c>
      <c r="I69" s="102" t="s">
        <v>258</v>
      </c>
    </row>
    <row r="70" spans="1:9" ht="15" customHeight="1">
      <c r="A70" s="102" t="s">
        <v>1042</v>
      </c>
      <c r="B70" s="102" t="s">
        <v>593</v>
      </c>
      <c r="C70">
        <v>1.5</v>
      </c>
      <c r="D70" s="102" t="s">
        <v>253</v>
      </c>
      <c r="E70" s="102" t="s">
        <v>1049</v>
      </c>
      <c r="F70" s="102" t="s">
        <v>257</v>
      </c>
      <c r="G70" s="102" t="s">
        <v>78</v>
      </c>
      <c r="H70">
        <v>650000</v>
      </c>
      <c r="I70" s="102" t="s">
        <v>258</v>
      </c>
    </row>
    <row r="71" spans="1:9" ht="15" customHeight="1">
      <c r="A71" s="102" t="s">
        <v>1042</v>
      </c>
      <c r="B71" s="102" t="s">
        <v>593</v>
      </c>
      <c r="C71">
        <v>1.75</v>
      </c>
      <c r="D71" s="102" t="s">
        <v>253</v>
      </c>
      <c r="E71" s="102" t="s">
        <v>1049</v>
      </c>
      <c r="F71" s="102" t="s">
        <v>257</v>
      </c>
      <c r="G71" s="102" t="s">
        <v>78</v>
      </c>
      <c r="H71">
        <v>525000</v>
      </c>
      <c r="I71" s="102" t="s">
        <v>258</v>
      </c>
    </row>
    <row r="72" spans="1:9" ht="15" customHeight="1">
      <c r="A72" s="102" t="s">
        <v>1042</v>
      </c>
      <c r="B72" s="102" t="s">
        <v>593</v>
      </c>
      <c r="C72">
        <v>2</v>
      </c>
      <c r="D72" s="102" t="s">
        <v>253</v>
      </c>
      <c r="E72" s="102" t="s">
        <v>1049</v>
      </c>
      <c r="F72" s="102" t="s">
        <v>257</v>
      </c>
      <c r="G72" s="102" t="s">
        <v>78</v>
      </c>
      <c r="H72">
        <v>450000</v>
      </c>
      <c r="I72" s="102" t="s">
        <v>258</v>
      </c>
    </row>
    <row r="73" spans="1:9" ht="15" customHeight="1">
      <c r="A73" s="102" t="s">
        <v>1042</v>
      </c>
      <c r="B73" s="102" t="s">
        <v>593</v>
      </c>
      <c r="C73">
        <v>2.5</v>
      </c>
      <c r="D73" s="102" t="s">
        <v>253</v>
      </c>
      <c r="E73" s="102" t="s">
        <v>1049</v>
      </c>
      <c r="F73" s="102" t="s">
        <v>257</v>
      </c>
      <c r="G73" s="102" t="s">
        <v>78</v>
      </c>
      <c r="H73">
        <v>350000</v>
      </c>
      <c r="I73" s="102" t="s">
        <v>258</v>
      </c>
    </row>
    <row r="74" spans="1:9" ht="15" customHeight="1">
      <c r="A74" s="102" t="s">
        <v>1042</v>
      </c>
      <c r="B74" s="102" t="s">
        <v>593</v>
      </c>
      <c r="C74">
        <v>3</v>
      </c>
      <c r="D74" s="102" t="s">
        <v>253</v>
      </c>
      <c r="E74" s="102" t="s">
        <v>1049</v>
      </c>
      <c r="F74" s="102" t="s">
        <v>257</v>
      </c>
      <c r="G74" s="102" t="s">
        <v>78</v>
      </c>
      <c r="H74">
        <v>300000</v>
      </c>
      <c r="I74" s="102" t="s">
        <v>258</v>
      </c>
    </row>
    <row r="75" spans="1:9" ht="15" customHeight="1">
      <c r="A75" s="102" t="s">
        <v>1042</v>
      </c>
      <c r="B75" s="102" t="s">
        <v>593</v>
      </c>
      <c r="C75">
        <v>4</v>
      </c>
      <c r="D75" s="102" t="s">
        <v>253</v>
      </c>
      <c r="E75" s="102" t="s">
        <v>1049</v>
      </c>
      <c r="F75" s="102" t="s">
        <v>257</v>
      </c>
      <c r="G75" s="102" t="s">
        <v>78</v>
      </c>
      <c r="H75">
        <v>250000</v>
      </c>
      <c r="I75" s="102" t="s">
        <v>258</v>
      </c>
    </row>
    <row r="76" spans="1:9" ht="15" customHeight="1">
      <c r="A76" s="102" t="s">
        <v>1042</v>
      </c>
      <c r="B76" s="102" t="s">
        <v>593</v>
      </c>
      <c r="C76">
        <v>5</v>
      </c>
      <c r="D76" s="102" t="s">
        <v>253</v>
      </c>
      <c r="E76" s="102" t="s">
        <v>1049</v>
      </c>
      <c r="F76" s="102" t="s">
        <v>257</v>
      </c>
      <c r="G76" s="102" t="s">
        <v>78</v>
      </c>
      <c r="H76">
        <v>200000</v>
      </c>
      <c r="I76" s="102" t="s">
        <v>258</v>
      </c>
    </row>
    <row r="77" spans="1:9" ht="15" customHeight="1">
      <c r="A77" s="102" t="s">
        <v>1050</v>
      </c>
      <c r="B77" s="102" t="s">
        <v>1051</v>
      </c>
      <c r="C77">
        <v>0.5</v>
      </c>
      <c r="D77" s="102" t="s">
        <v>52</v>
      </c>
      <c r="E77" s="102" t="s">
        <v>1045</v>
      </c>
      <c r="F77" s="102" t="s">
        <v>240</v>
      </c>
      <c r="G77" s="102" t="s">
        <v>49</v>
      </c>
      <c r="H77">
        <v>48</v>
      </c>
      <c r="I77" s="102" t="s">
        <v>241</v>
      </c>
    </row>
    <row r="78" spans="1:9" ht="15" customHeight="1">
      <c r="A78" s="102" t="s">
        <v>1050</v>
      </c>
      <c r="B78" s="102" t="s">
        <v>1051</v>
      </c>
      <c r="C78">
        <v>1</v>
      </c>
      <c r="D78" s="102" t="s">
        <v>52</v>
      </c>
      <c r="E78" s="102" t="s">
        <v>1045</v>
      </c>
      <c r="F78" s="102" t="s">
        <v>240</v>
      </c>
      <c r="G78" s="102" t="s">
        <v>49</v>
      </c>
      <c r="H78">
        <v>23</v>
      </c>
      <c r="I78" s="102" t="s">
        <v>241</v>
      </c>
    </row>
    <row r="79" spans="1:9" ht="15" customHeight="1">
      <c r="A79" s="102" t="s">
        <v>1050</v>
      </c>
      <c r="B79" s="102" t="s">
        <v>1051</v>
      </c>
      <c r="C79">
        <v>2</v>
      </c>
      <c r="D79" s="102" t="s">
        <v>52</v>
      </c>
      <c r="E79" s="102" t="s">
        <v>1045</v>
      </c>
      <c r="F79" s="102" t="s">
        <v>240</v>
      </c>
      <c r="G79" s="102" t="s">
        <v>49</v>
      </c>
      <c r="H79">
        <v>11</v>
      </c>
      <c r="I79" s="102" t="s">
        <v>241</v>
      </c>
    </row>
    <row r="80" spans="1:9" ht="15" customHeight="1">
      <c r="A80" s="102" t="s">
        <v>1050</v>
      </c>
      <c r="B80" s="102" t="s">
        <v>1051</v>
      </c>
      <c r="C80">
        <v>3</v>
      </c>
      <c r="D80" s="102" t="s">
        <v>52</v>
      </c>
      <c r="E80" s="102" t="s">
        <v>1045</v>
      </c>
      <c r="F80" s="102" t="s">
        <v>240</v>
      </c>
      <c r="G80" s="102" t="s">
        <v>49</v>
      </c>
      <c r="H80">
        <v>9</v>
      </c>
      <c r="I80" s="102" t="s">
        <v>241</v>
      </c>
    </row>
    <row r="81" spans="1:9" ht="15" customHeight="1">
      <c r="A81" s="102" t="s">
        <v>1050</v>
      </c>
      <c r="B81" s="102" t="s">
        <v>1051</v>
      </c>
      <c r="C81">
        <v>0.5</v>
      </c>
      <c r="D81" s="102" t="s">
        <v>52</v>
      </c>
      <c r="E81" s="102" t="s">
        <v>1045</v>
      </c>
      <c r="F81" s="102" t="s">
        <v>240</v>
      </c>
      <c r="G81" s="102" t="s">
        <v>242</v>
      </c>
      <c r="H81">
        <v>70</v>
      </c>
      <c r="I81" s="102" t="s">
        <v>241</v>
      </c>
    </row>
    <row r="82" spans="1:9" ht="15" customHeight="1">
      <c r="A82" s="102" t="s">
        <v>1050</v>
      </c>
      <c r="B82" s="102" t="s">
        <v>1051</v>
      </c>
      <c r="C82">
        <v>1</v>
      </c>
      <c r="D82" s="102" t="s">
        <v>52</v>
      </c>
      <c r="E82" s="102" t="s">
        <v>1045</v>
      </c>
      <c r="F82" s="102" t="s">
        <v>240</v>
      </c>
      <c r="G82" s="102" t="s">
        <v>242</v>
      </c>
      <c r="H82">
        <v>35</v>
      </c>
      <c r="I82" s="102" t="s">
        <v>241</v>
      </c>
    </row>
    <row r="83" spans="1:9" ht="15" customHeight="1">
      <c r="A83" s="102" t="s">
        <v>1050</v>
      </c>
      <c r="B83" s="102" t="s">
        <v>1051</v>
      </c>
      <c r="C83">
        <v>2</v>
      </c>
      <c r="D83" s="102" t="s">
        <v>52</v>
      </c>
      <c r="E83" s="102" t="s">
        <v>1045</v>
      </c>
      <c r="F83" s="102" t="s">
        <v>240</v>
      </c>
      <c r="G83" s="102" t="s">
        <v>242</v>
      </c>
      <c r="H83">
        <v>19</v>
      </c>
      <c r="I83" s="102" t="s">
        <v>241</v>
      </c>
    </row>
    <row r="84" spans="1:9" ht="15" customHeight="1">
      <c r="A84" s="102" t="s">
        <v>1050</v>
      </c>
      <c r="B84" s="102" t="s">
        <v>1051</v>
      </c>
      <c r="C84">
        <v>3</v>
      </c>
      <c r="D84" s="102" t="s">
        <v>52</v>
      </c>
      <c r="E84" s="102" t="s">
        <v>1045</v>
      </c>
      <c r="F84" s="102" t="s">
        <v>240</v>
      </c>
      <c r="G84" s="102" t="s">
        <v>242</v>
      </c>
      <c r="H84">
        <v>11</v>
      </c>
      <c r="I84" s="102" t="s">
        <v>241</v>
      </c>
    </row>
    <row r="85" spans="1:9" ht="15" customHeight="1">
      <c r="A85" s="102"/>
    </row>
    <row r="86" spans="1:9" ht="15" customHeight="1">
      <c r="A86" s="102"/>
    </row>
  </sheetData>
  <autoFilter ref="A1:I1" xr:uid="{822B43FD-FF5C-49F6-8742-18858676164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D327-5B07-4E93-925A-9A06C5274DFD}">
  <dimension ref="A1:U33"/>
  <sheetViews>
    <sheetView topLeftCell="D1" workbookViewId="0">
      <selection activeCell="K24" sqref="K24"/>
    </sheetView>
  </sheetViews>
  <sheetFormatPr baseColWidth="10" defaultRowHeight="15"/>
  <cols>
    <col min="1" max="1" width="21.28515625" bestFit="1" customWidth="1"/>
    <col min="2" max="2" width="14" bestFit="1" customWidth="1"/>
    <col min="3" max="3" width="6.28515625" bestFit="1" customWidth="1"/>
    <col min="4" max="4" width="27.42578125" bestFit="1" customWidth="1"/>
    <col min="5" max="5" width="38.140625" bestFit="1" customWidth="1"/>
    <col min="8" max="8" width="22.7109375" bestFit="1" customWidth="1"/>
    <col min="10" max="10" width="14.5703125" bestFit="1" customWidth="1"/>
    <col min="11" max="11" width="24.85546875" bestFit="1" customWidth="1"/>
  </cols>
  <sheetData>
    <row r="1" spans="1:21">
      <c r="A1" s="6" t="s">
        <v>38</v>
      </c>
      <c r="B1" s="6" t="s">
        <v>454</v>
      </c>
      <c r="C1" s="6" t="s">
        <v>39</v>
      </c>
      <c r="D1" s="6" t="s">
        <v>440</v>
      </c>
      <c r="E1" s="6" t="s">
        <v>41</v>
      </c>
      <c r="F1" s="6" t="s">
        <v>753</v>
      </c>
      <c r="G1" s="6" t="s">
        <v>40</v>
      </c>
      <c r="H1" s="6" t="s">
        <v>458</v>
      </c>
      <c r="I1" s="6" t="s">
        <v>42</v>
      </c>
      <c r="J1" s="6" t="s">
        <v>449</v>
      </c>
      <c r="K1" s="6" t="s">
        <v>45</v>
      </c>
      <c r="L1" s="6" t="s">
        <v>46</v>
      </c>
      <c r="M1" s="6" t="s">
        <v>47</v>
      </c>
      <c r="N1" s="6" t="s">
        <v>596</v>
      </c>
      <c r="O1" s="6" t="s">
        <v>38</v>
      </c>
      <c r="Q1" s="6" t="s">
        <v>293</v>
      </c>
      <c r="U1" t="s">
        <v>812</v>
      </c>
    </row>
    <row r="2" spans="1:21" s="92" customFormat="1">
      <c r="A2" s="91" t="s">
        <v>707</v>
      </c>
      <c r="B2" s="91" t="s">
        <v>460</v>
      </c>
      <c r="C2" s="91" t="s">
        <v>14</v>
      </c>
      <c r="D2" s="91" t="s">
        <v>708</v>
      </c>
      <c r="E2" s="92" t="s">
        <v>49</v>
      </c>
      <c r="F2" s="91" t="s">
        <v>461</v>
      </c>
      <c r="G2" s="91" t="s">
        <v>702</v>
      </c>
      <c r="H2" s="91" t="s">
        <v>710</v>
      </c>
      <c r="I2" s="91" t="s">
        <v>711</v>
      </c>
      <c r="J2" s="91" t="s">
        <v>122</v>
      </c>
      <c r="K2" s="92" t="s">
        <v>712</v>
      </c>
      <c r="L2" s="92" t="s">
        <v>248</v>
      </c>
      <c r="M2" s="92">
        <v>5.3</v>
      </c>
      <c r="N2" s="91" t="s">
        <v>709</v>
      </c>
      <c r="O2" s="91" t="s">
        <v>113</v>
      </c>
      <c r="Q2" s="92">
        <f>M2*1000</f>
        <v>5300</v>
      </c>
      <c r="T2" s="92" t="s">
        <v>236</v>
      </c>
      <c r="U2" s="92" t="s">
        <v>813</v>
      </c>
    </row>
    <row r="3" spans="1:21" s="92" customFormat="1">
      <c r="A3" s="91" t="s">
        <v>707</v>
      </c>
      <c r="B3" s="91" t="s">
        <v>460</v>
      </c>
      <c r="C3" s="91" t="s">
        <v>14</v>
      </c>
      <c r="D3" s="91" t="s">
        <v>708</v>
      </c>
      <c r="E3" s="92" t="s">
        <v>49</v>
      </c>
      <c r="F3" s="91" t="s">
        <v>461</v>
      </c>
      <c r="G3" s="91" t="s">
        <v>702</v>
      </c>
      <c r="H3" s="91" t="s">
        <v>710</v>
      </c>
      <c r="I3" s="91" t="s">
        <v>711</v>
      </c>
      <c r="J3" s="91" t="s">
        <v>122</v>
      </c>
      <c r="K3" s="92" t="s">
        <v>237</v>
      </c>
      <c r="L3" s="92" t="s">
        <v>248</v>
      </c>
      <c r="M3" s="92">
        <v>1.7</v>
      </c>
      <c r="N3" s="91" t="s">
        <v>709</v>
      </c>
      <c r="O3" s="91" t="s">
        <v>113</v>
      </c>
      <c r="Q3" s="92">
        <f>M3*2.3</f>
        <v>3.9099999999999997</v>
      </c>
      <c r="T3" s="92" t="s">
        <v>810</v>
      </c>
      <c r="U3" s="92" t="s">
        <v>814</v>
      </c>
    </row>
    <row r="4" spans="1:21" s="92" customFormat="1">
      <c r="A4" s="91" t="s">
        <v>707</v>
      </c>
      <c r="B4" s="91" t="s">
        <v>460</v>
      </c>
      <c r="C4" s="91" t="s">
        <v>14</v>
      </c>
      <c r="D4" s="91" t="s">
        <v>708</v>
      </c>
      <c r="E4" s="92" t="s">
        <v>49</v>
      </c>
      <c r="F4" s="91" t="s">
        <v>461</v>
      </c>
      <c r="G4" s="91" t="s">
        <v>702</v>
      </c>
      <c r="H4" s="91" t="s">
        <v>710</v>
      </c>
      <c r="I4" s="91" t="s">
        <v>711</v>
      </c>
      <c r="J4" s="91" t="s">
        <v>122</v>
      </c>
      <c r="K4" s="92" t="s">
        <v>109</v>
      </c>
      <c r="L4" s="92" t="s">
        <v>251</v>
      </c>
      <c r="M4" s="92">
        <v>3</v>
      </c>
      <c r="N4" s="91" t="s">
        <v>709</v>
      </c>
      <c r="O4" s="91" t="s">
        <v>113</v>
      </c>
      <c r="T4" s="92" t="s">
        <v>811</v>
      </c>
      <c r="U4" s="92" t="s">
        <v>815</v>
      </c>
    </row>
    <row r="5" spans="1:21" s="92" customFormat="1">
      <c r="A5" s="91" t="s">
        <v>707</v>
      </c>
      <c r="B5" s="91" t="s">
        <v>460</v>
      </c>
      <c r="C5" s="91" t="s">
        <v>14</v>
      </c>
      <c r="D5" s="91" t="s">
        <v>708</v>
      </c>
      <c r="E5" s="92" t="s">
        <v>713</v>
      </c>
      <c r="F5" s="91" t="s">
        <v>461</v>
      </c>
      <c r="G5" s="91" t="s">
        <v>702</v>
      </c>
      <c r="H5" s="91" t="s">
        <v>710</v>
      </c>
      <c r="I5" s="91" t="s">
        <v>711</v>
      </c>
      <c r="J5" s="91" t="s">
        <v>122</v>
      </c>
      <c r="K5" s="92" t="s">
        <v>74</v>
      </c>
      <c r="L5" s="92" t="s">
        <v>247</v>
      </c>
      <c r="M5" s="92">
        <v>17.7</v>
      </c>
      <c r="N5" s="91" t="s">
        <v>709</v>
      </c>
      <c r="O5" s="91" t="s">
        <v>113</v>
      </c>
      <c r="Q5" s="92">
        <f>M5*3.6</f>
        <v>63.72</v>
      </c>
      <c r="T5" s="92" t="s">
        <v>74</v>
      </c>
      <c r="U5" s="92" t="s">
        <v>816</v>
      </c>
    </row>
    <row r="6" spans="1:21" s="92" customFormat="1">
      <c r="A6" s="91" t="s">
        <v>707</v>
      </c>
      <c r="B6" s="91" t="s">
        <v>460</v>
      </c>
      <c r="C6" s="91" t="s">
        <v>14</v>
      </c>
      <c r="D6" s="91" t="s">
        <v>708</v>
      </c>
      <c r="E6" s="92" t="s">
        <v>713</v>
      </c>
      <c r="F6" s="91" t="s">
        <v>461</v>
      </c>
      <c r="G6" s="91" t="s">
        <v>702</v>
      </c>
      <c r="H6" s="91" t="s">
        <v>710</v>
      </c>
      <c r="I6" s="91" t="s">
        <v>711</v>
      </c>
      <c r="J6" s="91" t="s">
        <v>122</v>
      </c>
      <c r="K6" s="92" t="s">
        <v>714</v>
      </c>
      <c r="L6" s="92" t="s">
        <v>248</v>
      </c>
      <c r="M6" s="92">
        <v>0.71</v>
      </c>
      <c r="N6" s="91" t="s">
        <v>709</v>
      </c>
      <c r="O6" s="91" t="s">
        <v>113</v>
      </c>
      <c r="R6" s="92">
        <f>SUM(Q2:Q5)</f>
        <v>5367.63</v>
      </c>
    </row>
    <row r="7" spans="1:21">
      <c r="A7" s="5" t="s">
        <v>707</v>
      </c>
      <c r="B7" s="5" t="s">
        <v>460</v>
      </c>
      <c r="C7" s="5" t="s">
        <v>14</v>
      </c>
      <c r="D7" s="5" t="s">
        <v>708</v>
      </c>
      <c r="E7" t="s">
        <v>732</v>
      </c>
      <c r="F7" s="5" t="s">
        <v>461</v>
      </c>
      <c r="G7" s="5" t="s">
        <v>702</v>
      </c>
      <c r="H7" s="5" t="s">
        <v>710</v>
      </c>
      <c r="I7" s="5" t="s">
        <v>711</v>
      </c>
      <c r="J7" s="5" t="s">
        <v>122</v>
      </c>
      <c r="K7" t="s">
        <v>74</v>
      </c>
      <c r="L7" t="s">
        <v>247</v>
      </c>
      <c r="M7">
        <v>3</v>
      </c>
      <c r="N7" s="5" t="s">
        <v>709</v>
      </c>
      <c r="O7" s="5" t="s">
        <v>113</v>
      </c>
      <c r="Q7">
        <f>M7*3.6</f>
        <v>10.8</v>
      </c>
    </row>
    <row r="8" spans="1:21">
      <c r="A8" s="5" t="s">
        <v>707</v>
      </c>
      <c r="B8" s="5" t="s">
        <v>460</v>
      </c>
      <c r="C8" s="5" t="s">
        <v>14</v>
      </c>
      <c r="D8" s="5" t="s">
        <v>708</v>
      </c>
      <c r="E8" t="s">
        <v>732</v>
      </c>
      <c r="F8" s="5" t="s">
        <v>461</v>
      </c>
      <c r="G8" s="5" t="s">
        <v>702</v>
      </c>
      <c r="H8" s="5" t="s">
        <v>710</v>
      </c>
      <c r="I8" s="5" t="s">
        <v>711</v>
      </c>
      <c r="J8" s="5" t="s">
        <v>122</v>
      </c>
      <c r="K8" t="s">
        <v>249</v>
      </c>
      <c r="L8" t="s">
        <v>725</v>
      </c>
      <c r="M8">
        <v>154</v>
      </c>
      <c r="N8" s="5" t="s">
        <v>709</v>
      </c>
      <c r="O8" s="5" t="s">
        <v>113</v>
      </c>
    </row>
    <row r="9" spans="1:21">
      <c r="A9" s="5" t="s">
        <v>707</v>
      </c>
      <c r="B9" s="5" t="s">
        <v>460</v>
      </c>
      <c r="C9" s="5" t="s">
        <v>14</v>
      </c>
      <c r="D9" s="5" t="s">
        <v>708</v>
      </c>
      <c r="E9" t="s">
        <v>732</v>
      </c>
      <c r="F9" s="5" t="s">
        <v>461</v>
      </c>
      <c r="G9" s="5" t="s">
        <v>702</v>
      </c>
      <c r="H9" s="5" t="s">
        <v>710</v>
      </c>
      <c r="I9" s="5" t="s">
        <v>711</v>
      </c>
      <c r="J9" s="5" t="s">
        <v>122</v>
      </c>
      <c r="K9" t="s">
        <v>595</v>
      </c>
      <c r="L9" t="s">
        <v>251</v>
      </c>
      <c r="M9">
        <v>0.1</v>
      </c>
      <c r="N9" s="5" t="s">
        <v>709</v>
      </c>
      <c r="O9" s="5" t="s">
        <v>113</v>
      </c>
    </row>
    <row r="10" spans="1:21">
      <c r="A10" s="5" t="s">
        <v>707</v>
      </c>
      <c r="B10" s="5" t="s">
        <v>460</v>
      </c>
      <c r="C10" s="5" t="s">
        <v>14</v>
      </c>
      <c r="D10" s="5" t="s">
        <v>708</v>
      </c>
      <c r="E10" t="s">
        <v>732</v>
      </c>
      <c r="F10" s="5" t="s">
        <v>461</v>
      </c>
      <c r="G10" s="5" t="s">
        <v>702</v>
      </c>
      <c r="H10" s="5" t="s">
        <v>710</v>
      </c>
      <c r="I10" s="5" t="s">
        <v>711</v>
      </c>
      <c r="J10" s="5" t="s">
        <v>122</v>
      </c>
      <c r="K10" t="s">
        <v>108</v>
      </c>
      <c r="L10" t="s">
        <v>251</v>
      </c>
      <c r="M10">
        <v>0.9</v>
      </c>
      <c r="N10" s="5" t="s">
        <v>709</v>
      </c>
      <c r="O10" s="5" t="s">
        <v>113</v>
      </c>
    </row>
    <row r="11" spans="1:21">
      <c r="A11" s="5" t="s">
        <v>707</v>
      </c>
      <c r="B11" s="5" t="s">
        <v>460</v>
      </c>
      <c r="C11" s="5" t="s">
        <v>14</v>
      </c>
      <c r="D11" s="5" t="s">
        <v>708</v>
      </c>
      <c r="E11" t="s">
        <v>733</v>
      </c>
      <c r="F11" s="5" t="s">
        <v>461</v>
      </c>
      <c r="G11" s="5" t="s">
        <v>702</v>
      </c>
      <c r="H11" s="5" t="s">
        <v>710</v>
      </c>
      <c r="I11" s="5" t="s">
        <v>711</v>
      </c>
      <c r="J11" s="5" t="s">
        <v>122</v>
      </c>
      <c r="K11" t="s">
        <v>74</v>
      </c>
      <c r="L11" t="s">
        <v>739</v>
      </c>
      <c r="M11">
        <v>121</v>
      </c>
      <c r="N11" s="5" t="s">
        <v>709</v>
      </c>
      <c r="O11" s="5" t="s">
        <v>113</v>
      </c>
      <c r="Q11">
        <f>M11*3.6</f>
        <v>435.6</v>
      </c>
    </row>
    <row r="12" spans="1:21">
      <c r="A12" s="5" t="s">
        <v>707</v>
      </c>
      <c r="B12" s="5" t="s">
        <v>460</v>
      </c>
      <c r="C12" s="5" t="s">
        <v>14</v>
      </c>
      <c r="D12" s="5" t="s">
        <v>708</v>
      </c>
      <c r="E12" t="s">
        <v>733</v>
      </c>
      <c r="F12" s="5" t="s">
        <v>461</v>
      </c>
      <c r="G12" s="5" t="s">
        <v>702</v>
      </c>
      <c r="H12" s="5" t="s">
        <v>710</v>
      </c>
      <c r="I12" s="5" t="s">
        <v>711</v>
      </c>
      <c r="J12" s="5" t="s">
        <v>122</v>
      </c>
      <c r="K12" t="s">
        <v>715</v>
      </c>
      <c r="L12" t="s">
        <v>740</v>
      </c>
      <c r="M12">
        <v>0.23</v>
      </c>
      <c r="N12" s="5" t="s">
        <v>709</v>
      </c>
      <c r="O12" s="5" t="s">
        <v>113</v>
      </c>
    </row>
    <row r="13" spans="1:21">
      <c r="A13" s="5" t="s">
        <v>707</v>
      </c>
      <c r="B13" s="5" t="s">
        <v>460</v>
      </c>
      <c r="C13" s="5" t="s">
        <v>14</v>
      </c>
      <c r="D13" s="5" t="s">
        <v>708</v>
      </c>
      <c r="E13" t="s">
        <v>733</v>
      </c>
      <c r="F13" s="5" t="s">
        <v>461</v>
      </c>
      <c r="G13" s="5" t="s">
        <v>702</v>
      </c>
      <c r="H13" s="5" t="s">
        <v>710</v>
      </c>
      <c r="I13" s="5" t="s">
        <v>711</v>
      </c>
      <c r="J13" s="5" t="s">
        <v>122</v>
      </c>
      <c r="K13" t="s">
        <v>97</v>
      </c>
      <c r="L13" t="s">
        <v>243</v>
      </c>
      <c r="M13">
        <v>68</v>
      </c>
      <c r="N13" s="5" t="s">
        <v>709</v>
      </c>
      <c r="O13" s="5" t="s">
        <v>113</v>
      </c>
    </row>
    <row r="14" spans="1:21">
      <c r="A14" s="5" t="s">
        <v>707</v>
      </c>
      <c r="B14" s="5" t="s">
        <v>460</v>
      </c>
      <c r="C14" s="5" t="s">
        <v>14</v>
      </c>
      <c r="D14" s="5" t="s">
        <v>708</v>
      </c>
      <c r="E14" t="s">
        <v>733</v>
      </c>
      <c r="F14" s="5" t="s">
        <v>461</v>
      </c>
      <c r="G14" s="5" t="s">
        <v>702</v>
      </c>
      <c r="H14" s="5" t="s">
        <v>710</v>
      </c>
      <c r="I14" s="5" t="s">
        <v>711</v>
      </c>
      <c r="J14" s="5" t="s">
        <v>122</v>
      </c>
      <c r="K14" t="s">
        <v>716</v>
      </c>
      <c r="L14" t="s">
        <v>741</v>
      </c>
      <c r="M14">
        <v>98</v>
      </c>
      <c r="N14" s="5" t="s">
        <v>709</v>
      </c>
      <c r="O14" s="5" t="s">
        <v>113</v>
      </c>
    </row>
    <row r="15" spans="1:21">
      <c r="A15" s="5" t="s">
        <v>707</v>
      </c>
      <c r="B15" s="5" t="s">
        <v>460</v>
      </c>
      <c r="C15" s="5" t="s">
        <v>14</v>
      </c>
      <c r="D15" s="5" t="s">
        <v>708</v>
      </c>
      <c r="E15" t="s">
        <v>734</v>
      </c>
      <c r="F15" s="5" t="s">
        <v>461</v>
      </c>
      <c r="G15" s="5" t="s">
        <v>702</v>
      </c>
      <c r="H15" s="5" t="s">
        <v>710</v>
      </c>
      <c r="I15" s="5" t="s">
        <v>711</v>
      </c>
      <c r="J15" s="5" t="s">
        <v>122</v>
      </c>
      <c r="K15" t="s">
        <v>74</v>
      </c>
      <c r="L15" t="s">
        <v>247</v>
      </c>
      <c r="M15">
        <v>1.4</v>
      </c>
      <c r="N15" s="5" t="s">
        <v>709</v>
      </c>
      <c r="O15" s="5" t="s">
        <v>113</v>
      </c>
      <c r="Q15">
        <f>M15*3.6</f>
        <v>5.04</v>
      </c>
    </row>
    <row r="16" spans="1:21">
      <c r="A16" s="5" t="s">
        <v>707</v>
      </c>
      <c r="B16" s="5" t="s">
        <v>460</v>
      </c>
      <c r="C16" s="5" t="s">
        <v>14</v>
      </c>
      <c r="D16" s="5" t="s">
        <v>708</v>
      </c>
      <c r="E16" t="s">
        <v>734</v>
      </c>
      <c r="F16" s="5" t="s">
        <v>461</v>
      </c>
      <c r="G16" s="5" t="s">
        <v>702</v>
      </c>
      <c r="H16" s="5" t="s">
        <v>710</v>
      </c>
      <c r="I16" s="5" t="s">
        <v>711</v>
      </c>
      <c r="J16" s="5" t="s">
        <v>122</v>
      </c>
      <c r="K16" t="s">
        <v>59</v>
      </c>
      <c r="L16" t="s">
        <v>248</v>
      </c>
      <c r="M16">
        <v>2.2000000000000002</v>
      </c>
      <c r="N16" s="5" t="s">
        <v>709</v>
      </c>
      <c r="O16" s="5" t="s">
        <v>113</v>
      </c>
    </row>
    <row r="17" spans="1:18">
      <c r="A17" s="5" t="s">
        <v>707</v>
      </c>
      <c r="B17" s="5" t="s">
        <v>460</v>
      </c>
      <c r="C17" s="5" t="s">
        <v>14</v>
      </c>
      <c r="D17" s="5" t="s">
        <v>708</v>
      </c>
      <c r="E17" t="s">
        <v>734</v>
      </c>
      <c r="F17" s="5" t="s">
        <v>461</v>
      </c>
      <c r="G17" s="5" t="s">
        <v>702</v>
      </c>
      <c r="H17" s="5" t="s">
        <v>710</v>
      </c>
      <c r="I17" s="5" t="s">
        <v>711</v>
      </c>
      <c r="J17" s="5" t="s">
        <v>122</v>
      </c>
      <c r="K17" t="s">
        <v>717</v>
      </c>
      <c r="L17" t="s">
        <v>248</v>
      </c>
      <c r="M17">
        <v>0.64</v>
      </c>
      <c r="N17" s="5" t="s">
        <v>709</v>
      </c>
      <c r="O17" s="5" t="s">
        <v>113</v>
      </c>
    </row>
    <row r="18" spans="1:18">
      <c r="A18" s="5" t="s">
        <v>707</v>
      </c>
      <c r="B18" s="5" t="s">
        <v>460</v>
      </c>
      <c r="C18" s="5" t="s">
        <v>14</v>
      </c>
      <c r="D18" s="5" t="s">
        <v>708</v>
      </c>
      <c r="E18" t="s">
        <v>734</v>
      </c>
      <c r="F18" s="5" t="s">
        <v>461</v>
      </c>
      <c r="G18" s="5" t="s">
        <v>702</v>
      </c>
      <c r="H18" s="5" t="s">
        <v>710</v>
      </c>
      <c r="I18" s="5" t="s">
        <v>711</v>
      </c>
      <c r="J18" s="5" t="s">
        <v>122</v>
      </c>
      <c r="K18" t="s">
        <v>730</v>
      </c>
      <c r="L18" t="s">
        <v>251</v>
      </c>
      <c r="M18">
        <v>1</v>
      </c>
      <c r="N18" s="5" t="s">
        <v>709</v>
      </c>
      <c r="O18" s="5" t="s">
        <v>113</v>
      </c>
    </row>
    <row r="19" spans="1:18">
      <c r="A19" s="5" t="s">
        <v>707</v>
      </c>
      <c r="B19" s="5" t="s">
        <v>460</v>
      </c>
      <c r="C19" s="5" t="s">
        <v>14</v>
      </c>
      <c r="D19" s="5" t="s">
        <v>708</v>
      </c>
      <c r="E19" t="s">
        <v>734</v>
      </c>
      <c r="F19" s="5" t="s">
        <v>461</v>
      </c>
      <c r="G19" s="5" t="s">
        <v>702</v>
      </c>
      <c r="H19" s="5" t="s">
        <v>710</v>
      </c>
      <c r="I19" s="5" t="s">
        <v>711</v>
      </c>
      <c r="J19" s="5" t="s">
        <v>122</v>
      </c>
      <c r="K19" t="s">
        <v>731</v>
      </c>
      <c r="L19" t="s">
        <v>251</v>
      </c>
      <c r="M19">
        <v>0.1</v>
      </c>
      <c r="N19" s="5" t="s">
        <v>709</v>
      </c>
      <c r="O19" s="5" t="s">
        <v>113</v>
      </c>
    </row>
    <row r="20" spans="1:18">
      <c r="A20" s="5" t="s">
        <v>707</v>
      </c>
      <c r="B20" s="5" t="s">
        <v>460</v>
      </c>
      <c r="C20" s="5" t="s">
        <v>14</v>
      </c>
      <c r="D20" s="5" t="s">
        <v>708</v>
      </c>
      <c r="E20" t="s">
        <v>735</v>
      </c>
      <c r="F20" s="5" t="s">
        <v>461</v>
      </c>
      <c r="G20" s="5" t="s">
        <v>702</v>
      </c>
      <c r="H20" s="5" t="s">
        <v>710</v>
      </c>
      <c r="I20" s="5" t="s">
        <v>711</v>
      </c>
      <c r="J20" s="5" t="s">
        <v>122</v>
      </c>
      <c r="K20" t="s">
        <v>74</v>
      </c>
      <c r="L20" t="s">
        <v>247</v>
      </c>
      <c r="M20">
        <v>5.8</v>
      </c>
      <c r="N20" s="5" t="s">
        <v>709</v>
      </c>
      <c r="O20" s="5" t="s">
        <v>113</v>
      </c>
      <c r="Q20">
        <f>M20*3.6</f>
        <v>20.88</v>
      </c>
    </row>
    <row r="21" spans="1:18">
      <c r="A21" s="5" t="s">
        <v>707</v>
      </c>
      <c r="B21" s="5" t="s">
        <v>460</v>
      </c>
      <c r="C21" s="5" t="s">
        <v>14</v>
      </c>
      <c r="D21" s="5" t="s">
        <v>708</v>
      </c>
      <c r="E21" t="s">
        <v>735</v>
      </c>
      <c r="F21" s="5" t="s">
        <v>461</v>
      </c>
      <c r="G21" s="5" t="s">
        <v>702</v>
      </c>
      <c r="H21" s="5" t="s">
        <v>710</v>
      </c>
      <c r="I21" s="5" t="s">
        <v>711</v>
      </c>
      <c r="J21" s="5" t="s">
        <v>122</v>
      </c>
      <c r="K21" t="s">
        <v>718</v>
      </c>
      <c r="L21" t="s">
        <v>725</v>
      </c>
      <c r="M21">
        <v>24</v>
      </c>
      <c r="N21" s="5" t="s">
        <v>709</v>
      </c>
      <c r="O21" s="5" t="s">
        <v>113</v>
      </c>
    </row>
    <row r="22" spans="1:18">
      <c r="A22" s="5" t="s">
        <v>707</v>
      </c>
      <c r="B22" s="5" t="s">
        <v>460</v>
      </c>
      <c r="C22" s="5" t="s">
        <v>14</v>
      </c>
      <c r="D22" s="5" t="s">
        <v>708</v>
      </c>
      <c r="E22" t="s">
        <v>735</v>
      </c>
      <c r="F22" s="5" t="s">
        <v>461</v>
      </c>
      <c r="G22" s="5" t="s">
        <v>702</v>
      </c>
      <c r="H22" s="5" t="s">
        <v>710</v>
      </c>
      <c r="I22" s="5" t="s">
        <v>711</v>
      </c>
      <c r="J22" s="5" t="s">
        <v>122</v>
      </c>
      <c r="K22" t="s">
        <v>365</v>
      </c>
      <c r="L22" t="s">
        <v>248</v>
      </c>
      <c r="M22">
        <v>0.12</v>
      </c>
      <c r="N22" s="5" t="s">
        <v>709</v>
      </c>
      <c r="O22" s="5" t="s">
        <v>113</v>
      </c>
    </row>
    <row r="23" spans="1:18">
      <c r="A23" s="5" t="s">
        <v>707</v>
      </c>
      <c r="B23" s="5" t="s">
        <v>460</v>
      </c>
      <c r="C23" s="5" t="s">
        <v>14</v>
      </c>
      <c r="D23" s="5" t="s">
        <v>708</v>
      </c>
      <c r="E23" t="s">
        <v>735</v>
      </c>
      <c r="F23" s="5" t="s">
        <v>461</v>
      </c>
      <c r="G23" s="5" t="s">
        <v>702</v>
      </c>
      <c r="H23" s="5" t="s">
        <v>710</v>
      </c>
      <c r="I23" s="5" t="s">
        <v>711</v>
      </c>
      <c r="J23" s="5" t="s">
        <v>122</v>
      </c>
      <c r="K23" t="s">
        <v>719</v>
      </c>
      <c r="L23" t="s">
        <v>725</v>
      </c>
      <c r="M23">
        <v>83</v>
      </c>
      <c r="N23" s="5" t="s">
        <v>709</v>
      </c>
      <c r="O23" s="5" t="s">
        <v>113</v>
      </c>
    </row>
    <row r="24" spans="1:18">
      <c r="A24" s="5" t="s">
        <v>707</v>
      </c>
      <c r="B24" s="5" t="s">
        <v>460</v>
      </c>
      <c r="C24" s="5" t="s">
        <v>14</v>
      </c>
      <c r="D24" s="5" t="s">
        <v>708</v>
      </c>
      <c r="E24" t="s">
        <v>736</v>
      </c>
      <c r="F24" s="5" t="s">
        <v>461</v>
      </c>
      <c r="G24" s="5" t="s">
        <v>702</v>
      </c>
      <c r="H24" s="5" t="s">
        <v>710</v>
      </c>
      <c r="I24" s="5" t="s">
        <v>711</v>
      </c>
      <c r="J24" s="5" t="s">
        <v>122</v>
      </c>
      <c r="K24" t="s">
        <v>74</v>
      </c>
      <c r="L24" t="s">
        <v>726</v>
      </c>
      <c r="M24">
        <v>3100</v>
      </c>
      <c r="N24" s="5" t="s">
        <v>709</v>
      </c>
      <c r="O24" s="5" t="s">
        <v>113</v>
      </c>
      <c r="Q24">
        <f>M24*3.6</f>
        <v>11160</v>
      </c>
    </row>
    <row r="25" spans="1:18">
      <c r="A25" s="5" t="s">
        <v>707</v>
      </c>
      <c r="B25" s="5" t="s">
        <v>460</v>
      </c>
      <c r="C25" s="5" t="s">
        <v>14</v>
      </c>
      <c r="D25" s="5" t="s">
        <v>708</v>
      </c>
      <c r="E25" t="s">
        <v>736</v>
      </c>
      <c r="F25" s="5" t="s">
        <v>461</v>
      </c>
      <c r="G25" s="5" t="s">
        <v>702</v>
      </c>
      <c r="H25" s="5" t="s">
        <v>710</v>
      </c>
      <c r="I25" s="5" t="s">
        <v>711</v>
      </c>
      <c r="J25" s="5" t="s">
        <v>122</v>
      </c>
      <c r="K25" t="s">
        <v>720</v>
      </c>
      <c r="L25" t="s">
        <v>257</v>
      </c>
      <c r="M25">
        <v>0.25</v>
      </c>
      <c r="N25" s="5" t="s">
        <v>709</v>
      </c>
      <c r="O25" s="5" t="s">
        <v>113</v>
      </c>
    </row>
    <row r="26" spans="1:18">
      <c r="A26" s="5" t="s">
        <v>707</v>
      </c>
      <c r="B26" s="5" t="s">
        <v>460</v>
      </c>
      <c r="C26" s="5" t="s">
        <v>14</v>
      </c>
      <c r="D26" s="5" t="s">
        <v>708</v>
      </c>
      <c r="E26" t="s">
        <v>736</v>
      </c>
      <c r="F26" s="5" t="s">
        <v>461</v>
      </c>
      <c r="G26" s="5" t="s">
        <v>702</v>
      </c>
      <c r="H26" s="5" t="s">
        <v>710</v>
      </c>
      <c r="I26" s="5" t="s">
        <v>711</v>
      </c>
      <c r="J26" s="5" t="s">
        <v>122</v>
      </c>
      <c r="K26" t="s">
        <v>719</v>
      </c>
      <c r="L26" t="s">
        <v>257</v>
      </c>
      <c r="M26">
        <v>0.49</v>
      </c>
      <c r="N26" s="5" t="s">
        <v>709</v>
      </c>
      <c r="O26" s="5" t="s">
        <v>113</v>
      </c>
    </row>
    <row r="27" spans="1:18">
      <c r="A27" s="5" t="s">
        <v>707</v>
      </c>
      <c r="B27" s="5" t="s">
        <v>460</v>
      </c>
      <c r="C27" s="5" t="s">
        <v>14</v>
      </c>
      <c r="D27" s="5" t="s">
        <v>708</v>
      </c>
      <c r="E27" t="s">
        <v>737</v>
      </c>
      <c r="F27" s="5" t="s">
        <v>461</v>
      </c>
      <c r="G27" s="5" t="s">
        <v>702</v>
      </c>
      <c r="H27" s="5" t="s">
        <v>710</v>
      </c>
      <c r="I27" s="5" t="s">
        <v>711</v>
      </c>
      <c r="J27" s="5" t="s">
        <v>122</v>
      </c>
      <c r="K27" t="s">
        <v>97</v>
      </c>
      <c r="L27" t="s">
        <v>255</v>
      </c>
      <c r="M27">
        <v>0.35</v>
      </c>
      <c r="N27" s="5" t="s">
        <v>709</v>
      </c>
      <c r="O27" s="5" t="s">
        <v>113</v>
      </c>
      <c r="Q27">
        <f>M27/1000</f>
        <v>3.5E-4</v>
      </c>
    </row>
    <row r="28" spans="1:18">
      <c r="A28" s="5" t="s">
        <v>707</v>
      </c>
      <c r="B28" s="5" t="s">
        <v>460</v>
      </c>
      <c r="C28" s="5" t="s">
        <v>14</v>
      </c>
      <c r="D28" s="5" t="s">
        <v>708</v>
      </c>
      <c r="E28" t="s">
        <v>738</v>
      </c>
      <c r="F28" s="5" t="s">
        <v>461</v>
      </c>
      <c r="G28" s="5" t="s">
        <v>702</v>
      </c>
      <c r="H28" s="5" t="s">
        <v>710</v>
      </c>
      <c r="I28" s="5" t="s">
        <v>711</v>
      </c>
      <c r="J28" s="5" t="s">
        <v>122</v>
      </c>
      <c r="K28" t="s">
        <v>68</v>
      </c>
      <c r="L28" t="s">
        <v>248</v>
      </c>
      <c r="M28">
        <v>0.3</v>
      </c>
      <c r="N28" s="5" t="s">
        <v>709</v>
      </c>
      <c r="O28" s="5" t="s">
        <v>113</v>
      </c>
      <c r="Q28">
        <f>M28*1000</f>
        <v>300</v>
      </c>
    </row>
    <row r="29" spans="1:18">
      <c r="A29" s="5" t="s">
        <v>707</v>
      </c>
      <c r="B29" s="5" t="s">
        <v>460</v>
      </c>
      <c r="C29" s="5" t="s">
        <v>14</v>
      </c>
      <c r="D29" s="5" t="s">
        <v>708</v>
      </c>
      <c r="E29" t="s">
        <v>738</v>
      </c>
      <c r="F29" s="5" t="s">
        <v>461</v>
      </c>
      <c r="G29" s="5" t="s">
        <v>702</v>
      </c>
      <c r="H29" s="5" t="s">
        <v>710</v>
      </c>
      <c r="I29" s="5" t="s">
        <v>711</v>
      </c>
      <c r="J29" s="5" t="s">
        <v>122</v>
      </c>
      <c r="K29" t="s">
        <v>74</v>
      </c>
      <c r="L29" t="s">
        <v>727</v>
      </c>
      <c r="M29">
        <v>8.6</v>
      </c>
      <c r="N29" s="5" t="s">
        <v>709</v>
      </c>
      <c r="O29" s="5" t="s">
        <v>113</v>
      </c>
      <c r="Q29">
        <f t="shared" ref="Q29:Q30" si="0">M29*3.6</f>
        <v>30.96</v>
      </c>
      <c r="R29">
        <f>SUM(Q2:Q29)</f>
        <v>17330.910349999998</v>
      </c>
    </row>
    <row r="30" spans="1:18">
      <c r="A30" s="5" t="s">
        <v>707</v>
      </c>
      <c r="B30" s="5" t="s">
        <v>460</v>
      </c>
      <c r="C30" s="93" t="s">
        <v>14</v>
      </c>
      <c r="D30" s="93" t="s">
        <v>708</v>
      </c>
      <c r="E30" s="94" t="s">
        <v>721</v>
      </c>
      <c r="F30" s="93" t="s">
        <v>461</v>
      </c>
      <c r="G30" s="93" t="s">
        <v>702</v>
      </c>
      <c r="H30" s="93" t="s">
        <v>710</v>
      </c>
      <c r="I30" s="93" t="s">
        <v>711</v>
      </c>
      <c r="J30" s="93" t="s">
        <v>122</v>
      </c>
      <c r="K30" s="94" t="s">
        <v>74</v>
      </c>
      <c r="L30" s="94" t="s">
        <v>727</v>
      </c>
      <c r="M30" s="94">
        <v>480</v>
      </c>
      <c r="N30" s="93" t="s">
        <v>709</v>
      </c>
      <c r="O30" s="93" t="s">
        <v>113</v>
      </c>
      <c r="P30" s="94"/>
      <c r="Q30" s="94">
        <f t="shared" si="0"/>
        <v>1728</v>
      </c>
    </row>
    <row r="31" spans="1:18">
      <c r="A31" s="5" t="s">
        <v>707</v>
      </c>
      <c r="B31" s="5" t="s">
        <v>460</v>
      </c>
      <c r="C31" s="93" t="s">
        <v>14</v>
      </c>
      <c r="D31" s="93" t="s">
        <v>708</v>
      </c>
      <c r="E31" s="94" t="s">
        <v>721</v>
      </c>
      <c r="F31" s="93" t="s">
        <v>461</v>
      </c>
      <c r="G31" s="93" t="s">
        <v>702</v>
      </c>
      <c r="H31" s="93" t="s">
        <v>710</v>
      </c>
      <c r="I31" s="93" t="s">
        <v>711</v>
      </c>
      <c r="J31" s="93" t="s">
        <v>122</v>
      </c>
      <c r="K31" s="94" t="s">
        <v>722</v>
      </c>
      <c r="L31" s="94" t="s">
        <v>728</v>
      </c>
      <c r="M31" s="94">
        <v>7.0000000000000007E-2</v>
      </c>
      <c r="N31" s="93" t="s">
        <v>709</v>
      </c>
      <c r="O31" s="93" t="s">
        <v>113</v>
      </c>
      <c r="P31" s="94"/>
      <c r="Q31" s="94"/>
    </row>
    <row r="32" spans="1:18">
      <c r="A32" s="5" t="s">
        <v>707</v>
      </c>
      <c r="B32" s="5" t="s">
        <v>460</v>
      </c>
      <c r="C32" s="93" t="s">
        <v>14</v>
      </c>
      <c r="D32" s="93" t="s">
        <v>708</v>
      </c>
      <c r="E32" s="94" t="s">
        <v>723</v>
      </c>
      <c r="F32" s="93" t="s">
        <v>461</v>
      </c>
      <c r="G32" s="93" t="s">
        <v>702</v>
      </c>
      <c r="H32" s="93" t="s">
        <v>710</v>
      </c>
      <c r="I32" s="93" t="s">
        <v>711</v>
      </c>
      <c r="J32" s="93" t="s">
        <v>122</v>
      </c>
      <c r="K32" s="94" t="s">
        <v>74</v>
      </c>
      <c r="L32" s="94" t="s">
        <v>726</v>
      </c>
      <c r="M32" s="94">
        <v>325</v>
      </c>
      <c r="N32" s="93" t="s">
        <v>709</v>
      </c>
      <c r="O32" s="93" t="s">
        <v>113</v>
      </c>
      <c r="P32" s="94"/>
      <c r="Q32" s="94">
        <f t="shared" ref="Q32:Q33" si="1">M32*3.6</f>
        <v>1170</v>
      </c>
    </row>
    <row r="33" spans="1:17">
      <c r="A33" s="5" t="s">
        <v>707</v>
      </c>
      <c r="B33" s="5" t="s">
        <v>460</v>
      </c>
      <c r="C33" s="93" t="s">
        <v>14</v>
      </c>
      <c r="D33" s="93" t="s">
        <v>708</v>
      </c>
      <c r="E33" s="94" t="s">
        <v>724</v>
      </c>
      <c r="F33" s="93" t="s">
        <v>461</v>
      </c>
      <c r="G33" s="93" t="s">
        <v>702</v>
      </c>
      <c r="H33" s="93" t="s">
        <v>710</v>
      </c>
      <c r="I33" s="93" t="s">
        <v>711</v>
      </c>
      <c r="J33" s="93" t="s">
        <v>122</v>
      </c>
      <c r="K33" s="94" t="s">
        <v>74</v>
      </c>
      <c r="L33" s="94" t="s">
        <v>729</v>
      </c>
      <c r="M33" s="94">
        <v>630</v>
      </c>
      <c r="N33" s="93" t="s">
        <v>709</v>
      </c>
      <c r="O33" s="93" t="s">
        <v>113</v>
      </c>
      <c r="P33" s="94"/>
      <c r="Q33" s="94">
        <f t="shared" si="1"/>
        <v>2268</v>
      </c>
    </row>
  </sheetData>
  <autoFilter ref="A1:U33" xr:uid="{E50DD327-5B07-4E93-925A-9A06C5274DF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63"/>
  <sheetViews>
    <sheetView workbookViewId="0">
      <selection activeCell="C12" sqref="C12"/>
    </sheetView>
  </sheetViews>
  <sheetFormatPr baseColWidth="10" defaultColWidth="12.5703125" defaultRowHeight="15" customHeight="1"/>
  <cols>
    <col min="1" max="1" width="7.42578125" bestFit="1" customWidth="1"/>
    <col min="2" max="2" width="24.5703125" bestFit="1" customWidth="1"/>
    <col min="3" max="3" width="45.28515625" bestFit="1" customWidth="1"/>
    <col min="4" max="4" width="39.28515625" bestFit="1" customWidth="1"/>
    <col min="5" max="5" width="8.7109375" bestFit="1" customWidth="1"/>
    <col min="6" max="6" width="9" bestFit="1" customWidth="1"/>
    <col min="7" max="7" width="8.140625" bestFit="1" customWidth="1"/>
    <col min="8" max="8" width="11" bestFit="1" customWidth="1"/>
    <col min="9" max="9" width="10.42578125" bestFit="1" customWidth="1"/>
    <col min="10" max="10" width="22.140625" bestFit="1" customWidth="1"/>
    <col min="11" max="11" width="35.42578125" bestFit="1" customWidth="1"/>
    <col min="12" max="12" width="81.140625" bestFit="1" customWidth="1"/>
  </cols>
  <sheetData>
    <row r="1" spans="1:13" ht="15" customHeight="1">
      <c r="A1" s="63" t="s">
        <v>660</v>
      </c>
      <c r="B1" s="63" t="s">
        <v>662</v>
      </c>
      <c r="C1" s="63" t="s">
        <v>663</v>
      </c>
      <c r="D1" s="63" t="s">
        <v>268</v>
      </c>
      <c r="E1" s="63" t="s">
        <v>269</v>
      </c>
      <c r="F1" s="63" t="s">
        <v>270</v>
      </c>
      <c r="G1" s="63" t="s">
        <v>271</v>
      </c>
      <c r="H1" s="63" t="s">
        <v>272</v>
      </c>
      <c r="I1" s="63" t="s">
        <v>273</v>
      </c>
      <c r="J1" s="63" t="s">
        <v>794</v>
      </c>
      <c r="K1" s="63" t="s">
        <v>679</v>
      </c>
      <c r="L1" s="63" t="s">
        <v>661</v>
      </c>
      <c r="M1" s="63" t="s">
        <v>701</v>
      </c>
    </row>
    <row r="2" spans="1:13" s="119" customFormat="1" ht="15" customHeight="1">
      <c r="A2" s="112" t="s">
        <v>305</v>
      </c>
      <c r="B2" s="113" t="s">
        <v>664</v>
      </c>
      <c r="C2" s="113" t="s">
        <v>665</v>
      </c>
      <c r="D2" s="114">
        <v>2.0500000000000001E-2</v>
      </c>
      <c r="E2" s="115">
        <v>5.0000000000000001E-3</v>
      </c>
      <c r="F2" s="115">
        <v>0.03</v>
      </c>
      <c r="G2" s="116"/>
      <c r="H2" s="116"/>
      <c r="I2" s="113" t="s">
        <v>666</v>
      </c>
      <c r="J2" s="117" t="s">
        <v>795</v>
      </c>
      <c r="K2" s="118" t="s">
        <v>745</v>
      </c>
      <c r="L2" s="113" t="s">
        <v>689</v>
      </c>
    </row>
    <row r="3" spans="1:13" ht="15" customHeight="1">
      <c r="A3" s="111" t="s">
        <v>305</v>
      </c>
      <c r="B3" s="83" t="s">
        <v>667</v>
      </c>
      <c r="C3" s="83" t="s">
        <v>668</v>
      </c>
      <c r="D3" s="83" t="s">
        <v>669</v>
      </c>
      <c r="E3" s="83"/>
      <c r="F3" s="83"/>
      <c r="G3" s="83"/>
      <c r="H3" s="83"/>
      <c r="I3" s="83" t="s">
        <v>670</v>
      </c>
      <c r="J3" s="86"/>
      <c r="K3" s="84" t="s">
        <v>671</v>
      </c>
      <c r="L3" s="83" t="s">
        <v>689</v>
      </c>
    </row>
    <row r="4" spans="1:13" ht="15" customHeight="1">
      <c r="A4" s="111" t="s">
        <v>305</v>
      </c>
      <c r="B4" s="83" t="s">
        <v>685</v>
      </c>
      <c r="C4" s="83" t="s">
        <v>682</v>
      </c>
      <c r="D4" s="83" t="s">
        <v>672</v>
      </c>
      <c r="E4" s="83"/>
      <c r="F4" s="83"/>
      <c r="G4" s="83"/>
      <c r="H4" s="83"/>
      <c r="I4" s="83" t="s">
        <v>670</v>
      </c>
      <c r="J4" s="86" t="s">
        <v>795</v>
      </c>
      <c r="K4" s="84" t="s">
        <v>673</v>
      </c>
      <c r="L4" s="83" t="s">
        <v>689</v>
      </c>
    </row>
    <row r="5" spans="1:13" ht="15" customHeight="1">
      <c r="A5" s="111" t="s">
        <v>305</v>
      </c>
      <c r="B5" s="83" t="s">
        <v>686</v>
      </c>
      <c r="C5" s="83" t="s">
        <v>683</v>
      </c>
      <c r="D5" s="83" t="s">
        <v>680</v>
      </c>
      <c r="E5" s="83"/>
      <c r="F5" s="83"/>
      <c r="G5" s="83"/>
      <c r="H5" s="83"/>
      <c r="I5" s="83" t="s">
        <v>670</v>
      </c>
      <c r="J5" s="86"/>
      <c r="K5" s="84"/>
      <c r="L5" s="83" t="s">
        <v>689</v>
      </c>
    </row>
    <row r="6" spans="1:13" s="119" customFormat="1" ht="15" customHeight="1">
      <c r="A6" s="112" t="s">
        <v>594</v>
      </c>
      <c r="B6" s="113" t="s">
        <v>664</v>
      </c>
      <c r="C6" s="113" t="s">
        <v>665</v>
      </c>
      <c r="D6" s="114">
        <v>1.8E-3</v>
      </c>
      <c r="E6" s="120">
        <v>1.8E-3</v>
      </c>
      <c r="F6" s="121">
        <v>0.03</v>
      </c>
      <c r="G6" s="116"/>
      <c r="H6" s="116"/>
      <c r="I6" s="113" t="s">
        <v>666</v>
      </c>
      <c r="J6" s="117" t="s">
        <v>795</v>
      </c>
      <c r="K6" s="118" t="s">
        <v>678</v>
      </c>
      <c r="L6" s="112" t="s">
        <v>1346</v>
      </c>
    </row>
    <row r="7" spans="1:13" ht="15" customHeight="1">
      <c r="A7" s="111" t="s">
        <v>594</v>
      </c>
      <c r="B7" s="83" t="s">
        <v>667</v>
      </c>
      <c r="C7" s="83" t="s">
        <v>668</v>
      </c>
      <c r="D7" s="83" t="s">
        <v>681</v>
      </c>
      <c r="I7" s="83" t="s">
        <v>670</v>
      </c>
      <c r="J7" s="86"/>
      <c r="K7" s="82"/>
      <c r="L7" s="83" t="s">
        <v>688</v>
      </c>
    </row>
    <row r="8" spans="1:13" ht="15" customHeight="1">
      <c r="A8" s="111" t="s">
        <v>594</v>
      </c>
      <c r="B8" s="83" t="s">
        <v>685</v>
      </c>
      <c r="C8" s="83" t="s">
        <v>682</v>
      </c>
      <c r="D8" s="83" t="s">
        <v>684</v>
      </c>
      <c r="I8" s="83" t="s">
        <v>670</v>
      </c>
      <c r="J8" s="86"/>
      <c r="L8" s="83" t="s">
        <v>688</v>
      </c>
    </row>
    <row r="9" spans="1:13" ht="15" customHeight="1">
      <c r="A9" s="111" t="s">
        <v>594</v>
      </c>
      <c r="B9" s="83" t="s">
        <v>686</v>
      </c>
      <c r="C9" s="83" t="s">
        <v>683</v>
      </c>
      <c r="D9" s="83" t="s">
        <v>687</v>
      </c>
      <c r="I9" s="83" t="s">
        <v>670</v>
      </c>
      <c r="J9" s="86"/>
      <c r="L9" s="83" t="s">
        <v>688</v>
      </c>
    </row>
    <row r="10" spans="1:13" ht="15" customHeight="1">
      <c r="A10" s="111" t="s">
        <v>594</v>
      </c>
      <c r="B10" s="83" t="s">
        <v>664</v>
      </c>
      <c r="C10" s="83" t="s">
        <v>665</v>
      </c>
      <c r="I10" s="101" t="s">
        <v>69</v>
      </c>
      <c r="J10" s="86" t="s">
        <v>795</v>
      </c>
      <c r="K10" s="7" t="s">
        <v>82</v>
      </c>
      <c r="L10" s="83" t="s">
        <v>694</v>
      </c>
    </row>
    <row r="11" spans="1:13" ht="15" customHeight="1">
      <c r="A11" s="111" t="s">
        <v>593</v>
      </c>
      <c r="B11" s="83" t="s">
        <v>664</v>
      </c>
      <c r="C11" s="83" t="s">
        <v>665</v>
      </c>
      <c r="I11" s="101" t="s">
        <v>69</v>
      </c>
      <c r="J11" s="86" t="s">
        <v>795</v>
      </c>
      <c r="K11" s="7" t="s">
        <v>84</v>
      </c>
      <c r="L11" s="83" t="s">
        <v>694</v>
      </c>
    </row>
    <row r="12" spans="1:13" ht="15" customHeight="1">
      <c r="A12" s="111" t="s">
        <v>306</v>
      </c>
      <c r="B12" s="83" t="s">
        <v>664</v>
      </c>
      <c r="C12" s="83" t="s">
        <v>665</v>
      </c>
      <c r="I12" s="101" t="s">
        <v>69</v>
      </c>
      <c r="J12" s="86" t="s">
        <v>795</v>
      </c>
      <c r="K12" s="7" t="s">
        <v>86</v>
      </c>
      <c r="L12" s="83" t="s">
        <v>694</v>
      </c>
    </row>
    <row r="13" spans="1:13" ht="15" customHeight="1">
      <c r="A13" s="111" t="s">
        <v>594</v>
      </c>
      <c r="B13" s="83" t="s">
        <v>664</v>
      </c>
      <c r="C13" s="83" t="s">
        <v>665</v>
      </c>
      <c r="J13" s="86" t="s">
        <v>795</v>
      </c>
      <c r="K13" s="7" t="s">
        <v>88</v>
      </c>
      <c r="L13" s="7" t="s">
        <v>263</v>
      </c>
    </row>
    <row r="14" spans="1:13" ht="15" customHeight="1">
      <c r="A14" s="111" t="s">
        <v>307</v>
      </c>
      <c r="B14" s="83" t="s">
        <v>664</v>
      </c>
      <c r="C14" s="83" t="s">
        <v>665</v>
      </c>
      <c r="J14" s="86" t="s">
        <v>795</v>
      </c>
      <c r="K14" s="7" t="s">
        <v>264</v>
      </c>
      <c r="L14" s="7" t="s">
        <v>263</v>
      </c>
    </row>
    <row r="15" spans="1:13" ht="15" customHeight="1">
      <c r="A15" s="111" t="s">
        <v>305</v>
      </c>
      <c r="B15" s="83" t="s">
        <v>664</v>
      </c>
      <c r="C15" s="83" t="s">
        <v>665</v>
      </c>
      <c r="J15" s="86" t="s">
        <v>795</v>
      </c>
      <c r="K15" s="7" t="s">
        <v>265</v>
      </c>
      <c r="L15" s="7" t="s">
        <v>263</v>
      </c>
    </row>
    <row r="16" spans="1:13" ht="15" customHeight="1">
      <c r="A16" s="111" t="s">
        <v>306</v>
      </c>
      <c r="B16" s="83" t="s">
        <v>664</v>
      </c>
      <c r="C16" s="83" t="s">
        <v>665</v>
      </c>
      <c r="J16" s="86" t="s">
        <v>795</v>
      </c>
      <c r="K16" s="7" t="s">
        <v>266</v>
      </c>
      <c r="L16" s="7" t="s">
        <v>263</v>
      </c>
    </row>
    <row r="17" spans="1:14" ht="15" customHeight="1">
      <c r="A17" s="111" t="s">
        <v>593</v>
      </c>
      <c r="B17" s="7" t="s">
        <v>664</v>
      </c>
      <c r="C17" s="83" t="s">
        <v>665</v>
      </c>
      <c r="D17" s="7" t="s">
        <v>698</v>
      </c>
      <c r="E17" s="7" t="s">
        <v>699</v>
      </c>
      <c r="F17" s="7" t="s">
        <v>700</v>
      </c>
      <c r="G17" s="7"/>
      <c r="H17" s="7"/>
      <c r="I17" s="7"/>
      <c r="J17" s="86" t="s">
        <v>795</v>
      </c>
      <c r="K17" s="7" t="s">
        <v>1347</v>
      </c>
      <c r="L17" s="7" t="s">
        <v>697</v>
      </c>
      <c r="M17" s="7"/>
      <c r="N17" s="7"/>
    </row>
    <row r="18" spans="1:14" ht="15" customHeight="1">
      <c r="A18" s="111" t="s">
        <v>593</v>
      </c>
      <c r="B18" s="7" t="s">
        <v>695</v>
      </c>
      <c r="C18" s="83" t="s">
        <v>696</v>
      </c>
      <c r="D18" s="7" t="s">
        <v>698</v>
      </c>
      <c r="E18" s="7" t="s">
        <v>699</v>
      </c>
      <c r="F18" s="7" t="s">
        <v>700</v>
      </c>
      <c r="G18" s="7"/>
      <c r="H18" s="7"/>
      <c r="I18" s="7"/>
      <c r="J18" s="86" t="s">
        <v>795</v>
      </c>
      <c r="K18" s="7" t="s">
        <v>1347</v>
      </c>
      <c r="L18" s="7" t="s">
        <v>697</v>
      </c>
      <c r="M18" s="7"/>
      <c r="N18" s="7"/>
    </row>
    <row r="19" spans="1:14" ht="15" customHeight="1">
      <c r="A19" s="111" t="s">
        <v>593</v>
      </c>
      <c r="B19" s="7" t="s">
        <v>664</v>
      </c>
      <c r="C19" s="83" t="s">
        <v>665</v>
      </c>
      <c r="D19" s="7"/>
      <c r="E19" s="7"/>
      <c r="F19" s="7"/>
      <c r="G19" s="7"/>
      <c r="H19" s="7"/>
      <c r="I19" s="7"/>
      <c r="J19" s="86" t="s">
        <v>795</v>
      </c>
      <c r="K19" s="7" t="s">
        <v>1347</v>
      </c>
      <c r="L19" s="7" t="s">
        <v>744</v>
      </c>
      <c r="M19" s="7"/>
      <c r="N19" s="7"/>
    </row>
    <row r="20" spans="1:14" ht="15" customHeight="1">
      <c r="A20" s="111" t="s">
        <v>593</v>
      </c>
      <c r="B20" s="7" t="s">
        <v>742</v>
      </c>
      <c r="C20" s="7" t="s">
        <v>743</v>
      </c>
      <c r="D20" s="7"/>
      <c r="E20" s="7"/>
      <c r="F20" s="7"/>
      <c r="G20" s="7"/>
      <c r="H20" s="7"/>
      <c r="I20" s="7"/>
      <c r="J20" s="86" t="s">
        <v>795</v>
      </c>
      <c r="K20" s="7" t="s">
        <v>1347</v>
      </c>
      <c r="L20" s="7" t="s">
        <v>744</v>
      </c>
      <c r="M20" s="7"/>
      <c r="N20" s="7"/>
    </row>
    <row r="21" spans="1:14" ht="15" customHeight="1">
      <c r="L21" s="7"/>
    </row>
    <row r="27" spans="1:14" ht="15" customHeight="1">
      <c r="A27" s="76"/>
      <c r="B27" s="77"/>
      <c r="C27" s="77"/>
      <c r="D27" s="102"/>
      <c r="E27" s="102"/>
      <c r="F27" s="77"/>
      <c r="G27" s="77"/>
      <c r="H27" s="77"/>
      <c r="I27" s="77"/>
      <c r="J27" s="103"/>
      <c r="K27" s="103"/>
    </row>
    <row r="28" spans="1:14" ht="15" customHeight="1">
      <c r="A28" s="97"/>
      <c r="D28" s="102"/>
      <c r="E28" s="102"/>
      <c r="F28" s="96"/>
      <c r="G28" s="96"/>
      <c r="H28" s="96"/>
    </row>
    <row r="29" spans="1:14" ht="15" customHeight="1">
      <c r="A29" s="97"/>
      <c r="D29" s="102"/>
      <c r="E29" s="102"/>
      <c r="F29" s="96"/>
      <c r="G29" s="96"/>
      <c r="H29" s="96"/>
    </row>
    <row r="30" spans="1:14" ht="15" customHeight="1">
      <c r="A30" s="97"/>
      <c r="D30" s="102"/>
      <c r="E30" s="102"/>
      <c r="F30" s="96"/>
      <c r="G30" s="96"/>
      <c r="H30" s="96"/>
    </row>
    <row r="31" spans="1:14" ht="15" customHeight="1">
      <c r="A31" s="97"/>
      <c r="D31" s="102"/>
      <c r="E31" s="102"/>
      <c r="F31" s="96"/>
      <c r="G31" s="96"/>
      <c r="H31" s="96"/>
    </row>
    <row r="32" spans="1:14" ht="15" customHeight="1">
      <c r="A32" s="97"/>
      <c r="D32" s="102"/>
      <c r="E32" s="102"/>
      <c r="F32" s="96"/>
      <c r="G32" s="96"/>
      <c r="H32" s="96"/>
    </row>
    <row r="33" spans="1:11" ht="15" customHeight="1">
      <c r="A33" s="97"/>
      <c r="D33" s="102"/>
      <c r="E33" s="102"/>
      <c r="F33" s="96"/>
      <c r="G33" s="96"/>
      <c r="H33" s="96"/>
    </row>
    <row r="34" spans="1:11" ht="15" customHeight="1">
      <c r="A34" s="97"/>
      <c r="D34" s="102"/>
      <c r="E34" s="102"/>
      <c r="F34" s="96"/>
      <c r="G34" s="96"/>
      <c r="H34" s="96"/>
    </row>
    <row r="35" spans="1:11" ht="15" customHeight="1">
      <c r="A35" s="97"/>
      <c r="D35" s="102"/>
      <c r="E35" s="102"/>
      <c r="F35" s="96"/>
      <c r="G35" s="96"/>
      <c r="H35" s="96"/>
    </row>
    <row r="36" spans="1:11" ht="15" customHeight="1">
      <c r="A36" s="97"/>
      <c r="D36" s="102"/>
      <c r="E36" s="102"/>
      <c r="F36" s="96"/>
      <c r="G36" s="96"/>
      <c r="H36" s="96"/>
    </row>
    <row r="37" spans="1:11" ht="15" customHeight="1">
      <c r="A37" s="97"/>
      <c r="D37" s="102"/>
      <c r="E37" s="102"/>
      <c r="F37" s="96"/>
      <c r="G37" s="96"/>
      <c r="H37" s="96"/>
    </row>
    <row r="38" spans="1:11" ht="15" customHeight="1">
      <c r="A38" s="97"/>
      <c r="D38" s="102"/>
      <c r="E38" s="102"/>
      <c r="F38" s="96"/>
      <c r="G38" s="96"/>
      <c r="H38" s="96"/>
    </row>
    <row r="39" spans="1:11" ht="15" customHeight="1">
      <c r="A39" s="97"/>
      <c r="D39" s="102"/>
      <c r="E39" s="102"/>
      <c r="F39" s="96"/>
      <c r="G39" s="96"/>
      <c r="H39" s="96"/>
    </row>
    <row r="40" spans="1:11" ht="15" customHeight="1">
      <c r="A40" s="97"/>
      <c r="D40" s="102"/>
      <c r="E40" s="102"/>
      <c r="F40" s="96"/>
      <c r="G40" s="96"/>
      <c r="H40" s="96"/>
    </row>
    <row r="41" spans="1:11" ht="15" customHeight="1">
      <c r="A41" s="97"/>
      <c r="D41" s="102"/>
      <c r="E41" s="102"/>
      <c r="F41" s="96"/>
      <c r="G41" s="96"/>
      <c r="H41" s="96"/>
    </row>
    <row r="42" spans="1:11" ht="15" customHeight="1">
      <c r="A42" s="102"/>
      <c r="B42" s="102"/>
      <c r="D42" s="102"/>
      <c r="E42" s="102"/>
      <c r="J42" s="102"/>
      <c r="K42" s="102"/>
    </row>
    <row r="43" spans="1:11" ht="15" customHeight="1">
      <c r="A43" s="102"/>
      <c r="B43" s="102"/>
      <c r="D43" s="102"/>
      <c r="E43" s="102"/>
    </row>
    <row r="44" spans="1:11" ht="15" customHeight="1">
      <c r="A44" s="102"/>
      <c r="B44" s="102"/>
      <c r="D44" s="102"/>
      <c r="E44" s="102"/>
    </row>
    <row r="45" spans="1:11" ht="15" customHeight="1">
      <c r="A45" s="102"/>
      <c r="B45" s="102"/>
      <c r="D45" s="102"/>
      <c r="E45" s="102"/>
    </row>
    <row r="46" spans="1:11" ht="15" customHeight="1">
      <c r="A46" s="102"/>
      <c r="B46" s="102"/>
      <c r="D46" s="102"/>
      <c r="E46" s="102"/>
    </row>
    <row r="47" spans="1:11" ht="15" customHeight="1">
      <c r="A47" s="102"/>
      <c r="B47" s="102"/>
      <c r="D47" s="102"/>
      <c r="E47" s="102"/>
    </row>
    <row r="48" spans="1:11" ht="15" customHeight="1">
      <c r="A48" s="102"/>
      <c r="B48" s="102"/>
      <c r="D48" s="102"/>
      <c r="E48" s="102"/>
    </row>
    <row r="49" spans="1:5" ht="15" customHeight="1">
      <c r="A49" s="102"/>
      <c r="B49" s="102"/>
      <c r="D49" s="102"/>
      <c r="E49" s="102"/>
    </row>
    <row r="50" spans="1:5" ht="15" customHeight="1">
      <c r="A50" s="102"/>
      <c r="B50" s="102"/>
      <c r="D50" s="102"/>
      <c r="E50" s="102"/>
    </row>
    <row r="51" spans="1:5" ht="15" customHeight="1">
      <c r="A51" s="102"/>
      <c r="B51" s="102"/>
      <c r="D51" s="102"/>
      <c r="E51" s="102"/>
    </row>
    <row r="52" spans="1:5" ht="15" customHeight="1">
      <c r="A52" s="102"/>
      <c r="B52" s="102"/>
      <c r="D52" s="102"/>
      <c r="E52" s="102"/>
    </row>
    <row r="53" spans="1:5" ht="15" customHeight="1">
      <c r="A53" s="102"/>
      <c r="B53" s="102"/>
      <c r="D53" s="102"/>
      <c r="E53" s="102"/>
    </row>
    <row r="54" spans="1:5" ht="15" customHeight="1">
      <c r="A54" s="102"/>
      <c r="B54" s="102"/>
      <c r="D54" s="102"/>
      <c r="E54" s="102"/>
    </row>
    <row r="55" spans="1:5" ht="15" customHeight="1">
      <c r="A55" s="102"/>
      <c r="B55" s="102"/>
      <c r="D55" s="102"/>
      <c r="E55" s="102"/>
    </row>
    <row r="56" spans="1:5" ht="15" customHeight="1">
      <c r="A56" s="102"/>
      <c r="B56" s="102"/>
      <c r="D56" s="102"/>
      <c r="E56" s="102"/>
    </row>
    <row r="57" spans="1:5" ht="15" customHeight="1">
      <c r="A57" s="102"/>
      <c r="B57" s="102"/>
      <c r="D57" s="102"/>
      <c r="E57" s="102"/>
    </row>
    <row r="58" spans="1:5" ht="15" customHeight="1">
      <c r="A58" s="102"/>
      <c r="B58" s="102"/>
      <c r="D58" s="102"/>
      <c r="E58" s="102"/>
    </row>
    <row r="59" spans="1:5" ht="15" customHeight="1">
      <c r="A59" s="102"/>
      <c r="B59" s="102"/>
      <c r="D59" s="102"/>
      <c r="E59" s="102"/>
    </row>
    <row r="60" spans="1:5" ht="15" customHeight="1">
      <c r="A60" s="102"/>
      <c r="B60" s="102"/>
      <c r="D60" s="102"/>
      <c r="E60" s="102"/>
    </row>
    <row r="61" spans="1:5" ht="15" customHeight="1">
      <c r="A61" s="102"/>
      <c r="B61" s="102"/>
      <c r="D61" s="102"/>
      <c r="E61" s="102"/>
    </row>
    <row r="62" spans="1:5" ht="15" customHeight="1">
      <c r="A62" s="102"/>
      <c r="B62" s="102"/>
      <c r="D62" s="102"/>
      <c r="E62" s="102"/>
    </row>
    <row r="63" spans="1:5" ht="15" customHeight="1">
      <c r="A63" s="102"/>
      <c r="B63" s="102"/>
      <c r="D63" s="102"/>
      <c r="E63" s="102"/>
    </row>
  </sheetData>
  <autoFilter ref="A1:N1" xr:uid="{00000000-0001-0000-0200-000000000000}"/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967A-AAD9-468C-A382-1EAB98E147D7}">
  <dimension ref="A1:F31"/>
  <sheetViews>
    <sheetView workbookViewId="0">
      <selection activeCell="A17" sqref="A17"/>
    </sheetView>
  </sheetViews>
  <sheetFormatPr baseColWidth="10" defaultRowHeight="15"/>
  <cols>
    <col min="1" max="1" width="67.42578125" customWidth="1"/>
    <col min="2" max="2" width="78.5703125" bestFit="1" customWidth="1"/>
    <col min="3" max="3" width="96.5703125" bestFit="1" customWidth="1"/>
    <col min="4" max="4" width="181.140625" bestFit="1" customWidth="1"/>
    <col min="5" max="5" width="213.85546875" bestFit="1" customWidth="1"/>
  </cols>
  <sheetData>
    <row r="1" spans="1:6" s="70" customFormat="1">
      <c r="A1" s="69" t="s">
        <v>512</v>
      </c>
      <c r="B1" s="69" t="s">
        <v>513</v>
      </c>
      <c r="C1" s="69" t="s">
        <v>514</v>
      </c>
      <c r="D1" s="69" t="s">
        <v>515</v>
      </c>
      <c r="E1" s="69" t="s">
        <v>516</v>
      </c>
    </row>
    <row r="2" spans="1:6" s="73" customFormat="1">
      <c r="A2" s="71" t="s">
        <v>517</v>
      </c>
      <c r="B2" s="71" t="s">
        <v>531</v>
      </c>
      <c r="C2" s="71" t="s">
        <v>532</v>
      </c>
      <c r="D2" s="71" t="s">
        <v>533</v>
      </c>
      <c r="E2" s="72" t="s">
        <v>518</v>
      </c>
    </row>
    <row r="3" spans="1:6" s="73" customFormat="1">
      <c r="A3" s="71" t="s">
        <v>519</v>
      </c>
      <c r="B3" s="71" t="s">
        <v>534</v>
      </c>
      <c r="C3" s="71" t="s">
        <v>535</v>
      </c>
      <c r="D3" s="71" t="s">
        <v>536</v>
      </c>
      <c r="E3" s="72" t="s">
        <v>520</v>
      </c>
    </row>
    <row r="4" spans="1:6" s="73" customFormat="1">
      <c r="A4" s="74" t="s">
        <v>521</v>
      </c>
      <c r="B4" s="71" t="s">
        <v>537</v>
      </c>
      <c r="C4" s="71" t="s">
        <v>538</v>
      </c>
      <c r="D4" s="71" t="s">
        <v>539</v>
      </c>
      <c r="E4" s="72" t="s">
        <v>522</v>
      </c>
    </row>
    <row r="5" spans="1:6" s="73" customFormat="1">
      <c r="A5" s="71" t="s">
        <v>523</v>
      </c>
      <c r="B5" s="71" t="s">
        <v>540</v>
      </c>
      <c r="C5" s="71" t="s">
        <v>541</v>
      </c>
      <c r="D5" s="71" t="s">
        <v>542</v>
      </c>
      <c r="E5" s="72" t="s">
        <v>524</v>
      </c>
    </row>
    <row r="6" spans="1:6" s="73" customFormat="1">
      <c r="A6" s="71" t="s">
        <v>525</v>
      </c>
      <c r="B6" s="71" t="s">
        <v>543</v>
      </c>
      <c r="C6" s="71" t="s">
        <v>544</v>
      </c>
      <c r="D6" s="71" t="s">
        <v>545</v>
      </c>
      <c r="E6" s="72" t="s">
        <v>526</v>
      </c>
    </row>
    <row r="7" spans="1:6" s="73" customFormat="1">
      <c r="A7" s="74" t="s">
        <v>527</v>
      </c>
      <c r="B7" s="71" t="s">
        <v>546</v>
      </c>
      <c r="C7" s="71" t="s">
        <v>547</v>
      </c>
      <c r="D7" s="71" t="s">
        <v>548</v>
      </c>
      <c r="E7" s="72" t="s">
        <v>528</v>
      </c>
    </row>
    <row r="8" spans="1:6" s="73" customFormat="1">
      <c r="A8" s="71" t="s">
        <v>529</v>
      </c>
      <c r="B8" s="71" t="s">
        <v>549</v>
      </c>
      <c r="C8" s="71" t="s">
        <v>550</v>
      </c>
      <c r="D8" s="71" t="s">
        <v>551</v>
      </c>
      <c r="E8" s="72" t="s">
        <v>530</v>
      </c>
    </row>
    <row r="9" spans="1:6" s="73" customFormat="1"/>
    <row r="11" spans="1:6">
      <c r="A11" s="73"/>
    </row>
    <row r="12" spans="1:6">
      <c r="A12" s="73"/>
    </row>
    <row r="14" spans="1:6">
      <c r="A14" s="75" t="s">
        <v>552</v>
      </c>
      <c r="B14" s="75" t="s">
        <v>553</v>
      </c>
      <c r="C14" s="75" t="s">
        <v>554</v>
      </c>
      <c r="D14" s="75" t="s">
        <v>555</v>
      </c>
      <c r="E14" s="75" t="s">
        <v>556</v>
      </c>
      <c r="F14" s="75" t="s">
        <v>557</v>
      </c>
    </row>
    <row r="15" spans="1:6" ht="30">
      <c r="A15" s="68" t="s">
        <v>558</v>
      </c>
      <c r="B15" s="68" t="s">
        <v>559</v>
      </c>
      <c r="C15" s="68" t="s">
        <v>560</v>
      </c>
      <c r="D15" s="68" t="s">
        <v>561</v>
      </c>
      <c r="E15" s="68" t="s">
        <v>562</v>
      </c>
      <c r="F15" s="68" t="s">
        <v>563</v>
      </c>
    </row>
    <row r="16" spans="1:6" ht="30">
      <c r="A16" s="68" t="s">
        <v>564</v>
      </c>
      <c r="B16" s="68" t="s">
        <v>565</v>
      </c>
      <c r="C16" s="68" t="s">
        <v>566</v>
      </c>
      <c r="D16" s="68" t="s">
        <v>567</v>
      </c>
      <c r="E16" s="68" t="s">
        <v>568</v>
      </c>
      <c r="F16" s="68" t="s">
        <v>569</v>
      </c>
    </row>
    <row r="17" spans="1:6">
      <c r="A17" s="68" t="s">
        <v>570</v>
      </c>
      <c r="B17" s="68" t="s">
        <v>571</v>
      </c>
      <c r="C17" s="68" t="s">
        <v>287</v>
      </c>
      <c r="D17" s="68" t="s">
        <v>572</v>
      </c>
      <c r="E17" s="68" t="s">
        <v>573</v>
      </c>
      <c r="F17" s="68" t="s">
        <v>574</v>
      </c>
    </row>
    <row r="18" spans="1:6" ht="60">
      <c r="A18" s="68" t="s">
        <v>575</v>
      </c>
      <c r="B18" s="68" t="s">
        <v>576</v>
      </c>
      <c r="C18" s="68" t="s">
        <v>577</v>
      </c>
      <c r="D18" s="68" t="s">
        <v>572</v>
      </c>
      <c r="E18" s="68" t="s">
        <v>578</v>
      </c>
      <c r="F18" s="68" t="s">
        <v>579</v>
      </c>
    </row>
    <row r="20" spans="1:6">
      <c r="A20" t="s">
        <v>580</v>
      </c>
    </row>
    <row r="22" spans="1:6">
      <c r="A22" s="76" t="s">
        <v>581</v>
      </c>
    </row>
    <row r="25" spans="1:6">
      <c r="A25" t="s">
        <v>747</v>
      </c>
    </row>
    <row r="26" spans="1:6">
      <c r="A26" s="73" t="s">
        <v>582</v>
      </c>
      <c r="B26" s="73" t="s">
        <v>584</v>
      </c>
    </row>
    <row r="27" spans="1:6">
      <c r="A27" s="73" t="s">
        <v>583</v>
      </c>
      <c r="B27" s="73" t="s">
        <v>585</v>
      </c>
    </row>
    <row r="28" spans="1:6">
      <c r="A28" s="73" t="s">
        <v>586</v>
      </c>
      <c r="B28" s="73" t="s">
        <v>589</v>
      </c>
    </row>
    <row r="29" spans="1:6">
      <c r="A29" s="73" t="s">
        <v>587</v>
      </c>
      <c r="B29" s="73" t="s">
        <v>590</v>
      </c>
    </row>
    <row r="30" spans="1:6">
      <c r="A30" s="73" t="s">
        <v>591</v>
      </c>
      <c r="B30" s="73" t="s">
        <v>590</v>
      </c>
    </row>
    <row r="31" spans="1:6">
      <c r="A31" s="73" t="s">
        <v>588</v>
      </c>
      <c r="B31" s="73" t="s">
        <v>589</v>
      </c>
    </row>
  </sheetData>
  <hyperlinks>
    <hyperlink ref="E2" r:id="rId1" tooltip="Horne Smelter" display="https://www.glencore.ca/en/horne?utm_source=chatgpt.com" xr:uid="{1086FE99-6C4F-410F-8B8F-7DF1457A4618}"/>
    <hyperlink ref="E3" r:id="rId2" tooltip="Nickel Pellets (Canada)" display="https://vale.com/documents/d/guest/nickel_pellets_can-2?utm_source=chatgpt.com" xr:uid="{6E8C70F1-07DA-405C-AF82-5110DA320AB5}"/>
    <hyperlink ref="E4" r:id="rId3" tooltip="Long Harbour" display="https://vale.com/long-harbour?utm_source=chatgpt.com" xr:uid="{C3F7D2A0-97CB-4B5B-B5B9-7A8FDBA291C0}"/>
    <hyperlink ref="E5" r:id="rId4" tooltip="Port Colborne" display="https://vale.com/port-colborne?utm_source=chatgpt.com" xr:uid="{1DBC78DE-CD4B-446E-BC65-F0B2C050EA41}"/>
    <hyperlink ref="E6" r:id="rId5" tooltip="At a glance" display="https://www.glencore.ca/en/sudburyino/who-we-are/at-a-glance?utm_source=chatgpt.com" xr:uid="{3BF05530-FCF6-4310-ABA8-BD8CEE302373}"/>
    <hyperlink ref="E7" r:id="rId6" tooltip="How Sherritt Refines Metals" display="https://s2.q4cdn.com/343762060/files/doc_downloads/How_Sherritt_Refines_Metals_2017.pdf?utm_source=chatgpt.com" xr:uid="{125B81E8-8610-4033-941A-7CF9D1900569}"/>
    <hyperlink ref="E8" r:id="rId7" tooltip="Trail Operations" display="https://www.teck.com/operations/canada/operations/trail-operations/?utm_source=chatgpt.com" xr:uid="{ED2CBCFD-221B-4DA5-8759-19C61BEC790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AE06-FF1F-461E-91A7-D3F0C31B223D}">
  <sheetPr>
    <outlinePr summaryBelow="0" summaryRight="0"/>
  </sheetPr>
  <dimension ref="A1:AL899"/>
  <sheetViews>
    <sheetView topLeftCell="A23" workbookViewId="0">
      <selection activeCell="D12" sqref="D12"/>
    </sheetView>
  </sheetViews>
  <sheetFormatPr baseColWidth="10" defaultColWidth="12.5703125" defaultRowHeight="15" customHeight="1"/>
  <cols>
    <col min="1" max="1" width="22.140625" customWidth="1"/>
    <col min="2" max="2" width="41.42578125" bestFit="1" customWidth="1"/>
    <col min="3" max="3" width="41.42578125" customWidth="1"/>
    <col min="4" max="4" width="45.85546875" bestFit="1" customWidth="1"/>
    <col min="5" max="5" width="22.42578125" bestFit="1" customWidth="1"/>
    <col min="6" max="6" width="12.42578125" bestFit="1" customWidth="1"/>
    <col min="7" max="7" width="45.140625" bestFit="1" customWidth="1"/>
    <col min="8" max="8" width="18.7109375" customWidth="1"/>
    <col min="9" max="9" width="17.42578125" customWidth="1"/>
    <col min="10" max="10" width="35.42578125" customWidth="1"/>
    <col min="11" max="11" width="18.85546875" bestFit="1" customWidth="1"/>
    <col min="12" max="12" width="96.140625" customWidth="1"/>
    <col min="13" max="13" width="52.5703125" customWidth="1"/>
  </cols>
  <sheetData>
    <row r="1" spans="1:38">
      <c r="A1" s="6" t="s">
        <v>38</v>
      </c>
      <c r="B1" s="6" t="s">
        <v>39</v>
      </c>
      <c r="C1" s="6" t="s">
        <v>440</v>
      </c>
      <c r="D1" s="6" t="s">
        <v>41</v>
      </c>
      <c r="E1" s="6" t="s">
        <v>40</v>
      </c>
      <c r="F1" s="6" t="s">
        <v>42</v>
      </c>
      <c r="G1" s="6" t="s">
        <v>450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>
      <c r="A2" s="8" t="s">
        <v>21</v>
      </c>
      <c r="B2" s="8" t="s">
        <v>6</v>
      </c>
      <c r="C2" s="8"/>
      <c r="D2" s="8" t="s">
        <v>78</v>
      </c>
      <c r="E2" s="8"/>
      <c r="F2" s="8" t="s">
        <v>79</v>
      </c>
      <c r="G2" s="8" t="s">
        <v>51</v>
      </c>
      <c r="H2" s="8" t="s">
        <v>56</v>
      </c>
      <c r="I2" s="8" t="s">
        <v>56</v>
      </c>
      <c r="J2" s="8" t="s">
        <v>80</v>
      </c>
      <c r="K2" s="8" t="s">
        <v>81</v>
      </c>
      <c r="L2" s="8" t="s">
        <v>82</v>
      </c>
      <c r="M2" s="8" t="s">
        <v>83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>
      <c r="A3" s="8" t="s">
        <v>21</v>
      </c>
      <c r="B3" s="8" t="s">
        <v>14</v>
      </c>
      <c r="C3" s="8"/>
      <c r="D3" s="8" t="s">
        <v>78</v>
      </c>
      <c r="E3" s="8"/>
      <c r="F3" s="8" t="s">
        <v>79</v>
      </c>
      <c r="G3" s="8" t="s">
        <v>51</v>
      </c>
      <c r="H3" s="8" t="s">
        <v>56</v>
      </c>
      <c r="I3" s="8" t="s">
        <v>56</v>
      </c>
      <c r="J3" s="8" t="s">
        <v>80</v>
      </c>
      <c r="K3" s="8" t="s">
        <v>81</v>
      </c>
      <c r="L3" s="8" t="s">
        <v>84</v>
      </c>
      <c r="M3" s="8" t="s">
        <v>83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>
      <c r="A4" s="8" t="s">
        <v>21</v>
      </c>
      <c r="B4" s="8" t="s">
        <v>85</v>
      </c>
      <c r="C4" s="8"/>
      <c r="D4" s="8" t="s">
        <v>78</v>
      </c>
      <c r="E4" s="8"/>
      <c r="F4" s="8" t="s">
        <v>79</v>
      </c>
      <c r="G4" s="8" t="s">
        <v>51</v>
      </c>
      <c r="H4" s="8" t="s">
        <v>56</v>
      </c>
      <c r="I4" s="8" t="s">
        <v>56</v>
      </c>
      <c r="J4" s="8" t="s">
        <v>80</v>
      </c>
      <c r="K4" s="8" t="s">
        <v>81</v>
      </c>
      <c r="L4" s="8" t="s">
        <v>86</v>
      </c>
      <c r="M4" s="8" t="s">
        <v>83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>
      <c r="A5" s="9" t="s">
        <v>13</v>
      </c>
      <c r="B5" s="9" t="s">
        <v>14</v>
      </c>
      <c r="C5" s="9"/>
      <c r="D5" s="9"/>
      <c r="E5" s="9"/>
      <c r="F5" s="9"/>
      <c r="G5" s="9" t="s">
        <v>51</v>
      </c>
      <c r="H5" s="9"/>
      <c r="I5" s="9"/>
      <c r="J5" s="9" t="s">
        <v>53</v>
      </c>
      <c r="K5" s="9" t="s">
        <v>69</v>
      </c>
      <c r="L5" s="9"/>
      <c r="M5" s="9" t="s">
        <v>87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spans="1:38">
      <c r="A6" s="7" t="s">
        <v>16</v>
      </c>
      <c r="B6" s="7" t="s">
        <v>6</v>
      </c>
      <c r="C6" s="7"/>
      <c r="D6" s="8" t="s">
        <v>78</v>
      </c>
      <c r="E6" s="7"/>
      <c r="F6" s="7" t="s">
        <v>50</v>
      </c>
      <c r="G6" s="7" t="s">
        <v>51</v>
      </c>
      <c r="H6" s="7" t="s">
        <v>56</v>
      </c>
      <c r="I6" s="7" t="s">
        <v>56</v>
      </c>
      <c r="J6" s="7" t="s">
        <v>53</v>
      </c>
      <c r="K6" s="7" t="s">
        <v>81</v>
      </c>
      <c r="L6" s="7" t="s">
        <v>88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>
      <c r="A7" s="7" t="s">
        <v>28</v>
      </c>
      <c r="B7" s="7" t="s">
        <v>6</v>
      </c>
      <c r="C7" s="7"/>
      <c r="D7" s="7" t="s">
        <v>213</v>
      </c>
      <c r="E7" s="7" t="s">
        <v>78</v>
      </c>
      <c r="F7" s="7" t="s">
        <v>50</v>
      </c>
      <c r="G7" s="7" t="s">
        <v>214</v>
      </c>
      <c r="H7" s="7">
        <v>0.1</v>
      </c>
      <c r="I7" s="7" t="s">
        <v>52</v>
      </c>
      <c r="J7" s="7" t="s">
        <v>53</v>
      </c>
      <c r="K7" s="7" t="s">
        <v>215</v>
      </c>
      <c r="L7" s="7" t="s">
        <v>216</v>
      </c>
      <c r="M7" s="7" t="s">
        <v>217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>
      <c r="A8" s="7" t="s">
        <v>28</v>
      </c>
      <c r="B8" s="7" t="s">
        <v>6</v>
      </c>
      <c r="C8" s="7"/>
      <c r="D8" s="7" t="s">
        <v>213</v>
      </c>
      <c r="E8" s="7" t="s">
        <v>78</v>
      </c>
      <c r="F8" s="7" t="s">
        <v>50</v>
      </c>
      <c r="G8" s="7" t="s">
        <v>214</v>
      </c>
      <c r="H8" s="7">
        <v>0.25</v>
      </c>
      <c r="I8" s="7" t="s">
        <v>52</v>
      </c>
      <c r="J8" s="7" t="s">
        <v>53</v>
      </c>
      <c r="K8" s="7" t="s">
        <v>215</v>
      </c>
      <c r="L8" s="7" t="s">
        <v>218</v>
      </c>
      <c r="M8" s="7" t="s">
        <v>217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>
      <c r="A9" s="7" t="s">
        <v>28</v>
      </c>
      <c r="B9" s="7" t="s">
        <v>6</v>
      </c>
      <c r="C9" s="7"/>
      <c r="D9" s="7" t="s">
        <v>213</v>
      </c>
      <c r="E9" s="7" t="s">
        <v>78</v>
      </c>
      <c r="F9" s="7" t="s">
        <v>50</v>
      </c>
      <c r="G9" s="7" t="s">
        <v>214</v>
      </c>
      <c r="H9" s="7">
        <v>0.5</v>
      </c>
      <c r="I9" s="7" t="s">
        <v>52</v>
      </c>
      <c r="J9" s="7" t="s">
        <v>53</v>
      </c>
      <c r="K9" s="7" t="s">
        <v>215</v>
      </c>
      <c r="L9" s="7" t="s">
        <v>219</v>
      </c>
      <c r="M9" s="7" t="s">
        <v>217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>
      <c r="A10" s="7" t="s">
        <v>28</v>
      </c>
      <c r="B10" s="7" t="s">
        <v>6</v>
      </c>
      <c r="C10" s="7"/>
      <c r="D10" s="7" t="s">
        <v>213</v>
      </c>
      <c r="E10" s="7" t="s">
        <v>78</v>
      </c>
      <c r="F10" s="7" t="s">
        <v>50</v>
      </c>
      <c r="G10" s="7" t="s">
        <v>214</v>
      </c>
      <c r="H10" s="7">
        <v>1</v>
      </c>
      <c r="I10" s="7" t="s">
        <v>52</v>
      </c>
      <c r="J10" s="7" t="s">
        <v>53</v>
      </c>
      <c r="K10" s="7" t="s">
        <v>215</v>
      </c>
      <c r="L10" s="7" t="s">
        <v>220</v>
      </c>
      <c r="M10" s="7" t="s">
        <v>217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>
      <c r="A11" s="7" t="s">
        <v>28</v>
      </c>
      <c r="B11" s="7" t="s">
        <v>6</v>
      </c>
      <c r="C11" s="7"/>
      <c r="D11" s="7" t="s">
        <v>213</v>
      </c>
      <c r="E11" s="7" t="s">
        <v>78</v>
      </c>
      <c r="F11" s="7" t="s">
        <v>50</v>
      </c>
      <c r="G11" s="7" t="s">
        <v>214</v>
      </c>
      <c r="H11" s="7">
        <v>2</v>
      </c>
      <c r="I11" s="7" t="s">
        <v>52</v>
      </c>
      <c r="J11" s="7" t="s">
        <v>53</v>
      </c>
      <c r="K11" s="7" t="s">
        <v>215</v>
      </c>
      <c r="L11" s="7" t="s">
        <v>221</v>
      </c>
      <c r="M11" s="7" t="s">
        <v>217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>
      <c r="A12" s="7" t="s">
        <v>28</v>
      </c>
      <c r="B12" s="7" t="s">
        <v>6</v>
      </c>
      <c r="C12" s="7"/>
      <c r="D12" s="7" t="s">
        <v>213</v>
      </c>
      <c r="E12" s="7" t="s">
        <v>78</v>
      </c>
      <c r="F12" s="7" t="s">
        <v>50</v>
      </c>
      <c r="G12" s="7" t="s">
        <v>214</v>
      </c>
      <c r="H12" s="7">
        <v>3</v>
      </c>
      <c r="I12" s="7" t="s">
        <v>52</v>
      </c>
      <c r="J12" s="7" t="s">
        <v>53</v>
      </c>
      <c r="K12" s="7" t="s">
        <v>215</v>
      </c>
      <c r="L12" s="7" t="s">
        <v>222</v>
      </c>
      <c r="M12" s="7" t="s">
        <v>217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>
      <c r="A13" s="7" t="s">
        <v>28</v>
      </c>
      <c r="B13" s="7" t="s">
        <v>31</v>
      </c>
      <c r="C13" s="7"/>
      <c r="D13" s="7" t="s">
        <v>213</v>
      </c>
      <c r="E13" s="7" t="s">
        <v>78</v>
      </c>
      <c r="F13" s="7" t="s">
        <v>50</v>
      </c>
      <c r="G13" s="7" t="s">
        <v>214</v>
      </c>
      <c r="H13" s="7">
        <v>0.1</v>
      </c>
      <c r="I13" s="7" t="s">
        <v>52</v>
      </c>
      <c r="J13" s="7" t="s">
        <v>53</v>
      </c>
      <c r="K13" s="7" t="s">
        <v>215</v>
      </c>
      <c r="L13" s="7" t="s">
        <v>227</v>
      </c>
      <c r="M13" s="7" t="s">
        <v>217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>
      <c r="A14" s="7" t="s">
        <v>28</v>
      </c>
      <c r="B14" s="7" t="s">
        <v>31</v>
      </c>
      <c r="C14" s="7"/>
      <c r="D14" s="7" t="s">
        <v>213</v>
      </c>
      <c r="E14" s="7" t="s">
        <v>78</v>
      </c>
      <c r="F14" s="7" t="s">
        <v>50</v>
      </c>
      <c r="G14" s="7" t="s">
        <v>214</v>
      </c>
      <c r="H14" s="7">
        <v>0.25</v>
      </c>
      <c r="I14" s="7" t="s">
        <v>52</v>
      </c>
      <c r="J14" s="7" t="s">
        <v>53</v>
      </c>
      <c r="K14" s="7" t="s">
        <v>215</v>
      </c>
      <c r="L14" s="7" t="s">
        <v>228</v>
      </c>
      <c r="M14" s="7" t="s">
        <v>217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>
      <c r="A15" s="7" t="s">
        <v>28</v>
      </c>
      <c r="B15" s="7" t="s">
        <v>31</v>
      </c>
      <c r="C15" s="7"/>
      <c r="D15" s="7" t="s">
        <v>213</v>
      </c>
      <c r="E15" s="7" t="s">
        <v>78</v>
      </c>
      <c r="F15" s="7" t="s">
        <v>50</v>
      </c>
      <c r="G15" s="7" t="s">
        <v>214</v>
      </c>
      <c r="H15" s="7">
        <v>0.5</v>
      </c>
      <c r="I15" s="7" t="s">
        <v>52</v>
      </c>
      <c r="J15" s="7" t="s">
        <v>53</v>
      </c>
      <c r="K15" s="7" t="s">
        <v>215</v>
      </c>
      <c r="L15" s="7" t="s">
        <v>229</v>
      </c>
      <c r="M15" s="7" t="s">
        <v>217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>
      <c r="A16" s="7" t="s">
        <v>28</v>
      </c>
      <c r="B16" s="7" t="s">
        <v>31</v>
      </c>
      <c r="C16" s="7"/>
      <c r="D16" s="7" t="s">
        <v>213</v>
      </c>
      <c r="E16" s="7" t="s">
        <v>78</v>
      </c>
      <c r="F16" s="7" t="s">
        <v>50</v>
      </c>
      <c r="G16" s="7" t="s">
        <v>214</v>
      </c>
      <c r="H16" s="7">
        <v>1</v>
      </c>
      <c r="I16" s="7" t="s">
        <v>52</v>
      </c>
      <c r="J16" s="7" t="s">
        <v>53</v>
      </c>
      <c r="K16" s="7" t="s">
        <v>215</v>
      </c>
      <c r="L16" s="7" t="s">
        <v>230</v>
      </c>
      <c r="M16" s="7" t="s">
        <v>217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>
      <c r="A17" s="7" t="s">
        <v>28</v>
      </c>
      <c r="B17" s="7" t="s">
        <v>31</v>
      </c>
      <c r="C17" s="7"/>
      <c r="D17" s="7" t="s">
        <v>213</v>
      </c>
      <c r="E17" s="7" t="s">
        <v>78</v>
      </c>
      <c r="F17" s="7" t="s">
        <v>50</v>
      </c>
      <c r="G17" s="7" t="s">
        <v>214</v>
      </c>
      <c r="H17" s="7">
        <v>2</v>
      </c>
      <c r="I17" s="7" t="s">
        <v>52</v>
      </c>
      <c r="J17" s="7" t="s">
        <v>53</v>
      </c>
      <c r="K17" s="7" t="s">
        <v>215</v>
      </c>
      <c r="L17" s="7" t="s">
        <v>231</v>
      </c>
      <c r="M17" s="7" t="s">
        <v>217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>
      <c r="A18" s="7" t="s">
        <v>28</v>
      </c>
      <c r="B18" s="7" t="s">
        <v>31</v>
      </c>
      <c r="C18" s="7"/>
      <c r="D18" s="7" t="s">
        <v>213</v>
      </c>
      <c r="E18" s="7" t="s">
        <v>78</v>
      </c>
      <c r="F18" s="7" t="s">
        <v>50</v>
      </c>
      <c r="G18" s="7" t="s">
        <v>214</v>
      </c>
      <c r="H18" s="7">
        <v>3</v>
      </c>
      <c r="I18" s="7" t="s">
        <v>52</v>
      </c>
      <c r="J18" s="7" t="s">
        <v>53</v>
      </c>
      <c r="K18" s="7" t="s">
        <v>215</v>
      </c>
      <c r="L18" s="7" t="s">
        <v>232</v>
      </c>
      <c r="M18" s="7" t="s">
        <v>217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>
      <c r="A19" s="7" t="s">
        <v>35</v>
      </c>
      <c r="B19" s="7" t="s">
        <v>6</v>
      </c>
      <c r="C19" s="7"/>
      <c r="D19" s="7" t="s">
        <v>49</v>
      </c>
      <c r="E19" s="7"/>
      <c r="F19" s="7" t="s">
        <v>234</v>
      </c>
      <c r="G19" s="7" t="s">
        <v>51</v>
      </c>
      <c r="H19" s="7">
        <v>0.5</v>
      </c>
      <c r="I19" s="7" t="s">
        <v>52</v>
      </c>
      <c r="J19" s="7" t="s">
        <v>53</v>
      </c>
      <c r="K19" s="7" t="s">
        <v>240</v>
      </c>
      <c r="L19" s="7">
        <v>48</v>
      </c>
      <c r="M19" s="7" t="s">
        <v>241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>
      <c r="A20" s="7" t="s">
        <v>35</v>
      </c>
      <c r="B20" s="7" t="s">
        <v>6</v>
      </c>
      <c r="C20" s="7"/>
      <c r="D20" s="7" t="s">
        <v>49</v>
      </c>
      <c r="E20" s="7"/>
      <c r="F20" s="7" t="s">
        <v>234</v>
      </c>
      <c r="G20" s="7" t="s">
        <v>51</v>
      </c>
      <c r="H20" s="7">
        <v>1</v>
      </c>
      <c r="I20" s="7" t="s">
        <v>52</v>
      </c>
      <c r="J20" s="7" t="s">
        <v>53</v>
      </c>
      <c r="K20" s="7" t="s">
        <v>240</v>
      </c>
      <c r="L20" s="7">
        <v>22</v>
      </c>
      <c r="M20" s="7" t="s">
        <v>241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>
      <c r="A21" s="7" t="s">
        <v>35</v>
      </c>
      <c r="B21" s="7" t="s">
        <v>6</v>
      </c>
      <c r="C21" s="7"/>
      <c r="D21" s="7" t="s">
        <v>49</v>
      </c>
      <c r="E21" s="7"/>
      <c r="F21" s="7" t="s">
        <v>234</v>
      </c>
      <c r="G21" s="7" t="s">
        <v>51</v>
      </c>
      <c r="H21" s="7">
        <v>2</v>
      </c>
      <c r="I21" s="7" t="s">
        <v>52</v>
      </c>
      <c r="J21" s="7" t="s">
        <v>53</v>
      </c>
      <c r="K21" s="7" t="s">
        <v>240</v>
      </c>
      <c r="L21" s="7">
        <v>12</v>
      </c>
      <c r="M21" s="7" t="s">
        <v>241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>
      <c r="A22" s="7" t="s">
        <v>35</v>
      </c>
      <c r="B22" s="7" t="s">
        <v>6</v>
      </c>
      <c r="C22" s="7"/>
      <c r="D22" s="7" t="s">
        <v>49</v>
      </c>
      <c r="E22" s="7"/>
      <c r="F22" s="7" t="s">
        <v>234</v>
      </c>
      <c r="G22" s="7" t="s">
        <v>51</v>
      </c>
      <c r="H22" s="7">
        <v>3</v>
      </c>
      <c r="I22" s="7" t="s">
        <v>52</v>
      </c>
      <c r="J22" s="7" t="s">
        <v>53</v>
      </c>
      <c r="K22" s="7" t="s">
        <v>240</v>
      </c>
      <c r="L22" s="7">
        <v>8</v>
      </c>
      <c r="M22" s="7" t="s">
        <v>241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>
      <c r="A23" s="7" t="s">
        <v>35</v>
      </c>
      <c r="B23" s="7" t="s">
        <v>6</v>
      </c>
      <c r="C23" s="7"/>
      <c r="D23" s="7" t="s">
        <v>242</v>
      </c>
      <c r="E23" s="7"/>
      <c r="F23" s="7" t="s">
        <v>234</v>
      </c>
      <c r="G23" s="7" t="s">
        <v>51</v>
      </c>
      <c r="H23" s="7">
        <v>0.5</v>
      </c>
      <c r="I23" s="7" t="s">
        <v>52</v>
      </c>
      <c r="J23" s="7" t="s">
        <v>53</v>
      </c>
      <c r="K23" s="7" t="s">
        <v>240</v>
      </c>
      <c r="L23" s="7">
        <v>70</v>
      </c>
      <c r="M23" s="7" t="s">
        <v>241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>
      <c r="A24" s="7" t="s">
        <v>35</v>
      </c>
      <c r="B24" s="7" t="s">
        <v>6</v>
      </c>
      <c r="C24" s="7"/>
      <c r="D24" s="7" t="s">
        <v>242</v>
      </c>
      <c r="E24" s="7"/>
      <c r="F24" s="7" t="s">
        <v>234</v>
      </c>
      <c r="G24" s="7" t="s">
        <v>51</v>
      </c>
      <c r="H24" s="7">
        <v>1</v>
      </c>
      <c r="I24" s="7" t="s">
        <v>52</v>
      </c>
      <c r="J24" s="7" t="s">
        <v>53</v>
      </c>
      <c r="K24" s="7" t="s">
        <v>240</v>
      </c>
      <c r="L24" s="7">
        <v>35</v>
      </c>
      <c r="M24" s="7" t="s">
        <v>241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>
      <c r="A25" s="7" t="s">
        <v>35</v>
      </c>
      <c r="B25" s="7" t="s">
        <v>6</v>
      </c>
      <c r="C25" s="7"/>
      <c r="D25" s="7" t="s">
        <v>242</v>
      </c>
      <c r="E25" s="7"/>
      <c r="F25" s="7" t="s">
        <v>234</v>
      </c>
      <c r="G25" s="7" t="s">
        <v>51</v>
      </c>
      <c r="H25" s="7">
        <v>2</v>
      </c>
      <c r="I25" s="7" t="s">
        <v>52</v>
      </c>
      <c r="J25" s="7" t="s">
        <v>53</v>
      </c>
      <c r="K25" s="7" t="s">
        <v>240</v>
      </c>
      <c r="L25" s="7">
        <v>20</v>
      </c>
      <c r="M25" s="7" t="s">
        <v>241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>
      <c r="A26" s="7" t="s">
        <v>35</v>
      </c>
      <c r="B26" s="7" t="s">
        <v>6</v>
      </c>
      <c r="C26" s="7"/>
      <c r="D26" s="7" t="s">
        <v>242</v>
      </c>
      <c r="E26" s="7"/>
      <c r="F26" s="7" t="s">
        <v>234</v>
      </c>
      <c r="G26" s="7" t="s">
        <v>51</v>
      </c>
      <c r="H26" s="7">
        <v>3</v>
      </c>
      <c r="I26" s="7" t="s">
        <v>52</v>
      </c>
      <c r="J26" s="7" t="s">
        <v>53</v>
      </c>
      <c r="K26" s="7" t="s">
        <v>240</v>
      </c>
      <c r="L26" s="7">
        <v>12</v>
      </c>
      <c r="M26" s="7" t="s">
        <v>241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>
      <c r="A27" s="8" t="s">
        <v>26</v>
      </c>
      <c r="B27" s="8" t="s">
        <v>14</v>
      </c>
      <c r="C27" s="8"/>
      <c r="D27" s="8" t="s">
        <v>252</v>
      </c>
      <c r="E27" s="8"/>
      <c r="F27" s="8" t="s">
        <v>50</v>
      </c>
      <c r="G27" s="8" t="s">
        <v>51</v>
      </c>
      <c r="H27" s="8">
        <v>0.8</v>
      </c>
      <c r="I27" s="8" t="s">
        <v>253</v>
      </c>
      <c r="J27" s="8" t="s">
        <v>254</v>
      </c>
      <c r="K27" s="8" t="s">
        <v>255</v>
      </c>
      <c r="L27" s="8">
        <v>1400000</v>
      </c>
      <c r="M27" s="8" t="s">
        <v>256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38">
      <c r="A28" s="8" t="s">
        <v>26</v>
      </c>
      <c r="B28" s="8" t="s">
        <v>14</v>
      </c>
      <c r="C28" s="8"/>
      <c r="D28" s="8" t="s">
        <v>252</v>
      </c>
      <c r="E28" s="8"/>
      <c r="F28" s="8" t="s">
        <v>50</v>
      </c>
      <c r="G28" s="8" t="s">
        <v>51</v>
      </c>
      <c r="H28" s="8">
        <v>1</v>
      </c>
      <c r="I28" s="8" t="s">
        <v>253</v>
      </c>
      <c r="J28" s="8" t="s">
        <v>254</v>
      </c>
      <c r="K28" s="8" t="s">
        <v>255</v>
      </c>
      <c r="L28" s="8">
        <v>70000</v>
      </c>
      <c r="M28" s="8" t="s">
        <v>256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38">
      <c r="A29" s="8" t="s">
        <v>26</v>
      </c>
      <c r="B29" s="8" t="s">
        <v>14</v>
      </c>
      <c r="C29" s="8"/>
      <c r="D29" s="8" t="s">
        <v>252</v>
      </c>
      <c r="E29" s="8"/>
      <c r="F29" s="8" t="s">
        <v>50</v>
      </c>
      <c r="G29" s="8" t="s">
        <v>51</v>
      </c>
      <c r="H29" s="8">
        <v>2</v>
      </c>
      <c r="I29" s="8" t="s">
        <v>253</v>
      </c>
      <c r="J29" s="8" t="s">
        <v>254</v>
      </c>
      <c r="K29" s="8" t="s">
        <v>255</v>
      </c>
      <c r="L29" s="8">
        <v>40000</v>
      </c>
      <c r="M29" s="8" t="s">
        <v>256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spans="1:38">
      <c r="A30" s="8" t="s">
        <v>26</v>
      </c>
      <c r="B30" s="8" t="s">
        <v>14</v>
      </c>
      <c r="C30" s="8"/>
      <c r="D30" s="8" t="s">
        <v>252</v>
      </c>
      <c r="E30" s="8"/>
      <c r="F30" s="8" t="s">
        <v>50</v>
      </c>
      <c r="G30" s="8" t="s">
        <v>51</v>
      </c>
      <c r="H30" s="8">
        <v>3</v>
      </c>
      <c r="I30" s="8" t="s">
        <v>253</v>
      </c>
      <c r="J30" s="8" t="s">
        <v>254</v>
      </c>
      <c r="K30" s="8" t="s">
        <v>255</v>
      </c>
      <c r="L30" s="8">
        <v>250000</v>
      </c>
      <c r="M30" s="8" t="s">
        <v>256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>
      <c r="A31" s="8" t="s">
        <v>26</v>
      </c>
      <c r="B31" s="8" t="s">
        <v>14</v>
      </c>
      <c r="C31" s="8"/>
      <c r="D31" s="8" t="s">
        <v>252</v>
      </c>
      <c r="E31" s="8"/>
      <c r="F31" s="8" t="s">
        <v>50</v>
      </c>
      <c r="G31" s="8" t="s">
        <v>51</v>
      </c>
      <c r="H31" s="8">
        <v>4</v>
      </c>
      <c r="I31" s="8" t="s">
        <v>253</v>
      </c>
      <c r="J31" s="8" t="s">
        <v>254</v>
      </c>
      <c r="K31" s="8" t="s">
        <v>255</v>
      </c>
      <c r="L31" s="8">
        <v>120000</v>
      </c>
      <c r="M31" s="8" t="s">
        <v>256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>
      <c r="A32" s="8" t="s">
        <v>26</v>
      </c>
      <c r="B32" s="8" t="s">
        <v>14</v>
      </c>
      <c r="C32" s="8"/>
      <c r="D32" s="8" t="s">
        <v>252</v>
      </c>
      <c r="E32" s="8"/>
      <c r="F32" s="8" t="s">
        <v>50</v>
      </c>
      <c r="G32" s="8" t="s">
        <v>51</v>
      </c>
      <c r="H32" s="8">
        <v>5</v>
      </c>
      <c r="I32" s="8" t="s">
        <v>253</v>
      </c>
      <c r="J32" s="8" t="s">
        <v>254</v>
      </c>
      <c r="K32" s="8" t="s">
        <v>255</v>
      </c>
      <c r="L32" s="8">
        <v>100000</v>
      </c>
      <c r="M32" s="8" t="s">
        <v>256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>
      <c r="A33" s="8" t="s">
        <v>26</v>
      </c>
      <c r="B33" s="8" t="s">
        <v>14</v>
      </c>
      <c r="C33" s="8"/>
      <c r="D33" s="8" t="s">
        <v>252</v>
      </c>
      <c r="E33" s="8"/>
      <c r="F33" s="8" t="s">
        <v>50</v>
      </c>
      <c r="G33" s="8" t="s">
        <v>51</v>
      </c>
      <c r="H33" s="8">
        <v>0.8</v>
      </c>
      <c r="I33" s="8" t="s">
        <v>253</v>
      </c>
      <c r="J33" s="8" t="s">
        <v>106</v>
      </c>
      <c r="K33" s="8" t="s">
        <v>257</v>
      </c>
      <c r="L33" s="8">
        <v>1800000</v>
      </c>
      <c r="M33" s="8" t="s">
        <v>258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>
      <c r="A34" s="8" t="s">
        <v>26</v>
      </c>
      <c r="B34" s="8" t="s">
        <v>14</v>
      </c>
      <c r="C34" s="8"/>
      <c r="D34" s="8" t="s">
        <v>252</v>
      </c>
      <c r="E34" s="8"/>
      <c r="F34" s="8" t="s">
        <v>50</v>
      </c>
      <c r="G34" s="8" t="s">
        <v>51</v>
      </c>
      <c r="H34" s="8">
        <v>1</v>
      </c>
      <c r="I34" s="8" t="s">
        <v>253</v>
      </c>
      <c r="J34" s="8" t="s">
        <v>106</v>
      </c>
      <c r="K34" s="8" t="s">
        <v>257</v>
      </c>
      <c r="L34" s="8">
        <v>1000000</v>
      </c>
      <c r="M34" s="8" t="s">
        <v>258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>
      <c r="A35" s="8" t="s">
        <v>26</v>
      </c>
      <c r="B35" s="8" t="s">
        <v>14</v>
      </c>
      <c r="C35" s="8"/>
      <c r="D35" s="8" t="s">
        <v>252</v>
      </c>
      <c r="E35" s="8"/>
      <c r="F35" s="8" t="s">
        <v>50</v>
      </c>
      <c r="G35" s="8" t="s">
        <v>51</v>
      </c>
      <c r="H35" s="8">
        <v>2</v>
      </c>
      <c r="I35" s="8" t="s">
        <v>253</v>
      </c>
      <c r="J35" s="8" t="s">
        <v>106</v>
      </c>
      <c r="K35" s="8" t="s">
        <v>257</v>
      </c>
      <c r="L35" s="8">
        <v>50000</v>
      </c>
      <c r="M35" s="8" t="s">
        <v>258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>
      <c r="A36" s="8" t="s">
        <v>26</v>
      </c>
      <c r="B36" s="8" t="s">
        <v>14</v>
      </c>
      <c r="C36" s="8"/>
      <c r="D36" s="8" t="s">
        <v>252</v>
      </c>
      <c r="E36" s="8"/>
      <c r="F36" s="8" t="s">
        <v>50</v>
      </c>
      <c r="G36" s="8" t="s">
        <v>51</v>
      </c>
      <c r="H36" s="8">
        <v>3</v>
      </c>
      <c r="I36" s="8" t="s">
        <v>253</v>
      </c>
      <c r="J36" s="8" t="s">
        <v>106</v>
      </c>
      <c r="K36" s="8" t="s">
        <v>257</v>
      </c>
      <c r="L36" s="8">
        <v>300000</v>
      </c>
      <c r="M36" s="8" t="s">
        <v>258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>
      <c r="A37" s="8" t="s">
        <v>26</v>
      </c>
      <c r="B37" s="8" t="s">
        <v>14</v>
      </c>
      <c r="C37" s="8"/>
      <c r="D37" s="8" t="s">
        <v>252</v>
      </c>
      <c r="E37" s="8"/>
      <c r="F37" s="8" t="s">
        <v>50</v>
      </c>
      <c r="G37" s="8" t="s">
        <v>51</v>
      </c>
      <c r="H37" s="8">
        <v>4</v>
      </c>
      <c r="I37" s="8" t="s">
        <v>253</v>
      </c>
      <c r="J37" s="8" t="s">
        <v>106</v>
      </c>
      <c r="K37" s="8" t="s">
        <v>257</v>
      </c>
      <c r="L37" s="8">
        <v>250000</v>
      </c>
      <c r="M37" s="8" t="s">
        <v>258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>
      <c r="A38" s="8" t="s">
        <v>26</v>
      </c>
      <c r="B38" s="8" t="s">
        <v>14</v>
      </c>
      <c r="C38" s="8"/>
      <c r="D38" s="8" t="s">
        <v>252</v>
      </c>
      <c r="E38" s="8"/>
      <c r="F38" s="8" t="s">
        <v>50</v>
      </c>
      <c r="G38" s="8" t="s">
        <v>51</v>
      </c>
      <c r="H38" s="8">
        <v>5</v>
      </c>
      <c r="I38" s="8" t="s">
        <v>253</v>
      </c>
      <c r="J38" s="8" t="s">
        <v>106</v>
      </c>
      <c r="K38" s="8" t="s">
        <v>257</v>
      </c>
      <c r="L38" s="8">
        <v>200000</v>
      </c>
      <c r="M38" s="8" t="s">
        <v>258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>
      <c r="A39" s="7" t="s">
        <v>30</v>
      </c>
      <c r="B39" s="7" t="s">
        <v>31</v>
      </c>
      <c r="C39" s="7"/>
      <c r="D39" s="7" t="s">
        <v>49</v>
      </c>
      <c r="E39" s="7"/>
      <c r="F39" s="7" t="s">
        <v>50</v>
      </c>
      <c r="G39" s="7" t="s">
        <v>259</v>
      </c>
      <c r="H39" s="7" t="s">
        <v>56</v>
      </c>
      <c r="I39" s="7" t="s">
        <v>56</v>
      </c>
      <c r="J39" s="7" t="s">
        <v>260</v>
      </c>
      <c r="K39" s="7" t="s">
        <v>81</v>
      </c>
      <c r="L39" s="7" t="s">
        <v>261</v>
      </c>
      <c r="M39" s="7" t="s">
        <v>262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>
      <c r="A40" s="7" t="s">
        <v>263</v>
      </c>
      <c r="B40" s="7" t="s">
        <v>6</v>
      </c>
      <c r="C40" s="7"/>
      <c r="D40" s="7" t="s">
        <v>49</v>
      </c>
      <c r="E40" s="7"/>
      <c r="F40" s="7" t="s">
        <v>50</v>
      </c>
      <c r="G40" s="7" t="s">
        <v>51</v>
      </c>
      <c r="H40" s="7" t="s">
        <v>56</v>
      </c>
      <c r="I40" s="7" t="s">
        <v>56</v>
      </c>
      <c r="J40" s="7" t="s">
        <v>53</v>
      </c>
      <c r="K40" s="7" t="s">
        <v>81</v>
      </c>
      <c r="L40" s="7" t="s">
        <v>88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>
      <c r="A41" s="7" t="s">
        <v>263</v>
      </c>
      <c r="B41" s="7" t="s">
        <v>225</v>
      </c>
      <c r="C41" s="7"/>
      <c r="D41" s="7" t="s">
        <v>49</v>
      </c>
      <c r="E41" s="7"/>
      <c r="F41" s="7" t="s">
        <v>50</v>
      </c>
      <c r="G41" s="7" t="s">
        <v>51</v>
      </c>
      <c r="H41" s="7" t="s">
        <v>56</v>
      </c>
      <c r="I41" s="7" t="s">
        <v>56</v>
      </c>
      <c r="J41" s="7" t="s">
        <v>53</v>
      </c>
      <c r="K41" s="7" t="s">
        <v>81</v>
      </c>
      <c r="L41" s="7" t="s">
        <v>264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>
      <c r="A42" s="7" t="s">
        <v>263</v>
      </c>
      <c r="B42" s="7" t="s">
        <v>31</v>
      </c>
      <c r="C42" s="7"/>
      <c r="D42" s="7" t="s">
        <v>49</v>
      </c>
      <c r="E42" s="7"/>
      <c r="F42" s="7" t="s">
        <v>50</v>
      </c>
      <c r="G42" s="7" t="s">
        <v>51</v>
      </c>
      <c r="H42" s="7" t="s">
        <v>56</v>
      </c>
      <c r="I42" s="7" t="s">
        <v>56</v>
      </c>
      <c r="J42" s="7" t="s">
        <v>53</v>
      </c>
      <c r="K42" s="7" t="s">
        <v>81</v>
      </c>
      <c r="L42" s="7" t="s">
        <v>265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>
      <c r="A43" s="7" t="s">
        <v>263</v>
      </c>
      <c r="B43" s="7" t="s">
        <v>85</v>
      </c>
      <c r="C43" s="7"/>
      <c r="D43" s="7" t="s">
        <v>49</v>
      </c>
      <c r="E43" s="7"/>
      <c r="F43" s="7" t="s">
        <v>50</v>
      </c>
      <c r="G43" s="7" t="s">
        <v>51</v>
      </c>
      <c r="H43" s="7" t="s">
        <v>56</v>
      </c>
      <c r="I43" s="7" t="s">
        <v>56</v>
      </c>
      <c r="J43" s="7" t="s">
        <v>53</v>
      </c>
      <c r="K43" s="7" t="s">
        <v>81</v>
      </c>
      <c r="L43" s="7" t="s">
        <v>266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spans="1:3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spans="1:3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spans="1:3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1:3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spans="1:3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spans="1:3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spans="1:3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spans="1:3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spans="1:3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spans="1:3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spans="1:3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1:3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spans="1:3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spans="1:3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spans="1:3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spans="1:3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spans="1:3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spans="1:3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spans="1:3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spans="1:3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spans="1:3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spans="1:3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spans="1:3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spans="1:3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spans="1:3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spans="1:3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spans="1:3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spans="1:3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spans="1:3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spans="1:3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spans="1:3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spans="1:3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spans="1:3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spans="1:3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spans="1:3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spans="1:3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spans="1:3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spans="1:3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spans="1:3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spans="1:3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spans="1:3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spans="1:3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spans="1:3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spans="1:3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spans="1:3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spans="1:3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spans="1:3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spans="1:3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spans="1:3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spans="1:3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spans="1:3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spans="1:3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spans="1:3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spans="1:3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spans="1:3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spans="1:3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spans="1:3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spans="1:3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spans="1:3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spans="1:3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spans="1:3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spans="1:3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spans="1:3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spans="1:3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spans="1:3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spans="1:3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spans="1:3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spans="1:3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spans="1:3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spans="1:3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spans="1:3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spans="1:3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spans="1:3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spans="1:3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spans="1:3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spans="1:3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spans="1:3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spans="1:3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spans="1:3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spans="1: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spans="1:3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spans="1:3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spans="1:3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spans="1:3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spans="1:3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spans="1:3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spans="1:3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spans="1:3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spans="1:3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spans="1:3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spans="1:3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spans="1:3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spans="1:3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spans="1:3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spans="1:3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spans="1:3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spans="1:3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spans="1:3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spans="1:3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spans="1:3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spans="1:3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spans="1:3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spans="1:3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spans="1:3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spans="1:3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spans="1:3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spans="1:3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spans="1:3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spans="1:3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spans="1:3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spans="1:3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spans="1:3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spans="1:3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spans="1:3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spans="1:3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spans="1:3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spans="1:3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spans="1:3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spans="1:3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spans="1:3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spans="1:3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spans="1:3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spans="1:3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spans="1:3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spans="1:3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spans="1:3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spans="1:3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spans="1:3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spans="1:3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spans="1:3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spans="1:3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spans="1:3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spans="1:3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spans="1:3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spans="1:3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spans="1:3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spans="1:3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spans="1:3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spans="1:3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spans="1:3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spans="1:3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spans="1:3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spans="1:3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spans="1:3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spans="1:3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spans="1:3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spans="1:3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spans="1:3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spans="1:3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spans="1:3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spans="1:3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spans="1:3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spans="1:3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spans="1:3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spans="1:3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spans="1:3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spans="1:3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spans="1:3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spans="1:3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spans="1:3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spans="1:3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spans="1:38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spans="1:38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</row>
    <row r="222" spans="1:38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</row>
    <row r="223" spans="1:38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</row>
    <row r="224" spans="1:38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</row>
    <row r="225" spans="1:38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</row>
    <row r="226" spans="1:38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</row>
    <row r="227" spans="1:38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</row>
    <row r="228" spans="1:3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</row>
    <row r="229" spans="1:38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</row>
    <row r="230" spans="1:38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</row>
    <row r="231" spans="1:38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</row>
    <row r="232" spans="1:38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</row>
    <row r="233" spans="1:38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</row>
    <row r="234" spans="1:38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</row>
    <row r="235" spans="1:38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</row>
    <row r="236" spans="1:38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</row>
    <row r="237" spans="1:38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</row>
    <row r="238" spans="1: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</row>
    <row r="239" spans="1:38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</row>
    <row r="240" spans="1:38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</row>
    <row r="241" spans="1:38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</row>
    <row r="242" spans="1:38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</row>
    <row r="243" spans="1:38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</row>
    <row r="244" spans="1:38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</row>
    <row r="245" spans="1:38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</row>
    <row r="246" spans="1:38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</row>
    <row r="247" spans="1:38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</row>
    <row r="248" spans="1:3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</row>
    <row r="249" spans="1:38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</row>
    <row r="250" spans="1:3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</row>
    <row r="251" spans="1:3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</row>
    <row r="252" spans="1:3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</row>
    <row r="253" spans="1:3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</row>
    <row r="254" spans="1:3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</row>
    <row r="255" spans="1:3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</row>
    <row r="256" spans="1:3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</row>
    <row r="257" spans="1:3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</row>
    <row r="258" spans="1:3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 spans="1:3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</row>
    <row r="260" spans="1:3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</row>
    <row r="261" spans="1:3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 spans="1:3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</row>
    <row r="263" spans="1:3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</row>
    <row r="264" spans="1:3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</row>
    <row r="265" spans="1:3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</row>
    <row r="266" spans="1:3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</row>
    <row r="267" spans="1:3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</row>
    <row r="268" spans="1:3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</row>
    <row r="269" spans="1:3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 spans="1:3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</row>
    <row r="271" spans="1:3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</row>
    <row r="272" spans="1:3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</row>
    <row r="273" spans="1:3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</row>
    <row r="274" spans="1:3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</row>
    <row r="275" spans="1:3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</row>
    <row r="276" spans="1:3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</row>
    <row r="277" spans="1:3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</row>
    <row r="278" spans="1:3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</row>
    <row r="279" spans="1:38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</row>
    <row r="280" spans="1:38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</row>
    <row r="281" spans="1:38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</row>
    <row r="282" spans="1:38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</row>
    <row r="283" spans="1:3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</row>
    <row r="284" spans="1:3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</row>
    <row r="285" spans="1:3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</row>
    <row r="286" spans="1:3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</row>
    <row r="287" spans="1:3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</row>
    <row r="288" spans="1:3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</row>
    <row r="289" spans="1:3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</row>
    <row r="290" spans="1:3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</row>
    <row r="291" spans="1:3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</row>
    <row r="292" spans="1:38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</row>
    <row r="293" spans="1:38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</row>
    <row r="294" spans="1:38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</row>
    <row r="295" spans="1:38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</row>
    <row r="296" spans="1:38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</row>
    <row r="297" spans="1:38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</row>
    <row r="298" spans="1:3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</row>
    <row r="299" spans="1:38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</row>
    <row r="300" spans="1:38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</row>
    <row r="301" spans="1:38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</row>
    <row r="302" spans="1:38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</row>
    <row r="303" spans="1:38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</row>
    <row r="304" spans="1:38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</row>
    <row r="305" spans="1:38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</row>
    <row r="306" spans="1:38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</row>
    <row r="307" spans="1:38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</row>
    <row r="308" spans="1:3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</row>
    <row r="309" spans="1:38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</row>
    <row r="310" spans="1:38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</row>
    <row r="311" spans="1:38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</row>
    <row r="312" spans="1:38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</row>
    <row r="313" spans="1:38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</row>
    <row r="314" spans="1:38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</row>
    <row r="315" spans="1:38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</row>
    <row r="316" spans="1:38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</row>
    <row r="317" spans="1:38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</row>
    <row r="318" spans="1:3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</row>
    <row r="319" spans="1:38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</row>
    <row r="320" spans="1:38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</row>
    <row r="321" spans="1:38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</row>
    <row r="322" spans="1:38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</row>
    <row r="323" spans="1:38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</row>
    <row r="324" spans="1:38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</row>
    <row r="325" spans="1:38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</row>
    <row r="326" spans="1:38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</row>
    <row r="327" spans="1:38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</row>
    <row r="328" spans="1:3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</row>
    <row r="329" spans="1:38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</row>
    <row r="330" spans="1:38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</row>
    <row r="331" spans="1:38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</row>
    <row r="332" spans="1:38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</row>
    <row r="333" spans="1:38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</row>
    <row r="334" spans="1:38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</row>
    <row r="335" spans="1:38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</row>
    <row r="336" spans="1:38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</row>
    <row r="337" spans="1:38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</row>
    <row r="338" spans="1: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</row>
    <row r="339" spans="1:38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</row>
    <row r="340" spans="1:38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</row>
    <row r="341" spans="1:38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</row>
    <row r="342" spans="1:38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</row>
    <row r="343" spans="1:38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</row>
    <row r="344" spans="1:38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</row>
    <row r="345" spans="1:38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</row>
    <row r="346" spans="1:38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</row>
    <row r="347" spans="1:38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</row>
    <row r="348" spans="1:3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</row>
    <row r="349" spans="1:38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</row>
    <row r="350" spans="1:38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</row>
    <row r="351" spans="1:38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</row>
    <row r="352" spans="1:38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</row>
    <row r="353" spans="1:38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</row>
    <row r="354" spans="1:38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</row>
    <row r="355" spans="1:38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</row>
    <row r="356" spans="1:38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</row>
    <row r="357" spans="1:38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</row>
    <row r="358" spans="1:3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</row>
    <row r="359" spans="1:38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</row>
    <row r="360" spans="1:38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</row>
    <row r="361" spans="1:38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</row>
    <row r="362" spans="1:38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</row>
    <row r="363" spans="1:38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</row>
    <row r="364" spans="1:38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</row>
    <row r="365" spans="1:38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</row>
    <row r="366" spans="1:38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</row>
    <row r="367" spans="1:38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</row>
    <row r="368" spans="1:3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</row>
    <row r="369" spans="1:38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</row>
    <row r="370" spans="1:38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</row>
    <row r="371" spans="1:38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</row>
    <row r="372" spans="1:38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</row>
    <row r="373" spans="1:38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</row>
    <row r="374" spans="1:38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</row>
    <row r="375" spans="1:38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</row>
    <row r="376" spans="1:38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</row>
    <row r="377" spans="1:38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</row>
    <row r="378" spans="1:3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</row>
    <row r="379" spans="1:38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</row>
    <row r="380" spans="1:38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</row>
    <row r="381" spans="1:38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</row>
    <row r="382" spans="1:38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</row>
    <row r="383" spans="1:38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</row>
    <row r="384" spans="1:38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</row>
    <row r="385" spans="1:38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</row>
    <row r="386" spans="1:38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</row>
    <row r="387" spans="1:38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</row>
    <row r="388" spans="1:3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</row>
    <row r="389" spans="1:38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</row>
    <row r="390" spans="1:38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</row>
    <row r="391" spans="1:38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</row>
    <row r="392" spans="1:38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</row>
    <row r="393" spans="1:38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</row>
    <row r="394" spans="1:38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</row>
    <row r="395" spans="1:38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</row>
    <row r="396" spans="1:38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</row>
    <row r="397" spans="1:38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</row>
    <row r="398" spans="1:3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</row>
    <row r="399" spans="1:38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</row>
    <row r="400" spans="1:38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</row>
    <row r="401" spans="1:38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</row>
    <row r="402" spans="1:38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</row>
    <row r="403" spans="1:38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</row>
    <row r="404" spans="1:38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</row>
    <row r="405" spans="1:38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</row>
    <row r="406" spans="1:38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</row>
    <row r="407" spans="1:38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</row>
    <row r="408" spans="1:3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</row>
    <row r="409" spans="1:38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</row>
    <row r="410" spans="1:38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</row>
    <row r="411" spans="1:38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</row>
    <row r="412" spans="1:38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</row>
    <row r="413" spans="1:38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</row>
    <row r="414" spans="1:38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</row>
    <row r="415" spans="1:38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</row>
    <row r="416" spans="1:38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</row>
    <row r="417" spans="1:38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</row>
    <row r="418" spans="1:3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</row>
    <row r="419" spans="1:38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</row>
    <row r="420" spans="1:38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</row>
    <row r="421" spans="1:38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</row>
    <row r="422" spans="1:38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</row>
    <row r="423" spans="1:38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</row>
    <row r="424" spans="1:38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</row>
    <row r="425" spans="1:38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</row>
    <row r="426" spans="1:38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</row>
    <row r="427" spans="1:38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</row>
    <row r="428" spans="1:3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</row>
    <row r="429" spans="1:38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</row>
    <row r="430" spans="1:38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</row>
    <row r="431" spans="1:38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</row>
    <row r="432" spans="1:38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</row>
    <row r="433" spans="1:38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</row>
    <row r="434" spans="1:38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</row>
    <row r="435" spans="1:38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</row>
    <row r="436" spans="1:38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</row>
    <row r="437" spans="1:38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</row>
    <row r="438" spans="1: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</row>
    <row r="439" spans="1:38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</row>
    <row r="440" spans="1:38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</row>
    <row r="441" spans="1:38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</row>
    <row r="442" spans="1:38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</row>
    <row r="443" spans="1:38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</row>
    <row r="444" spans="1:38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</row>
    <row r="445" spans="1:38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</row>
    <row r="446" spans="1:38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</row>
    <row r="447" spans="1:38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</row>
    <row r="448" spans="1:3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</row>
    <row r="449" spans="1:38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</row>
    <row r="450" spans="1:38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</row>
    <row r="451" spans="1:38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</row>
    <row r="452" spans="1:38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</row>
    <row r="453" spans="1:38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</row>
    <row r="454" spans="1:38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</row>
    <row r="455" spans="1:38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</row>
    <row r="456" spans="1:38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</row>
    <row r="457" spans="1:38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</row>
    <row r="458" spans="1:3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</row>
    <row r="459" spans="1:38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</row>
    <row r="460" spans="1:38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</row>
    <row r="461" spans="1:38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</row>
    <row r="462" spans="1:38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</row>
    <row r="463" spans="1:38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</row>
    <row r="464" spans="1:38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</row>
    <row r="465" spans="1:38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</row>
    <row r="466" spans="1:38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</row>
    <row r="467" spans="1:38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</row>
    <row r="468" spans="1:3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</row>
    <row r="469" spans="1:38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</row>
    <row r="470" spans="1:38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</row>
    <row r="471" spans="1:38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</row>
    <row r="472" spans="1:38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</row>
    <row r="473" spans="1:38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</row>
    <row r="474" spans="1:38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</row>
    <row r="475" spans="1:38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</row>
    <row r="476" spans="1:38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</row>
    <row r="477" spans="1:38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</row>
    <row r="478" spans="1:3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</row>
    <row r="479" spans="1:38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</row>
    <row r="480" spans="1:38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</row>
    <row r="481" spans="1:38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</row>
    <row r="482" spans="1:38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</row>
    <row r="483" spans="1:38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</row>
    <row r="484" spans="1:38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</row>
    <row r="485" spans="1:38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</row>
    <row r="486" spans="1:38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</row>
    <row r="487" spans="1:38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</row>
    <row r="488" spans="1:3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</row>
    <row r="489" spans="1:38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</row>
    <row r="490" spans="1:38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</row>
    <row r="491" spans="1:38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</row>
    <row r="492" spans="1:38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</row>
    <row r="493" spans="1:38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</row>
    <row r="494" spans="1:38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</row>
    <row r="495" spans="1:38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</row>
    <row r="496" spans="1:38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</row>
    <row r="497" spans="1:38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</row>
    <row r="498" spans="1:3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</row>
    <row r="499" spans="1:38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</row>
    <row r="500" spans="1:38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</row>
    <row r="501" spans="1:38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</row>
    <row r="502" spans="1:38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</row>
    <row r="503" spans="1:38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</row>
    <row r="504" spans="1:38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</row>
    <row r="505" spans="1:38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</row>
    <row r="506" spans="1:38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</row>
    <row r="507" spans="1:38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</row>
    <row r="508" spans="1:3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</row>
    <row r="509" spans="1:38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</row>
    <row r="510" spans="1:38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</row>
    <row r="511" spans="1:38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</row>
    <row r="512" spans="1:38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</row>
    <row r="513" spans="1:38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</row>
    <row r="514" spans="1:38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</row>
    <row r="515" spans="1:38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</row>
    <row r="516" spans="1:38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</row>
    <row r="517" spans="1:38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</row>
    <row r="518" spans="1:3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</row>
    <row r="519" spans="1:38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</row>
    <row r="520" spans="1:38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</row>
    <row r="521" spans="1:38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</row>
    <row r="522" spans="1:38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</row>
    <row r="523" spans="1:38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</row>
    <row r="524" spans="1:38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</row>
    <row r="525" spans="1:38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</row>
    <row r="526" spans="1:38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</row>
    <row r="527" spans="1:38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</row>
    <row r="528" spans="1:3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</row>
    <row r="529" spans="1:38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</row>
    <row r="530" spans="1:38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</row>
    <row r="531" spans="1:38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</row>
    <row r="532" spans="1:38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</row>
    <row r="533" spans="1:38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</row>
    <row r="534" spans="1:38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</row>
    <row r="535" spans="1:38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</row>
    <row r="536" spans="1:38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</row>
    <row r="537" spans="1:38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</row>
    <row r="538" spans="1: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</row>
    <row r="539" spans="1:38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</row>
    <row r="540" spans="1:38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</row>
    <row r="541" spans="1:38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</row>
    <row r="542" spans="1:38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</row>
    <row r="543" spans="1:38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</row>
    <row r="544" spans="1:38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</row>
    <row r="545" spans="1:38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</row>
    <row r="546" spans="1:38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</row>
    <row r="547" spans="1:38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</row>
    <row r="548" spans="1:3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</row>
    <row r="549" spans="1:38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</row>
    <row r="550" spans="1:38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</row>
    <row r="551" spans="1:38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</row>
    <row r="552" spans="1:38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</row>
    <row r="553" spans="1:38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</row>
    <row r="554" spans="1:38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</row>
    <row r="555" spans="1:38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</row>
    <row r="556" spans="1:38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</row>
    <row r="557" spans="1:38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</row>
    <row r="558" spans="1:3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</row>
    <row r="559" spans="1:38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</row>
    <row r="560" spans="1:38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</row>
    <row r="561" spans="1:38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</row>
    <row r="562" spans="1:38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</row>
    <row r="563" spans="1:38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</row>
    <row r="564" spans="1:38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</row>
    <row r="565" spans="1:38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</row>
    <row r="566" spans="1:38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</row>
    <row r="567" spans="1:38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</row>
    <row r="568" spans="1:3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</row>
    <row r="569" spans="1:38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</row>
    <row r="570" spans="1:38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</row>
    <row r="571" spans="1:38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</row>
    <row r="572" spans="1:38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</row>
    <row r="573" spans="1:38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</row>
    <row r="574" spans="1:38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</row>
    <row r="575" spans="1:38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</row>
    <row r="576" spans="1:38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</row>
    <row r="577" spans="1:38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</row>
    <row r="578" spans="1:3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</row>
    <row r="579" spans="1:38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</row>
    <row r="580" spans="1:38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</row>
    <row r="581" spans="1:38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</row>
    <row r="582" spans="1:38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</row>
    <row r="583" spans="1:38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</row>
    <row r="584" spans="1:38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</row>
    <row r="585" spans="1:38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</row>
    <row r="586" spans="1:38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</row>
    <row r="587" spans="1:38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</row>
    <row r="588" spans="1:3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</row>
    <row r="589" spans="1:38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</row>
    <row r="590" spans="1:38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</row>
    <row r="591" spans="1:38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</row>
    <row r="592" spans="1:38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</row>
    <row r="593" spans="1:38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</row>
    <row r="594" spans="1:38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</row>
    <row r="595" spans="1:38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</row>
    <row r="596" spans="1:38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</row>
    <row r="597" spans="1:38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</row>
    <row r="598" spans="1:3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</row>
    <row r="599" spans="1:38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</row>
    <row r="600" spans="1:38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</row>
    <row r="601" spans="1:38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</row>
    <row r="602" spans="1:38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</row>
    <row r="603" spans="1:38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</row>
    <row r="604" spans="1:38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</row>
    <row r="605" spans="1:38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</row>
    <row r="606" spans="1:38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</row>
    <row r="607" spans="1:38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</row>
    <row r="608" spans="1:3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</row>
    <row r="609" spans="1:38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</row>
    <row r="610" spans="1:38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</row>
    <row r="611" spans="1:38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</row>
    <row r="612" spans="1:38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</row>
    <row r="613" spans="1:38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</row>
    <row r="614" spans="1:38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</row>
    <row r="615" spans="1:38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</row>
    <row r="616" spans="1:38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</row>
    <row r="617" spans="1:38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</row>
    <row r="618" spans="1:3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</row>
    <row r="619" spans="1:38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</row>
    <row r="620" spans="1:38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</row>
    <row r="621" spans="1:38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</row>
    <row r="622" spans="1:38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</row>
    <row r="623" spans="1:38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</row>
    <row r="624" spans="1:38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</row>
    <row r="625" spans="1:38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</row>
    <row r="626" spans="1:38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</row>
    <row r="627" spans="1:38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</row>
    <row r="628" spans="1:3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</row>
    <row r="629" spans="1:38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</row>
    <row r="630" spans="1:38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</row>
    <row r="631" spans="1:38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</row>
    <row r="632" spans="1:38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</row>
    <row r="633" spans="1:38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</row>
    <row r="634" spans="1:38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</row>
    <row r="635" spans="1:38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</row>
    <row r="636" spans="1:38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</row>
    <row r="637" spans="1:38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</row>
    <row r="638" spans="1: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</row>
    <row r="639" spans="1:38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</row>
    <row r="640" spans="1:38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</row>
    <row r="641" spans="1:38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</row>
    <row r="642" spans="1:38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</row>
    <row r="643" spans="1:38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</row>
    <row r="644" spans="1:38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</row>
    <row r="645" spans="1:38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</row>
    <row r="646" spans="1:38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</row>
    <row r="647" spans="1:38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</row>
    <row r="648" spans="1:3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</row>
    <row r="649" spans="1:38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</row>
    <row r="650" spans="1:38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</row>
    <row r="651" spans="1:38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</row>
    <row r="652" spans="1:38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</row>
    <row r="653" spans="1:38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</row>
    <row r="654" spans="1:38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</row>
    <row r="655" spans="1:38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</row>
    <row r="656" spans="1:38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</row>
    <row r="657" spans="1:38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</row>
    <row r="658" spans="1:3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</row>
    <row r="659" spans="1:38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</row>
    <row r="660" spans="1:38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</row>
    <row r="661" spans="1:38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</row>
    <row r="662" spans="1:38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</row>
    <row r="663" spans="1:38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</row>
    <row r="664" spans="1:38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</row>
    <row r="665" spans="1:38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</row>
    <row r="666" spans="1:38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</row>
    <row r="667" spans="1:38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</row>
    <row r="668" spans="1:3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</row>
    <row r="669" spans="1:38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</row>
    <row r="670" spans="1:38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</row>
    <row r="671" spans="1:38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</row>
    <row r="672" spans="1:38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</row>
    <row r="673" spans="1:38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</row>
    <row r="674" spans="1:38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</row>
    <row r="675" spans="1:38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</row>
    <row r="676" spans="1:38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</row>
    <row r="677" spans="1:38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</row>
    <row r="678" spans="1:3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</row>
    <row r="679" spans="1:38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</row>
    <row r="680" spans="1:38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</row>
    <row r="681" spans="1:38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</row>
    <row r="682" spans="1:38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</row>
    <row r="683" spans="1:38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</row>
    <row r="684" spans="1:38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</row>
    <row r="685" spans="1:38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</row>
    <row r="686" spans="1:38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</row>
    <row r="687" spans="1:38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</row>
    <row r="688" spans="1:3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</row>
    <row r="689" spans="1:38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</row>
    <row r="690" spans="1:38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</row>
    <row r="691" spans="1:38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</row>
    <row r="692" spans="1:38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</row>
    <row r="693" spans="1:38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</row>
    <row r="694" spans="1:38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</row>
    <row r="695" spans="1:38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</row>
    <row r="696" spans="1:38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</row>
    <row r="697" spans="1:38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</row>
    <row r="698" spans="1:3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</row>
    <row r="699" spans="1:38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</row>
    <row r="700" spans="1:38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</row>
    <row r="701" spans="1:38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</row>
    <row r="702" spans="1:38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</row>
    <row r="703" spans="1:38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</row>
    <row r="704" spans="1:38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</row>
    <row r="705" spans="1:38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</row>
    <row r="706" spans="1:38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</row>
    <row r="707" spans="1:38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</row>
    <row r="708" spans="1:3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</row>
    <row r="709" spans="1:38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</row>
    <row r="710" spans="1:38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</row>
    <row r="711" spans="1:38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</row>
    <row r="712" spans="1:38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</row>
    <row r="713" spans="1:38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</row>
    <row r="714" spans="1:38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</row>
    <row r="715" spans="1:38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</row>
    <row r="716" spans="1:38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</row>
    <row r="717" spans="1:38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</row>
    <row r="718" spans="1:3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</row>
    <row r="719" spans="1:38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</row>
    <row r="720" spans="1:38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</row>
    <row r="721" spans="1:38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</row>
    <row r="722" spans="1:38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</row>
    <row r="723" spans="1:38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</row>
    <row r="724" spans="1:38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</row>
    <row r="725" spans="1:38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</row>
    <row r="726" spans="1:38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</row>
    <row r="727" spans="1:38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</row>
    <row r="728" spans="1:3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</row>
    <row r="729" spans="1:38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</row>
    <row r="730" spans="1:38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</row>
    <row r="731" spans="1:38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</row>
    <row r="732" spans="1:38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</row>
    <row r="733" spans="1:38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</row>
    <row r="734" spans="1:38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</row>
    <row r="735" spans="1:38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</row>
    <row r="736" spans="1:38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</row>
    <row r="737" spans="1:38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</row>
    <row r="738" spans="1: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</row>
    <row r="739" spans="1:38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</row>
    <row r="740" spans="1:38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</row>
    <row r="741" spans="1:38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</row>
    <row r="742" spans="1:38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</row>
    <row r="743" spans="1:38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</row>
    <row r="744" spans="1:38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</row>
    <row r="745" spans="1:38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</row>
    <row r="746" spans="1:38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</row>
    <row r="747" spans="1:38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</row>
    <row r="748" spans="1:3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</row>
    <row r="749" spans="1:38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</row>
    <row r="750" spans="1:38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</row>
    <row r="751" spans="1:38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</row>
    <row r="752" spans="1:38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</row>
    <row r="753" spans="1:38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</row>
    <row r="754" spans="1:38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</row>
    <row r="755" spans="1:38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</row>
    <row r="756" spans="1:38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</row>
    <row r="757" spans="1:38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</row>
    <row r="758" spans="1:3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</row>
    <row r="759" spans="1:38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</row>
    <row r="760" spans="1:38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</row>
    <row r="761" spans="1:38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</row>
    <row r="762" spans="1:38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</row>
    <row r="763" spans="1:38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</row>
    <row r="764" spans="1:38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</row>
    <row r="765" spans="1:38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</row>
    <row r="766" spans="1:38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</row>
    <row r="767" spans="1:38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</row>
    <row r="768" spans="1:3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</row>
    <row r="769" spans="1:38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</row>
    <row r="770" spans="1:38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</row>
    <row r="771" spans="1:38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</row>
    <row r="772" spans="1:38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</row>
    <row r="773" spans="1:38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</row>
    <row r="774" spans="1:38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</row>
    <row r="775" spans="1:38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</row>
    <row r="776" spans="1:38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</row>
    <row r="777" spans="1:38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</row>
    <row r="778" spans="1:3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</row>
    <row r="779" spans="1:38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</row>
    <row r="780" spans="1:38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</row>
    <row r="781" spans="1:38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</row>
    <row r="782" spans="1:38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</row>
    <row r="783" spans="1:38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</row>
    <row r="784" spans="1:38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</row>
    <row r="785" spans="1:38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</row>
    <row r="786" spans="1:38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</row>
    <row r="787" spans="1:38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</row>
    <row r="788" spans="1:3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</row>
    <row r="789" spans="1:38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</row>
    <row r="790" spans="1:38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</row>
    <row r="791" spans="1:38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</row>
    <row r="792" spans="1:38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</row>
    <row r="793" spans="1:38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</row>
    <row r="794" spans="1:38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</row>
    <row r="795" spans="1:38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</row>
    <row r="796" spans="1:38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</row>
    <row r="797" spans="1:38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</row>
    <row r="798" spans="1:3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</row>
    <row r="799" spans="1:38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</row>
    <row r="800" spans="1:38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</row>
    <row r="801" spans="1:38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</row>
    <row r="802" spans="1:38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</row>
    <row r="803" spans="1:38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</row>
    <row r="804" spans="1:38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</row>
    <row r="805" spans="1:38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</row>
    <row r="806" spans="1:38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</row>
    <row r="807" spans="1:38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</row>
    <row r="808" spans="1:3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</row>
    <row r="809" spans="1:38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</row>
    <row r="810" spans="1:38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</row>
    <row r="811" spans="1:38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</row>
    <row r="812" spans="1:38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</row>
    <row r="813" spans="1:38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</row>
    <row r="814" spans="1:38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</row>
    <row r="815" spans="1:38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</row>
    <row r="816" spans="1:38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</row>
    <row r="817" spans="1:38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</row>
    <row r="818" spans="1:3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</row>
    <row r="819" spans="1:38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</row>
    <row r="820" spans="1:38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</row>
    <row r="821" spans="1:38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</row>
    <row r="822" spans="1:38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</row>
    <row r="823" spans="1:38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</row>
    <row r="824" spans="1:38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</row>
    <row r="825" spans="1:38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</row>
    <row r="826" spans="1:38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</row>
    <row r="827" spans="1:38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</row>
    <row r="828" spans="1:3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</row>
    <row r="829" spans="1:38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</row>
    <row r="830" spans="1:38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</row>
    <row r="831" spans="1:38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</row>
    <row r="832" spans="1:38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</row>
    <row r="833" spans="1:38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</row>
    <row r="834" spans="1:38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</row>
    <row r="835" spans="1:38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</row>
    <row r="836" spans="1:38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</row>
    <row r="837" spans="1:38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</row>
    <row r="838" spans="1: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</row>
    <row r="839" spans="1:38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</row>
    <row r="840" spans="1:38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</row>
    <row r="841" spans="1:38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</row>
    <row r="842" spans="1:38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</row>
    <row r="843" spans="1:38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</row>
    <row r="844" spans="1:38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</row>
    <row r="845" spans="1:38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</row>
    <row r="846" spans="1:38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</row>
    <row r="847" spans="1:38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</row>
    <row r="848" spans="1:3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</row>
    <row r="849" spans="1:38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</row>
    <row r="850" spans="1:38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</row>
    <row r="851" spans="1:38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</row>
    <row r="852" spans="1:38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</row>
    <row r="853" spans="1:38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</row>
    <row r="854" spans="1:38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</row>
    <row r="855" spans="1:38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</row>
    <row r="856" spans="1:38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</row>
    <row r="857" spans="1:38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</row>
    <row r="858" spans="1:3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</row>
    <row r="859" spans="1:38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</row>
    <row r="860" spans="1:38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</row>
    <row r="861" spans="1:38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</row>
    <row r="862" spans="1:38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</row>
    <row r="863" spans="1:38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</row>
    <row r="864" spans="1:38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</row>
    <row r="865" spans="1:38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</row>
    <row r="866" spans="1:38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</row>
    <row r="867" spans="1:38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</row>
    <row r="868" spans="1:3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</row>
    <row r="869" spans="1:38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</row>
    <row r="870" spans="1:38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</row>
    <row r="871" spans="1:38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</row>
    <row r="872" spans="1:38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</row>
    <row r="873" spans="1:38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</row>
    <row r="874" spans="1:38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</row>
    <row r="875" spans="1:38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</row>
    <row r="876" spans="1:38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</row>
    <row r="877" spans="1:38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</row>
    <row r="878" spans="1:3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</row>
    <row r="879" spans="1:38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</row>
    <row r="880" spans="1:38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</row>
    <row r="881" spans="1:38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</row>
    <row r="882" spans="1:38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</row>
    <row r="883" spans="1:38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</row>
    <row r="884" spans="1:38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</row>
    <row r="885" spans="1:38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</row>
    <row r="886" spans="1:38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</row>
    <row r="887" spans="1:38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</row>
    <row r="888" spans="1:3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</row>
    <row r="889" spans="1:38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</row>
    <row r="890" spans="1:38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</row>
    <row r="891" spans="1:38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</row>
    <row r="892" spans="1:38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</row>
    <row r="893" spans="1:38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</row>
    <row r="894" spans="1:38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</row>
    <row r="895" spans="1:38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</row>
    <row r="896" spans="1:38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</row>
    <row r="897" spans="1:38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</row>
    <row r="898" spans="1:3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</row>
    <row r="899" spans="1:38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</row>
  </sheetData>
  <autoFilter ref="A1:AL43" xr:uid="{00000000-0009-0000-0000-000001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4F1C-7F30-4B7A-9588-F3A342EB2607}">
  <dimension ref="A1:D152"/>
  <sheetViews>
    <sheetView workbookViewId="0">
      <selection activeCell="E8" sqref="E8"/>
    </sheetView>
  </sheetViews>
  <sheetFormatPr baseColWidth="10" defaultRowHeight="15"/>
  <cols>
    <col min="1" max="1" width="42.85546875" bestFit="1" customWidth="1"/>
    <col min="2" max="2" width="35.7109375" bestFit="1" customWidth="1"/>
    <col min="3" max="3" width="53.140625" bestFit="1" customWidth="1"/>
    <col min="4" max="4" width="63.5703125" bestFit="1" customWidth="1"/>
  </cols>
  <sheetData>
    <row r="1" spans="1:4">
      <c r="A1" s="76" t="s">
        <v>592</v>
      </c>
      <c r="B1" s="76" t="s">
        <v>1055</v>
      </c>
      <c r="C1" s="76" t="s">
        <v>1056</v>
      </c>
      <c r="D1" s="76" t="s">
        <v>1057</v>
      </c>
    </row>
    <row r="2" spans="1:4">
      <c r="A2" s="107" t="s">
        <v>1211</v>
      </c>
      <c r="B2" t="s">
        <v>1058</v>
      </c>
      <c r="C2" t="s">
        <v>1059</v>
      </c>
      <c r="D2" t="s">
        <v>1060</v>
      </c>
    </row>
    <row r="3" spans="1:4">
      <c r="A3" s="107" t="s">
        <v>1211</v>
      </c>
      <c r="B3" t="s">
        <v>1058</v>
      </c>
      <c r="C3" t="s">
        <v>1061</v>
      </c>
      <c r="D3" t="s">
        <v>1062</v>
      </c>
    </row>
    <row r="4" spans="1:4">
      <c r="A4" s="107" t="s">
        <v>1211</v>
      </c>
      <c r="B4" t="s">
        <v>1058</v>
      </c>
      <c r="C4" t="s">
        <v>1063</v>
      </c>
      <c r="D4" t="s">
        <v>1064</v>
      </c>
    </row>
    <row r="5" spans="1:4">
      <c r="A5" s="107" t="s">
        <v>1211</v>
      </c>
      <c r="B5" t="s">
        <v>1058</v>
      </c>
      <c r="C5" t="s">
        <v>1065</v>
      </c>
      <c r="D5" t="s">
        <v>1066</v>
      </c>
    </row>
    <row r="6" spans="1:4">
      <c r="A6" s="107" t="s">
        <v>1211</v>
      </c>
      <c r="B6" t="s">
        <v>1058</v>
      </c>
      <c r="C6" t="s">
        <v>1067</v>
      </c>
      <c r="D6" t="s">
        <v>1068</v>
      </c>
    </row>
    <row r="7" spans="1:4">
      <c r="A7" s="107" t="s">
        <v>1211</v>
      </c>
      <c r="B7" t="s">
        <v>1058</v>
      </c>
      <c r="C7" t="s">
        <v>1069</v>
      </c>
      <c r="D7" t="s">
        <v>1070</v>
      </c>
    </row>
    <row r="8" spans="1:4">
      <c r="A8" s="107" t="s">
        <v>1211</v>
      </c>
      <c r="B8" t="s">
        <v>1058</v>
      </c>
      <c r="C8" t="s">
        <v>1071</v>
      </c>
      <c r="D8" t="s">
        <v>1072</v>
      </c>
    </row>
    <row r="9" spans="1:4">
      <c r="A9" s="107" t="s">
        <v>1211</v>
      </c>
      <c r="B9" t="s">
        <v>1058</v>
      </c>
      <c r="C9" t="s">
        <v>1073</v>
      </c>
      <c r="D9" t="s">
        <v>1074</v>
      </c>
    </row>
    <row r="10" spans="1:4">
      <c r="A10" s="107" t="s">
        <v>1211</v>
      </c>
      <c r="B10" t="s">
        <v>1058</v>
      </c>
      <c r="C10" t="s">
        <v>1075</v>
      </c>
      <c r="D10" t="s">
        <v>1076</v>
      </c>
    </row>
    <row r="11" spans="1:4">
      <c r="A11" s="107" t="s">
        <v>1211</v>
      </c>
      <c r="B11" t="s">
        <v>1058</v>
      </c>
      <c r="C11" t="s">
        <v>1077</v>
      </c>
      <c r="D11" t="s">
        <v>1078</v>
      </c>
    </row>
    <row r="12" spans="1:4">
      <c r="A12" s="107" t="s">
        <v>1211</v>
      </c>
      <c r="B12" t="s">
        <v>1079</v>
      </c>
      <c r="C12" t="s">
        <v>1080</v>
      </c>
      <c r="D12" t="s">
        <v>1081</v>
      </c>
    </row>
    <row r="13" spans="1:4">
      <c r="A13" s="107" t="s">
        <v>1211</v>
      </c>
      <c r="B13" t="s">
        <v>1079</v>
      </c>
      <c r="C13" t="s">
        <v>1082</v>
      </c>
      <c r="D13" t="s">
        <v>1083</v>
      </c>
    </row>
    <row r="14" spans="1:4">
      <c r="A14" s="107" t="s">
        <v>1211</v>
      </c>
      <c r="B14" t="s">
        <v>1079</v>
      </c>
      <c r="C14" t="s">
        <v>1084</v>
      </c>
      <c r="D14" t="s">
        <v>1085</v>
      </c>
    </row>
    <row r="15" spans="1:4">
      <c r="A15" s="107" t="s">
        <v>1211</v>
      </c>
      <c r="B15" t="s">
        <v>1079</v>
      </c>
      <c r="C15" t="s">
        <v>1086</v>
      </c>
      <c r="D15" t="s">
        <v>1087</v>
      </c>
    </row>
    <row r="16" spans="1:4">
      <c r="A16" s="107" t="s">
        <v>1211</v>
      </c>
      <c r="B16" t="s">
        <v>1079</v>
      </c>
      <c r="C16" t="s">
        <v>1088</v>
      </c>
      <c r="D16" t="s">
        <v>1089</v>
      </c>
    </row>
    <row r="17" spans="1:4">
      <c r="A17" s="107" t="s">
        <v>1211</v>
      </c>
      <c r="B17" t="s">
        <v>1090</v>
      </c>
      <c r="C17" t="s">
        <v>1077</v>
      </c>
      <c r="D17" t="s">
        <v>1091</v>
      </c>
    </row>
    <row r="18" spans="1:4">
      <c r="A18" s="107" t="s">
        <v>1211</v>
      </c>
      <c r="B18" t="s">
        <v>1090</v>
      </c>
      <c r="C18" t="s">
        <v>1092</v>
      </c>
      <c r="D18" t="s">
        <v>1093</v>
      </c>
    </row>
    <row r="19" spans="1:4">
      <c r="A19" s="107" t="s">
        <v>1211</v>
      </c>
      <c r="B19" t="s">
        <v>1094</v>
      </c>
      <c r="C19" t="s">
        <v>1095</v>
      </c>
      <c r="D19" t="s">
        <v>1096</v>
      </c>
    </row>
    <row r="20" spans="1:4">
      <c r="A20" s="107" t="s">
        <v>1211</v>
      </c>
      <c r="B20" t="s">
        <v>1094</v>
      </c>
      <c r="C20" t="s">
        <v>1097</v>
      </c>
      <c r="D20" t="s">
        <v>1098</v>
      </c>
    </row>
    <row r="21" spans="1:4">
      <c r="A21" s="107" t="s">
        <v>1211</v>
      </c>
      <c r="B21" t="s">
        <v>1094</v>
      </c>
      <c r="C21" t="s">
        <v>1099</v>
      </c>
      <c r="D21" t="s">
        <v>1100</v>
      </c>
    </row>
    <row r="22" spans="1:4">
      <c r="A22" s="107" t="s">
        <v>1211</v>
      </c>
      <c r="B22" t="s">
        <v>1094</v>
      </c>
      <c r="C22" t="s">
        <v>1101</v>
      </c>
      <c r="D22" t="s">
        <v>1102</v>
      </c>
    </row>
    <row r="23" spans="1:4">
      <c r="A23" s="107" t="s">
        <v>1211</v>
      </c>
      <c r="B23" t="s">
        <v>1094</v>
      </c>
      <c r="C23" t="s">
        <v>1103</v>
      </c>
      <c r="D23" t="s">
        <v>1104</v>
      </c>
    </row>
    <row r="24" spans="1:4">
      <c r="A24" s="107" t="s">
        <v>1211</v>
      </c>
      <c r="B24" t="s">
        <v>1094</v>
      </c>
      <c r="C24" t="s">
        <v>1105</v>
      </c>
      <c r="D24" t="s">
        <v>1106</v>
      </c>
    </row>
    <row r="25" spans="1:4">
      <c r="A25" s="107" t="s">
        <v>1211</v>
      </c>
      <c r="B25" t="s">
        <v>1094</v>
      </c>
      <c r="C25" t="s">
        <v>1084</v>
      </c>
      <c r="D25" t="s">
        <v>1107</v>
      </c>
    </row>
    <row r="26" spans="1:4">
      <c r="A26" s="107" t="s">
        <v>1211</v>
      </c>
      <c r="B26" t="s">
        <v>1094</v>
      </c>
      <c r="C26" t="s">
        <v>1108</v>
      </c>
      <c r="D26" t="s">
        <v>1109</v>
      </c>
    </row>
    <row r="27" spans="1:4">
      <c r="A27" s="107" t="s">
        <v>1211</v>
      </c>
      <c r="B27" t="s">
        <v>1110</v>
      </c>
      <c r="C27" t="s">
        <v>1111</v>
      </c>
      <c r="D27" t="s">
        <v>1112</v>
      </c>
    </row>
    <row r="28" spans="1:4">
      <c r="A28" s="107" t="s">
        <v>1211</v>
      </c>
      <c r="B28" t="s">
        <v>1110</v>
      </c>
      <c r="C28" t="s">
        <v>1113</v>
      </c>
      <c r="D28" t="s">
        <v>1114</v>
      </c>
    </row>
    <row r="29" spans="1:4">
      <c r="A29" s="107" t="s">
        <v>1211</v>
      </c>
      <c r="B29" t="s">
        <v>1110</v>
      </c>
      <c r="C29" t="s">
        <v>1115</v>
      </c>
      <c r="D29" t="s">
        <v>1116</v>
      </c>
    </row>
    <row r="30" spans="1:4">
      <c r="A30" s="107" t="s">
        <v>1211</v>
      </c>
      <c r="B30" t="s">
        <v>1117</v>
      </c>
      <c r="C30" t="s">
        <v>1118</v>
      </c>
      <c r="D30" t="s">
        <v>1119</v>
      </c>
    </row>
    <row r="31" spans="1:4">
      <c r="A31" s="107" t="s">
        <v>1211</v>
      </c>
      <c r="B31" t="s">
        <v>1117</v>
      </c>
      <c r="C31" t="s">
        <v>1095</v>
      </c>
      <c r="D31" t="s">
        <v>1120</v>
      </c>
    </row>
    <row r="32" spans="1:4">
      <c r="A32" s="107" t="s">
        <v>1211</v>
      </c>
      <c r="B32" t="s">
        <v>1117</v>
      </c>
      <c r="C32" t="s">
        <v>1121</v>
      </c>
      <c r="D32" t="s">
        <v>1122</v>
      </c>
    </row>
    <row r="33" spans="1:4">
      <c r="A33" s="107" t="s">
        <v>1211</v>
      </c>
      <c r="B33" t="s">
        <v>1117</v>
      </c>
      <c r="C33" t="s">
        <v>1123</v>
      </c>
      <c r="D33" t="s">
        <v>1124</v>
      </c>
    </row>
    <row r="34" spans="1:4">
      <c r="A34" s="107" t="s">
        <v>1211</v>
      </c>
      <c r="B34" t="s">
        <v>1117</v>
      </c>
      <c r="C34" t="s">
        <v>1125</v>
      </c>
      <c r="D34" t="s">
        <v>1126</v>
      </c>
    </row>
    <row r="35" spans="1:4">
      <c r="A35" s="107" t="s">
        <v>1211</v>
      </c>
      <c r="B35" t="s">
        <v>1127</v>
      </c>
      <c r="C35" t="s">
        <v>1128</v>
      </c>
      <c r="D35" t="s">
        <v>1129</v>
      </c>
    </row>
    <row r="36" spans="1:4">
      <c r="A36" s="107" t="s">
        <v>1211</v>
      </c>
      <c r="B36" t="s">
        <v>1127</v>
      </c>
      <c r="C36" t="s">
        <v>1130</v>
      </c>
      <c r="D36" t="s">
        <v>1131</v>
      </c>
    </row>
    <row r="37" spans="1:4">
      <c r="A37" s="107" t="s">
        <v>1211</v>
      </c>
      <c r="B37" t="s">
        <v>1127</v>
      </c>
      <c r="C37" t="s">
        <v>1132</v>
      </c>
      <c r="D37" t="s">
        <v>1133</v>
      </c>
    </row>
    <row r="38" spans="1:4">
      <c r="A38" s="107" t="s">
        <v>1211</v>
      </c>
      <c r="B38" t="s">
        <v>1127</v>
      </c>
      <c r="C38" t="s">
        <v>1134</v>
      </c>
      <c r="D38" t="s">
        <v>1135</v>
      </c>
    </row>
    <row r="39" spans="1:4">
      <c r="A39" s="107" t="s">
        <v>1211</v>
      </c>
      <c r="B39" t="s">
        <v>1136</v>
      </c>
      <c r="C39" t="s">
        <v>1137</v>
      </c>
      <c r="D39" t="s">
        <v>1138</v>
      </c>
    </row>
    <row r="40" spans="1:4">
      <c r="A40" s="107" t="s">
        <v>1211</v>
      </c>
      <c r="B40" t="s">
        <v>1136</v>
      </c>
      <c r="C40" t="s">
        <v>1139</v>
      </c>
      <c r="D40" t="s">
        <v>1140</v>
      </c>
    </row>
    <row r="41" spans="1:4">
      <c r="A41" s="107" t="s">
        <v>1211</v>
      </c>
      <c r="B41" t="s">
        <v>1136</v>
      </c>
      <c r="C41" t="s">
        <v>1105</v>
      </c>
      <c r="D41" t="s">
        <v>1141</v>
      </c>
    </row>
    <row r="42" spans="1:4">
      <c r="A42" s="107" t="s">
        <v>1211</v>
      </c>
      <c r="B42" t="s">
        <v>1136</v>
      </c>
      <c r="C42" t="s">
        <v>1103</v>
      </c>
      <c r="D42" t="s">
        <v>1142</v>
      </c>
    </row>
    <row r="43" spans="1:4">
      <c r="A43" s="107" t="s">
        <v>1211</v>
      </c>
      <c r="B43" t="s">
        <v>1136</v>
      </c>
      <c r="C43" t="s">
        <v>1086</v>
      </c>
      <c r="D43" t="s">
        <v>1143</v>
      </c>
    </row>
    <row r="44" spans="1:4">
      <c r="A44" s="107" t="s">
        <v>1211</v>
      </c>
      <c r="B44" t="s">
        <v>1136</v>
      </c>
      <c r="C44" t="s">
        <v>1144</v>
      </c>
      <c r="D44" t="s">
        <v>1145</v>
      </c>
    </row>
    <row r="45" spans="1:4">
      <c r="A45" s="107" t="s">
        <v>1211</v>
      </c>
      <c r="B45" t="s">
        <v>1136</v>
      </c>
      <c r="C45" t="s">
        <v>1077</v>
      </c>
      <c r="D45" t="s">
        <v>1146</v>
      </c>
    </row>
    <row r="46" spans="1:4">
      <c r="A46" s="107" t="s">
        <v>1210</v>
      </c>
      <c r="B46" t="s">
        <v>1058</v>
      </c>
      <c r="C46" t="s">
        <v>1059</v>
      </c>
      <c r="D46" t="s">
        <v>1147</v>
      </c>
    </row>
    <row r="47" spans="1:4">
      <c r="A47" s="107" t="s">
        <v>1210</v>
      </c>
      <c r="B47" t="s">
        <v>1058</v>
      </c>
      <c r="C47" t="s">
        <v>1061</v>
      </c>
      <c r="D47" t="s">
        <v>1148</v>
      </c>
    </row>
    <row r="48" spans="1:4">
      <c r="A48" s="107" t="s">
        <v>1210</v>
      </c>
      <c r="B48" t="s">
        <v>1058</v>
      </c>
      <c r="C48" t="s">
        <v>1063</v>
      </c>
      <c r="D48" t="s">
        <v>1149</v>
      </c>
    </row>
    <row r="49" spans="1:4">
      <c r="A49" s="107" t="s">
        <v>1210</v>
      </c>
      <c r="B49" t="s">
        <v>1058</v>
      </c>
      <c r="C49" t="s">
        <v>1065</v>
      </c>
      <c r="D49" t="s">
        <v>1150</v>
      </c>
    </row>
    <row r="50" spans="1:4">
      <c r="A50" s="107" t="s">
        <v>1210</v>
      </c>
      <c r="B50" t="s">
        <v>1058</v>
      </c>
      <c r="C50" t="s">
        <v>1151</v>
      </c>
      <c r="D50" t="s">
        <v>1152</v>
      </c>
    </row>
    <row r="51" spans="1:4">
      <c r="A51" s="107" t="s">
        <v>1210</v>
      </c>
      <c r="B51" t="s">
        <v>1058</v>
      </c>
      <c r="C51" t="s">
        <v>1069</v>
      </c>
      <c r="D51" t="s">
        <v>1153</v>
      </c>
    </row>
    <row r="52" spans="1:4">
      <c r="A52" s="107" t="s">
        <v>1210</v>
      </c>
      <c r="B52" t="s">
        <v>1058</v>
      </c>
      <c r="C52" t="s">
        <v>1071</v>
      </c>
      <c r="D52" t="s">
        <v>1072</v>
      </c>
    </row>
    <row r="53" spans="1:4">
      <c r="A53" s="107" t="s">
        <v>1210</v>
      </c>
      <c r="B53" t="s">
        <v>1058</v>
      </c>
      <c r="C53" t="s">
        <v>1154</v>
      </c>
      <c r="D53" t="s">
        <v>1155</v>
      </c>
    </row>
    <row r="54" spans="1:4">
      <c r="A54" s="107" t="s">
        <v>1210</v>
      </c>
      <c r="B54" t="s">
        <v>1058</v>
      </c>
      <c r="C54" t="s">
        <v>1077</v>
      </c>
      <c r="D54" t="s">
        <v>1156</v>
      </c>
    </row>
    <row r="55" spans="1:4">
      <c r="A55" s="107" t="s">
        <v>1210</v>
      </c>
      <c r="B55" t="s">
        <v>1157</v>
      </c>
      <c r="C55" t="s">
        <v>1158</v>
      </c>
      <c r="D55" t="s">
        <v>1159</v>
      </c>
    </row>
    <row r="56" spans="1:4">
      <c r="A56" s="107" t="s">
        <v>1210</v>
      </c>
      <c r="B56" t="s">
        <v>1157</v>
      </c>
      <c r="C56" t="s">
        <v>1160</v>
      </c>
      <c r="D56" t="s">
        <v>1161</v>
      </c>
    </row>
    <row r="57" spans="1:4">
      <c r="A57" s="107" t="s">
        <v>1210</v>
      </c>
      <c r="B57" t="s">
        <v>1157</v>
      </c>
      <c r="C57" t="s">
        <v>1084</v>
      </c>
      <c r="D57" t="s">
        <v>1162</v>
      </c>
    </row>
    <row r="58" spans="1:4">
      <c r="A58" s="107" t="s">
        <v>1210</v>
      </c>
      <c r="B58" t="s">
        <v>1157</v>
      </c>
      <c r="C58" t="s">
        <v>1086</v>
      </c>
      <c r="D58" t="s">
        <v>1163</v>
      </c>
    </row>
    <row r="59" spans="1:4">
      <c r="A59" s="107" t="s">
        <v>1210</v>
      </c>
      <c r="B59" t="s">
        <v>1164</v>
      </c>
      <c r="C59" t="s">
        <v>1165</v>
      </c>
      <c r="D59" t="s">
        <v>1166</v>
      </c>
    </row>
    <row r="60" spans="1:4">
      <c r="A60" s="107" t="s">
        <v>1210</v>
      </c>
      <c r="B60" t="s">
        <v>1164</v>
      </c>
      <c r="C60" t="s">
        <v>1167</v>
      </c>
      <c r="D60" t="s">
        <v>1168</v>
      </c>
    </row>
    <row r="61" spans="1:4">
      <c r="A61" s="107" t="s">
        <v>1210</v>
      </c>
      <c r="B61" t="s">
        <v>1169</v>
      </c>
      <c r="C61" t="s">
        <v>1170</v>
      </c>
      <c r="D61" t="s">
        <v>1171</v>
      </c>
    </row>
    <row r="62" spans="1:4">
      <c r="A62" s="107" t="s">
        <v>1210</v>
      </c>
      <c r="B62" t="s">
        <v>1172</v>
      </c>
      <c r="C62" t="s">
        <v>1097</v>
      </c>
      <c r="D62" t="s">
        <v>1173</v>
      </c>
    </row>
    <row r="63" spans="1:4">
      <c r="A63" s="107" t="s">
        <v>1210</v>
      </c>
      <c r="B63" t="s">
        <v>1172</v>
      </c>
      <c r="C63" t="s">
        <v>1174</v>
      </c>
      <c r="D63" t="s">
        <v>1175</v>
      </c>
    </row>
    <row r="64" spans="1:4">
      <c r="A64" s="107" t="s">
        <v>1210</v>
      </c>
      <c r="B64" t="s">
        <v>1176</v>
      </c>
      <c r="C64" t="s">
        <v>1177</v>
      </c>
      <c r="D64" t="s">
        <v>1178</v>
      </c>
    </row>
    <row r="65" spans="1:4">
      <c r="A65" s="107" t="s">
        <v>1210</v>
      </c>
      <c r="B65" t="s">
        <v>1176</v>
      </c>
      <c r="C65" t="s">
        <v>1179</v>
      </c>
      <c r="D65" t="s">
        <v>1180</v>
      </c>
    </row>
    <row r="66" spans="1:4">
      <c r="A66" s="107" t="s">
        <v>1210</v>
      </c>
      <c r="B66" t="s">
        <v>1176</v>
      </c>
      <c r="C66" t="s">
        <v>1181</v>
      </c>
      <c r="D66" t="s">
        <v>1182</v>
      </c>
    </row>
    <row r="67" spans="1:4">
      <c r="A67" s="107" t="s">
        <v>1210</v>
      </c>
      <c r="B67" t="s">
        <v>1183</v>
      </c>
      <c r="C67" t="s">
        <v>1184</v>
      </c>
      <c r="D67" t="s">
        <v>1185</v>
      </c>
    </row>
    <row r="68" spans="1:4">
      <c r="A68" s="107" t="s">
        <v>1210</v>
      </c>
      <c r="B68" t="s">
        <v>1186</v>
      </c>
      <c r="C68" t="s">
        <v>1187</v>
      </c>
      <c r="D68" t="s">
        <v>1188</v>
      </c>
    </row>
    <row r="69" spans="1:4">
      <c r="A69" s="107" t="s">
        <v>1210</v>
      </c>
      <c r="B69" t="s">
        <v>1189</v>
      </c>
      <c r="C69" t="s">
        <v>1190</v>
      </c>
      <c r="D69" t="s">
        <v>1191</v>
      </c>
    </row>
    <row r="70" spans="1:4">
      <c r="A70" s="107" t="s">
        <v>1210</v>
      </c>
      <c r="B70" t="s">
        <v>1192</v>
      </c>
      <c r="C70" t="s">
        <v>1193</v>
      </c>
      <c r="D70" t="s">
        <v>1194</v>
      </c>
    </row>
    <row r="71" spans="1:4">
      <c r="A71" s="107" t="s">
        <v>1210</v>
      </c>
      <c r="B71" t="s">
        <v>1192</v>
      </c>
      <c r="C71" t="s">
        <v>1084</v>
      </c>
      <c r="D71" t="s">
        <v>1195</v>
      </c>
    </row>
    <row r="72" spans="1:4">
      <c r="A72" s="107" t="s">
        <v>1210</v>
      </c>
      <c r="B72" t="s">
        <v>1192</v>
      </c>
      <c r="C72" t="s">
        <v>1086</v>
      </c>
      <c r="D72" t="s">
        <v>1196</v>
      </c>
    </row>
    <row r="73" spans="1:4">
      <c r="A73" s="107" t="s">
        <v>1210</v>
      </c>
      <c r="B73" t="s">
        <v>1197</v>
      </c>
      <c r="C73" t="s">
        <v>1198</v>
      </c>
      <c r="D73" t="s">
        <v>1199</v>
      </c>
    </row>
    <row r="74" spans="1:4">
      <c r="A74" s="107" t="s">
        <v>1210</v>
      </c>
      <c r="B74" t="s">
        <v>1197</v>
      </c>
      <c r="C74" t="s">
        <v>1200</v>
      </c>
      <c r="D74" t="s">
        <v>1201</v>
      </c>
    </row>
    <row r="75" spans="1:4">
      <c r="A75" s="107" t="s">
        <v>1210</v>
      </c>
      <c r="B75" t="s">
        <v>1197</v>
      </c>
      <c r="C75" t="s">
        <v>1202</v>
      </c>
      <c r="D75" t="s">
        <v>1203</v>
      </c>
    </row>
    <row r="76" spans="1:4">
      <c r="A76" s="107" t="s">
        <v>1210</v>
      </c>
      <c r="B76" t="s">
        <v>1204</v>
      </c>
      <c r="C76" t="s">
        <v>1086</v>
      </c>
      <c r="D76" t="s">
        <v>1205</v>
      </c>
    </row>
    <row r="77" spans="1:4">
      <c r="A77" s="107" t="s">
        <v>1210</v>
      </c>
      <c r="B77" t="s">
        <v>1204</v>
      </c>
      <c r="C77" t="s">
        <v>1144</v>
      </c>
      <c r="D77" t="s">
        <v>1206</v>
      </c>
    </row>
    <row r="78" spans="1:4">
      <c r="A78" s="107" t="s">
        <v>1210</v>
      </c>
      <c r="B78" t="s">
        <v>1204</v>
      </c>
      <c r="C78" t="s">
        <v>1207</v>
      </c>
      <c r="D78" t="s">
        <v>1208</v>
      </c>
    </row>
    <row r="79" spans="1:4">
      <c r="A79" s="107" t="s">
        <v>1210</v>
      </c>
      <c r="B79" t="s">
        <v>1204</v>
      </c>
      <c r="C79" t="s">
        <v>1077</v>
      </c>
      <c r="D79" t="s">
        <v>1209</v>
      </c>
    </row>
    <row r="80" spans="1:4">
      <c r="A80" s="107" t="s">
        <v>1253</v>
      </c>
      <c r="B80" s="107" t="s">
        <v>1212</v>
      </c>
      <c r="C80" t="s">
        <v>1084</v>
      </c>
      <c r="D80" t="s">
        <v>1213</v>
      </c>
    </row>
    <row r="81" spans="1:4">
      <c r="A81" s="107" t="s">
        <v>1253</v>
      </c>
      <c r="B81" s="107" t="s">
        <v>1212</v>
      </c>
      <c r="C81" t="s">
        <v>1193</v>
      </c>
      <c r="D81" t="s">
        <v>1214</v>
      </c>
    </row>
    <row r="82" spans="1:4">
      <c r="A82" s="107" t="s">
        <v>1253</v>
      </c>
      <c r="B82" s="107" t="s">
        <v>1212</v>
      </c>
      <c r="C82" t="s">
        <v>1215</v>
      </c>
      <c r="D82" t="s">
        <v>1216</v>
      </c>
    </row>
    <row r="83" spans="1:4">
      <c r="A83" s="107" t="s">
        <v>1253</v>
      </c>
      <c r="B83" s="107" t="s">
        <v>1217</v>
      </c>
      <c r="C83" t="s">
        <v>1218</v>
      </c>
      <c r="D83" t="s">
        <v>1219</v>
      </c>
    </row>
    <row r="84" spans="1:4">
      <c r="A84" s="107" t="s">
        <v>1253</v>
      </c>
      <c r="B84" s="107" t="s">
        <v>1217</v>
      </c>
      <c r="C84" t="s">
        <v>1220</v>
      </c>
      <c r="D84" t="s">
        <v>1221</v>
      </c>
    </row>
    <row r="85" spans="1:4">
      <c r="A85" s="107" t="s">
        <v>1253</v>
      </c>
      <c r="B85" s="107" t="s">
        <v>1217</v>
      </c>
      <c r="C85" t="s">
        <v>1222</v>
      </c>
      <c r="D85" t="s">
        <v>1223</v>
      </c>
    </row>
    <row r="86" spans="1:4">
      <c r="A86" s="107" t="s">
        <v>1253</v>
      </c>
      <c r="B86" s="107" t="s">
        <v>1217</v>
      </c>
      <c r="C86" t="s">
        <v>1224</v>
      </c>
      <c r="D86" t="s">
        <v>1225</v>
      </c>
    </row>
    <row r="87" spans="1:4">
      <c r="A87" s="107" t="s">
        <v>1253</v>
      </c>
      <c r="B87" s="107" t="s">
        <v>1226</v>
      </c>
      <c r="C87" t="s">
        <v>1215</v>
      </c>
      <c r="D87" t="s">
        <v>1227</v>
      </c>
    </row>
    <row r="88" spans="1:4">
      <c r="A88" s="107" t="s">
        <v>1253</v>
      </c>
      <c r="B88" s="107" t="s">
        <v>1226</v>
      </c>
      <c r="C88" t="s">
        <v>1228</v>
      </c>
      <c r="D88" t="s">
        <v>1229</v>
      </c>
    </row>
    <row r="89" spans="1:4">
      <c r="A89" s="107" t="s">
        <v>1253</v>
      </c>
      <c r="B89" s="107" t="s">
        <v>1230</v>
      </c>
      <c r="C89" t="s">
        <v>1231</v>
      </c>
      <c r="D89" t="s">
        <v>1232</v>
      </c>
    </row>
    <row r="90" spans="1:4">
      <c r="A90" s="107" t="s">
        <v>1253</v>
      </c>
      <c r="B90" s="107" t="s">
        <v>1230</v>
      </c>
      <c r="C90" t="s">
        <v>1233</v>
      </c>
      <c r="D90" t="s">
        <v>1234</v>
      </c>
    </row>
    <row r="91" spans="1:4">
      <c r="A91" s="107" t="s">
        <v>1253</v>
      </c>
      <c r="B91" s="107" t="s">
        <v>1230</v>
      </c>
      <c r="C91" t="s">
        <v>1235</v>
      </c>
      <c r="D91" t="s">
        <v>1236</v>
      </c>
    </row>
    <row r="92" spans="1:4">
      <c r="A92" s="107" t="s">
        <v>1253</v>
      </c>
      <c r="B92" s="107" t="s">
        <v>1237</v>
      </c>
      <c r="C92" t="s">
        <v>1238</v>
      </c>
      <c r="D92" t="s">
        <v>1239</v>
      </c>
    </row>
    <row r="93" spans="1:4">
      <c r="A93" s="107" t="s">
        <v>1253</v>
      </c>
      <c r="B93" s="107" t="s">
        <v>1237</v>
      </c>
      <c r="C93" t="s">
        <v>1123</v>
      </c>
      <c r="D93" t="s">
        <v>1124</v>
      </c>
    </row>
    <row r="94" spans="1:4">
      <c r="A94" s="107" t="s">
        <v>1253</v>
      </c>
      <c r="B94" s="107" t="s">
        <v>1237</v>
      </c>
      <c r="C94" t="s">
        <v>1240</v>
      </c>
      <c r="D94" t="s">
        <v>1241</v>
      </c>
    </row>
    <row r="95" spans="1:4">
      <c r="A95" s="107" t="s">
        <v>1253</v>
      </c>
      <c r="B95" s="107" t="s">
        <v>1237</v>
      </c>
      <c r="C95" t="s">
        <v>1242</v>
      </c>
      <c r="D95" t="s">
        <v>1243</v>
      </c>
    </row>
    <row r="96" spans="1:4">
      <c r="A96" s="107" t="s">
        <v>1253</v>
      </c>
      <c r="B96" s="107" t="s">
        <v>1244</v>
      </c>
      <c r="C96" t="s">
        <v>1245</v>
      </c>
      <c r="D96" t="s">
        <v>1246</v>
      </c>
    </row>
    <row r="97" spans="1:4">
      <c r="A97" s="107" t="s">
        <v>1253</v>
      </c>
      <c r="B97" s="107" t="s">
        <v>1244</v>
      </c>
      <c r="C97" t="s">
        <v>1247</v>
      </c>
      <c r="D97" t="s">
        <v>1248</v>
      </c>
    </row>
    <row r="98" spans="1:4">
      <c r="A98" s="107" t="s">
        <v>1253</v>
      </c>
      <c r="B98" s="107" t="s">
        <v>1244</v>
      </c>
      <c r="C98" t="s">
        <v>1249</v>
      </c>
      <c r="D98" t="s">
        <v>1250</v>
      </c>
    </row>
    <row r="99" spans="1:4">
      <c r="A99" s="107" t="s">
        <v>1253</v>
      </c>
      <c r="B99" s="107" t="s">
        <v>1244</v>
      </c>
      <c r="C99" t="s">
        <v>1251</v>
      </c>
      <c r="D99" t="s">
        <v>1252</v>
      </c>
    </row>
    <row r="100" spans="1:4">
      <c r="A100" s="107" t="s">
        <v>1305</v>
      </c>
      <c r="B100" s="107" t="s">
        <v>1254</v>
      </c>
      <c r="C100" t="s">
        <v>1077</v>
      </c>
      <c r="D100" t="s">
        <v>1255</v>
      </c>
    </row>
    <row r="101" spans="1:4">
      <c r="A101" s="107" t="s">
        <v>1305</v>
      </c>
      <c r="B101" s="107" t="s">
        <v>1254</v>
      </c>
      <c r="C101" t="s">
        <v>1256</v>
      </c>
      <c r="D101" t="s">
        <v>1257</v>
      </c>
    </row>
    <row r="102" spans="1:4">
      <c r="A102" s="107" t="s">
        <v>1305</v>
      </c>
      <c r="B102" s="107" t="s">
        <v>1254</v>
      </c>
      <c r="C102" t="s">
        <v>1258</v>
      </c>
      <c r="D102" t="s">
        <v>1259</v>
      </c>
    </row>
    <row r="103" spans="1:4">
      <c r="A103" s="107" t="s">
        <v>1305</v>
      </c>
      <c r="B103" s="107" t="s">
        <v>1260</v>
      </c>
      <c r="C103" t="s">
        <v>1193</v>
      </c>
      <c r="D103" t="s">
        <v>1261</v>
      </c>
    </row>
    <row r="104" spans="1:4">
      <c r="A104" s="107" t="s">
        <v>1305</v>
      </c>
      <c r="B104" s="107" t="s">
        <v>1260</v>
      </c>
      <c r="C104" t="s">
        <v>1262</v>
      </c>
      <c r="D104" t="s">
        <v>1263</v>
      </c>
    </row>
    <row r="105" spans="1:4">
      <c r="A105" s="107" t="s">
        <v>1305</v>
      </c>
      <c r="B105" s="107" t="s">
        <v>1260</v>
      </c>
      <c r="C105" t="s">
        <v>1084</v>
      </c>
      <c r="D105" t="s">
        <v>1264</v>
      </c>
    </row>
    <row r="106" spans="1:4">
      <c r="A106" s="107" t="s">
        <v>1305</v>
      </c>
      <c r="B106" s="107" t="s">
        <v>1265</v>
      </c>
      <c r="C106" t="s">
        <v>1218</v>
      </c>
      <c r="D106" t="s">
        <v>1266</v>
      </c>
    </row>
    <row r="107" spans="1:4">
      <c r="A107" s="107" t="s">
        <v>1305</v>
      </c>
      <c r="B107" s="107" t="s">
        <v>1265</v>
      </c>
      <c r="C107" t="s">
        <v>1267</v>
      </c>
      <c r="D107" t="s">
        <v>1268</v>
      </c>
    </row>
    <row r="108" spans="1:4">
      <c r="A108" s="107" t="s">
        <v>1305</v>
      </c>
      <c r="B108" s="107" t="s">
        <v>1265</v>
      </c>
      <c r="C108" t="s">
        <v>1222</v>
      </c>
      <c r="D108" t="s">
        <v>1269</v>
      </c>
    </row>
    <row r="109" spans="1:4">
      <c r="A109" s="107" t="s">
        <v>1305</v>
      </c>
      <c r="B109" s="107" t="s">
        <v>1265</v>
      </c>
      <c r="C109" t="s">
        <v>1224</v>
      </c>
      <c r="D109" t="s">
        <v>1270</v>
      </c>
    </row>
    <row r="110" spans="1:4">
      <c r="A110" s="107" t="s">
        <v>1305</v>
      </c>
      <c r="B110" s="107" t="s">
        <v>1265</v>
      </c>
      <c r="C110" t="s">
        <v>1271</v>
      </c>
      <c r="D110" t="s">
        <v>1272</v>
      </c>
    </row>
    <row r="111" spans="1:4">
      <c r="A111" s="107" t="s">
        <v>1305</v>
      </c>
      <c r="B111" s="107" t="s">
        <v>1273</v>
      </c>
      <c r="C111" t="s">
        <v>1086</v>
      </c>
      <c r="D111" t="s">
        <v>1274</v>
      </c>
    </row>
    <row r="112" spans="1:4">
      <c r="A112" s="107" t="s">
        <v>1305</v>
      </c>
      <c r="B112" s="107" t="s">
        <v>1273</v>
      </c>
      <c r="C112" t="s">
        <v>1144</v>
      </c>
      <c r="D112" t="s">
        <v>1275</v>
      </c>
    </row>
    <row r="113" spans="1:4">
      <c r="A113" s="107" t="s">
        <v>1305</v>
      </c>
      <c r="B113" s="107" t="s">
        <v>1273</v>
      </c>
      <c r="C113" t="s">
        <v>1276</v>
      </c>
      <c r="D113" t="s">
        <v>1277</v>
      </c>
    </row>
    <row r="114" spans="1:4">
      <c r="A114" s="107" t="s">
        <v>1305</v>
      </c>
      <c r="B114" s="107" t="s">
        <v>1230</v>
      </c>
      <c r="C114" t="s">
        <v>1278</v>
      </c>
      <c r="D114" t="s">
        <v>1279</v>
      </c>
    </row>
    <row r="115" spans="1:4">
      <c r="A115" s="107" t="s">
        <v>1305</v>
      </c>
      <c r="B115" t="s">
        <v>1230</v>
      </c>
      <c r="C115" t="s">
        <v>1233</v>
      </c>
      <c r="D115" t="s">
        <v>1280</v>
      </c>
    </row>
    <row r="116" spans="1:4">
      <c r="A116" s="107" t="s">
        <v>1305</v>
      </c>
      <c r="B116" t="s">
        <v>1230</v>
      </c>
      <c r="C116" t="s">
        <v>1281</v>
      </c>
      <c r="D116" t="s">
        <v>1282</v>
      </c>
    </row>
    <row r="117" spans="1:4">
      <c r="A117" s="107" t="s">
        <v>1305</v>
      </c>
      <c r="B117" t="s">
        <v>1230</v>
      </c>
      <c r="C117" t="s">
        <v>1283</v>
      </c>
      <c r="D117" t="s">
        <v>1284</v>
      </c>
    </row>
    <row r="118" spans="1:4">
      <c r="A118" s="107" t="s">
        <v>1305</v>
      </c>
      <c r="B118" t="s">
        <v>1285</v>
      </c>
      <c r="C118" t="s">
        <v>1286</v>
      </c>
      <c r="D118" t="s">
        <v>1287</v>
      </c>
    </row>
    <row r="119" spans="1:4">
      <c r="A119" s="107" t="s">
        <v>1305</v>
      </c>
      <c r="B119" t="s">
        <v>1285</v>
      </c>
      <c r="C119" t="s">
        <v>1288</v>
      </c>
      <c r="D119" t="s">
        <v>1289</v>
      </c>
    </row>
    <row r="120" spans="1:4">
      <c r="A120" s="107" t="s">
        <v>1305</v>
      </c>
      <c r="B120" t="s">
        <v>1285</v>
      </c>
      <c r="C120" t="s">
        <v>1290</v>
      </c>
      <c r="D120" t="s">
        <v>1291</v>
      </c>
    </row>
    <row r="121" spans="1:4">
      <c r="A121" s="107" t="s">
        <v>1305</v>
      </c>
      <c r="B121" t="s">
        <v>1285</v>
      </c>
      <c r="C121" t="s">
        <v>1292</v>
      </c>
      <c r="D121" t="s">
        <v>1293</v>
      </c>
    </row>
    <row r="122" spans="1:4">
      <c r="A122" s="107" t="s">
        <v>1305</v>
      </c>
      <c r="B122" t="s">
        <v>1285</v>
      </c>
      <c r="C122" t="s">
        <v>1294</v>
      </c>
      <c r="D122" t="s">
        <v>1295</v>
      </c>
    </row>
    <row r="123" spans="1:4">
      <c r="A123" s="107" t="s">
        <v>1305</v>
      </c>
      <c r="B123" t="s">
        <v>1296</v>
      </c>
      <c r="C123" t="s">
        <v>1137</v>
      </c>
      <c r="D123" t="s">
        <v>1297</v>
      </c>
    </row>
    <row r="124" spans="1:4">
      <c r="A124" s="107" t="s">
        <v>1305</v>
      </c>
      <c r="B124" t="s">
        <v>1296</v>
      </c>
      <c r="C124" t="s">
        <v>1298</v>
      </c>
      <c r="D124" t="s">
        <v>1299</v>
      </c>
    </row>
    <row r="125" spans="1:4">
      <c r="A125" s="107" t="s">
        <v>1305</v>
      </c>
      <c r="B125" t="s">
        <v>1296</v>
      </c>
      <c r="C125" t="s">
        <v>1300</v>
      </c>
      <c r="D125" t="s">
        <v>1301</v>
      </c>
    </row>
    <row r="126" spans="1:4">
      <c r="A126" s="107" t="s">
        <v>1305</v>
      </c>
      <c r="B126" t="s">
        <v>1296</v>
      </c>
      <c r="C126" t="s">
        <v>1249</v>
      </c>
      <c r="D126" t="s">
        <v>1302</v>
      </c>
    </row>
    <row r="127" spans="1:4">
      <c r="A127" s="107" t="s">
        <v>1305</v>
      </c>
      <c r="B127" t="s">
        <v>1296</v>
      </c>
      <c r="C127" t="s">
        <v>1303</v>
      </c>
      <c r="D127" t="s">
        <v>1304</v>
      </c>
    </row>
    <row r="128" spans="1:4">
      <c r="A128" s="107" t="s">
        <v>1343</v>
      </c>
      <c r="B128" s="107" t="s">
        <v>1058</v>
      </c>
      <c r="C128" s="107" t="s">
        <v>1059</v>
      </c>
      <c r="D128" t="s">
        <v>1306</v>
      </c>
    </row>
    <row r="129" spans="1:4">
      <c r="A129" s="107" t="s">
        <v>1343</v>
      </c>
      <c r="B129" s="107" t="s">
        <v>1058</v>
      </c>
      <c r="C129" s="107" t="s">
        <v>1063</v>
      </c>
      <c r="D129" t="s">
        <v>1307</v>
      </c>
    </row>
    <row r="130" spans="1:4">
      <c r="A130" s="107" t="s">
        <v>1343</v>
      </c>
      <c r="B130" s="107" t="s">
        <v>1058</v>
      </c>
      <c r="C130" s="107" t="s">
        <v>1065</v>
      </c>
      <c r="D130" t="s">
        <v>1308</v>
      </c>
    </row>
    <row r="131" spans="1:4">
      <c r="A131" s="107" t="s">
        <v>1343</v>
      </c>
      <c r="B131" s="107" t="s">
        <v>1058</v>
      </c>
      <c r="C131" s="107" t="s">
        <v>1151</v>
      </c>
      <c r="D131" t="s">
        <v>1309</v>
      </c>
    </row>
    <row r="132" spans="1:4">
      <c r="A132" s="107" t="s">
        <v>1343</v>
      </c>
      <c r="B132" s="107" t="s">
        <v>1058</v>
      </c>
      <c r="C132" s="107" t="s">
        <v>1077</v>
      </c>
      <c r="D132" t="s">
        <v>1310</v>
      </c>
    </row>
    <row r="133" spans="1:4">
      <c r="A133" s="107" t="s">
        <v>1343</v>
      </c>
      <c r="B133" s="107" t="s">
        <v>1260</v>
      </c>
      <c r="C133" s="107" t="s">
        <v>1193</v>
      </c>
      <c r="D133" t="s">
        <v>1311</v>
      </c>
    </row>
    <row r="134" spans="1:4">
      <c r="A134" s="107" t="s">
        <v>1343</v>
      </c>
      <c r="B134" s="107" t="s">
        <v>1260</v>
      </c>
      <c r="C134" s="107" t="s">
        <v>1262</v>
      </c>
      <c r="D134" t="s">
        <v>1312</v>
      </c>
    </row>
    <row r="135" spans="1:4">
      <c r="A135" s="107" t="s">
        <v>1343</v>
      </c>
      <c r="B135" s="107" t="s">
        <v>1260</v>
      </c>
      <c r="C135" s="107" t="s">
        <v>1084</v>
      </c>
      <c r="D135" t="s">
        <v>1313</v>
      </c>
    </row>
    <row r="136" spans="1:4">
      <c r="A136" s="107" t="s">
        <v>1343</v>
      </c>
      <c r="B136" s="107" t="s">
        <v>1260</v>
      </c>
      <c r="C136" s="107" t="s">
        <v>1086</v>
      </c>
      <c r="D136" t="s">
        <v>1314</v>
      </c>
    </row>
    <row r="137" spans="1:4">
      <c r="A137" s="107" t="s">
        <v>1343</v>
      </c>
      <c r="B137" s="107" t="s">
        <v>1315</v>
      </c>
      <c r="C137" s="107" t="s">
        <v>1077</v>
      </c>
      <c r="D137" t="s">
        <v>1316</v>
      </c>
    </row>
    <row r="138" spans="1:4">
      <c r="A138" s="107" t="s">
        <v>1343</v>
      </c>
      <c r="B138" s="107" t="s">
        <v>1315</v>
      </c>
      <c r="C138" s="107" t="s">
        <v>1317</v>
      </c>
      <c r="D138" t="s">
        <v>1318</v>
      </c>
    </row>
    <row r="139" spans="1:4">
      <c r="A139" s="107" t="s">
        <v>1343</v>
      </c>
      <c r="B139" s="107" t="s">
        <v>1315</v>
      </c>
      <c r="C139" s="107" t="s">
        <v>1086</v>
      </c>
      <c r="D139" t="s">
        <v>1319</v>
      </c>
    </row>
    <row r="140" spans="1:4">
      <c r="A140" s="107" t="s">
        <v>1343</v>
      </c>
      <c r="B140" s="107" t="s">
        <v>1197</v>
      </c>
      <c r="C140" s="107" t="s">
        <v>1086</v>
      </c>
      <c r="D140" t="s">
        <v>1320</v>
      </c>
    </row>
    <row r="141" spans="1:4">
      <c r="A141" s="107" t="s">
        <v>1343</v>
      </c>
      <c r="B141" s="107" t="s">
        <v>1197</v>
      </c>
      <c r="C141" t="s">
        <v>1294</v>
      </c>
      <c r="D141" t="s">
        <v>1321</v>
      </c>
    </row>
    <row r="142" spans="1:4">
      <c r="A142" s="107" t="s">
        <v>1343</v>
      </c>
      <c r="B142" s="107" t="s">
        <v>1322</v>
      </c>
      <c r="C142" t="s">
        <v>1323</v>
      </c>
      <c r="D142" t="s">
        <v>1324</v>
      </c>
    </row>
    <row r="143" spans="1:4">
      <c r="A143" s="107" t="s">
        <v>1343</v>
      </c>
      <c r="B143" s="107" t="s">
        <v>1322</v>
      </c>
      <c r="C143" t="s">
        <v>1325</v>
      </c>
      <c r="D143" t="s">
        <v>1326</v>
      </c>
    </row>
    <row r="144" spans="1:4">
      <c r="A144" s="107" t="s">
        <v>1343</v>
      </c>
      <c r="B144" s="107" t="s">
        <v>1322</v>
      </c>
      <c r="C144" t="s">
        <v>1327</v>
      </c>
      <c r="D144" t="s">
        <v>1328</v>
      </c>
    </row>
    <row r="145" spans="1:4">
      <c r="A145" s="107" t="s">
        <v>1343</v>
      </c>
      <c r="B145" s="107" t="s">
        <v>1322</v>
      </c>
      <c r="C145" t="s">
        <v>1329</v>
      </c>
      <c r="D145" t="s">
        <v>1330</v>
      </c>
    </row>
    <row r="146" spans="1:4">
      <c r="A146" s="107" t="s">
        <v>1343</v>
      </c>
      <c r="B146" s="107" t="s">
        <v>1322</v>
      </c>
      <c r="C146" t="s">
        <v>1331</v>
      </c>
      <c r="D146" t="s">
        <v>1332</v>
      </c>
    </row>
    <row r="147" spans="1:4">
      <c r="A147" s="107" t="s">
        <v>1343</v>
      </c>
      <c r="B147" s="107" t="s">
        <v>1333</v>
      </c>
      <c r="C147" t="s">
        <v>1077</v>
      </c>
      <c r="D147" t="s">
        <v>1334</v>
      </c>
    </row>
    <row r="148" spans="1:4">
      <c r="A148" s="107" t="s">
        <v>1343</v>
      </c>
      <c r="B148" s="107" t="s">
        <v>1333</v>
      </c>
      <c r="C148" t="s">
        <v>1335</v>
      </c>
      <c r="D148" t="s">
        <v>1336</v>
      </c>
    </row>
    <row r="149" spans="1:4">
      <c r="A149" s="107" t="s">
        <v>1343</v>
      </c>
      <c r="B149" s="107" t="s">
        <v>1333</v>
      </c>
      <c r="C149" t="s">
        <v>1337</v>
      </c>
      <c r="D149" t="s">
        <v>1338</v>
      </c>
    </row>
    <row r="150" spans="1:4">
      <c r="A150" s="107" t="s">
        <v>1343</v>
      </c>
      <c r="B150" s="107" t="s">
        <v>1339</v>
      </c>
      <c r="C150" t="s">
        <v>1249</v>
      </c>
      <c r="D150" t="s">
        <v>1340</v>
      </c>
    </row>
    <row r="151" spans="1:4">
      <c r="A151" s="107" t="s">
        <v>1343</v>
      </c>
      <c r="B151" t="s">
        <v>1339</v>
      </c>
      <c r="C151" t="s">
        <v>1077</v>
      </c>
      <c r="D151" t="s">
        <v>1341</v>
      </c>
    </row>
    <row r="152" spans="1:4">
      <c r="A152" s="107" t="s">
        <v>1343</v>
      </c>
      <c r="B152" t="s">
        <v>1339</v>
      </c>
      <c r="C152" t="s">
        <v>1137</v>
      </c>
      <c r="D152" t="s">
        <v>1342</v>
      </c>
    </row>
  </sheetData>
  <autoFilter ref="A1:D1" xr:uid="{463D4F1C-7F30-4B7A-9588-F3A342EB260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2D25-E9E3-426F-AD5D-EE1C194A4214}">
  <dimension ref="A1:L28"/>
  <sheetViews>
    <sheetView workbookViewId="0">
      <selection activeCell="C28" sqref="C28"/>
    </sheetView>
  </sheetViews>
  <sheetFormatPr baseColWidth="10" defaultRowHeight="15"/>
  <cols>
    <col min="1" max="1" width="23.5703125" bestFit="1" customWidth="1"/>
    <col min="2" max="2" width="81.85546875" bestFit="1" customWidth="1"/>
  </cols>
  <sheetData>
    <row r="1" spans="1:12">
      <c r="A1" t="s">
        <v>1052</v>
      </c>
      <c r="D1" t="s">
        <v>1053</v>
      </c>
      <c r="L1" t="s">
        <v>1054</v>
      </c>
    </row>
    <row r="28" spans="1:3">
      <c r="A28" s="76"/>
      <c r="B28" s="76"/>
      <c r="C28" s="7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2116-DFCD-4A03-97E3-C30EB711C1FF}">
  <dimension ref="A1"/>
  <sheetViews>
    <sheetView topLeftCell="A40" zoomScale="85" zoomScaleNormal="85" workbookViewId="0">
      <selection activeCell="G4" sqref="G4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43A5-30CA-4DC8-B790-AE63659E7AAA}">
  <dimension ref="A1"/>
  <sheetViews>
    <sheetView zoomScale="85" zoomScaleNormal="85" workbookViewId="0">
      <selection activeCell="F61" sqref="F61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000"/>
  <sheetViews>
    <sheetView workbookViewId="0">
      <selection sqref="A1:D14"/>
    </sheetView>
  </sheetViews>
  <sheetFormatPr baseColWidth="10" defaultColWidth="12.5703125" defaultRowHeight="15" customHeight="1"/>
  <cols>
    <col min="1" max="26" width="8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12"/>
  <sheetViews>
    <sheetView topLeftCell="C22" workbookViewId="0">
      <selection activeCell="B5" sqref="B5"/>
    </sheetView>
  </sheetViews>
  <sheetFormatPr baseColWidth="10" defaultColWidth="12.5703125" defaultRowHeight="15" customHeight="1"/>
  <cols>
    <col min="1" max="1" width="15.5703125" bestFit="1" customWidth="1"/>
    <col min="2" max="2" width="16.42578125" bestFit="1" customWidth="1"/>
  </cols>
  <sheetData>
    <row r="1" spans="1:2" ht="15" customHeight="1">
      <c r="A1" s="88" t="s">
        <v>796</v>
      </c>
      <c r="B1" s="88" t="s">
        <v>797</v>
      </c>
    </row>
    <row r="2" spans="1:2" ht="15" customHeight="1">
      <c r="A2" s="89">
        <v>3</v>
      </c>
      <c r="B2" s="89">
        <v>30</v>
      </c>
    </row>
    <row r="3" spans="1:2" ht="15" customHeight="1">
      <c r="A3" s="89">
        <v>2</v>
      </c>
      <c r="B3" s="89">
        <v>42</v>
      </c>
    </row>
    <row r="4" spans="1:2" ht="15" customHeight="1">
      <c r="A4" s="89">
        <v>1</v>
      </c>
      <c r="B4" s="89">
        <v>70</v>
      </c>
    </row>
    <row r="5" spans="1:2" ht="15" customHeight="1">
      <c r="A5" s="89">
        <v>0.5</v>
      </c>
      <c r="B5" s="89">
        <v>120</v>
      </c>
    </row>
    <row r="6" spans="1:2" ht="15" customHeight="1">
      <c r="A6" s="89">
        <v>0.25</v>
      </c>
      <c r="B6" s="89">
        <v>220</v>
      </c>
    </row>
    <row r="7" spans="1:2" ht="15" customHeight="1">
      <c r="A7" s="89">
        <v>0.1</v>
      </c>
      <c r="B7" s="89">
        <v>510</v>
      </c>
    </row>
    <row r="9" spans="1:2" ht="15" customHeight="1">
      <c r="A9" s="59" t="s">
        <v>798</v>
      </c>
      <c r="B9" s="59" t="s">
        <v>47</v>
      </c>
    </row>
    <row r="10" spans="1:2" ht="15" customHeight="1">
      <c r="A10" s="90" t="s">
        <v>799</v>
      </c>
      <c r="B10" s="59" t="s">
        <v>800</v>
      </c>
    </row>
    <row r="11" spans="1:2" ht="15" customHeight="1">
      <c r="A11" s="90" t="s">
        <v>801</v>
      </c>
      <c r="B11" s="59" t="s">
        <v>802</v>
      </c>
    </row>
    <row r="12" spans="1:2" ht="15" customHeight="1">
      <c r="A12" s="90" t="s">
        <v>803</v>
      </c>
      <c r="B12" s="59">
        <v>0.997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topLeftCell="A95" workbookViewId="0">
      <selection activeCell="B27" sqref="B27"/>
    </sheetView>
  </sheetViews>
  <sheetFormatPr baseColWidth="10" defaultColWidth="12.5703125" defaultRowHeight="15" customHeight="1"/>
  <cols>
    <col min="1" max="26" width="8.5703125" customWidth="1"/>
  </cols>
  <sheetData>
    <row r="1" spans="1:4" ht="14.25" customHeight="1">
      <c r="A1" s="60" t="s">
        <v>796</v>
      </c>
      <c r="B1" s="60" t="s">
        <v>797</v>
      </c>
      <c r="D1" s="85" t="s">
        <v>806</v>
      </c>
    </row>
    <row r="2" spans="1:4" ht="14.25" customHeight="1">
      <c r="A2" s="87">
        <v>2</v>
      </c>
      <c r="B2" s="87">
        <v>43</v>
      </c>
    </row>
    <row r="3" spans="1:4" ht="14.25" customHeight="1">
      <c r="A3" s="87">
        <v>1</v>
      </c>
      <c r="B3" s="87">
        <v>72</v>
      </c>
    </row>
    <row r="4" spans="1:4" ht="14.25" customHeight="1">
      <c r="A4" s="87">
        <v>0.5</v>
      </c>
      <c r="B4" s="87">
        <v>131</v>
      </c>
    </row>
    <row r="5" spans="1:4" ht="14.25" customHeight="1">
      <c r="A5" s="87">
        <v>0.25</v>
      </c>
      <c r="B5" s="87">
        <v>249</v>
      </c>
    </row>
    <row r="6" spans="1:4" ht="14.25" customHeight="1">
      <c r="A6" s="87">
        <v>0.1</v>
      </c>
      <c r="B6" s="87">
        <v>602</v>
      </c>
    </row>
    <row r="7" spans="1:4" ht="14.25" customHeight="1"/>
    <row r="8" spans="1:4" ht="14.25" customHeight="1"/>
    <row r="9" spans="1:4" ht="14.25" customHeight="1">
      <c r="A9" s="59" t="s">
        <v>798</v>
      </c>
      <c r="B9" s="59" t="s">
        <v>47</v>
      </c>
    </row>
    <row r="10" spans="1:4" ht="14.25" customHeight="1">
      <c r="A10" s="90" t="s">
        <v>799</v>
      </c>
      <c r="B10" s="59" t="s">
        <v>804</v>
      </c>
    </row>
    <row r="11" spans="1:4" ht="14.25" customHeight="1">
      <c r="A11" s="90" t="s">
        <v>801</v>
      </c>
      <c r="B11" s="59" t="s">
        <v>805</v>
      </c>
    </row>
    <row r="12" spans="1:4" ht="14.25" customHeight="1">
      <c r="A12" s="90" t="s">
        <v>803</v>
      </c>
      <c r="B12" s="59">
        <v>0.996</v>
      </c>
    </row>
    <row r="13" spans="1:4" ht="14.25" customHeight="1"/>
    <row r="14" spans="1:4" ht="14.25" customHeight="1"/>
    <row r="15" spans="1:4" ht="14.25" customHeight="1">
      <c r="A15" s="60" t="s">
        <v>807</v>
      </c>
      <c r="B15" s="60" t="s">
        <v>808</v>
      </c>
      <c r="D15" s="85" t="s">
        <v>809</v>
      </c>
    </row>
    <row r="16" spans="1:4" ht="14.25" customHeight="1">
      <c r="A16" s="87">
        <v>2</v>
      </c>
      <c r="B16" s="87">
        <v>118</v>
      </c>
    </row>
    <row r="17" spans="1:2" ht="14.25" customHeight="1">
      <c r="A17" s="87">
        <v>1</v>
      </c>
      <c r="B17" s="87">
        <v>154</v>
      </c>
    </row>
    <row r="18" spans="1:2" ht="14.25" customHeight="1">
      <c r="A18" s="87">
        <v>0.5</v>
      </c>
      <c r="B18" s="87">
        <v>224</v>
      </c>
    </row>
    <row r="19" spans="1:2" ht="14.25" customHeight="1">
      <c r="A19" s="87">
        <v>0.25</v>
      </c>
      <c r="B19" s="87">
        <v>366</v>
      </c>
    </row>
    <row r="20" spans="1:2" ht="14.25" customHeight="1">
      <c r="A20" s="87">
        <v>0.1</v>
      </c>
      <c r="B20" s="87">
        <v>791</v>
      </c>
    </row>
    <row r="21" spans="1:2" ht="14.25" customHeight="1"/>
    <row r="22" spans="1:2" ht="14.25" customHeight="1"/>
    <row r="23" spans="1:2" ht="14.25" customHeight="1">
      <c r="A23" s="59" t="s">
        <v>798</v>
      </c>
      <c r="B23" s="59" t="s">
        <v>47</v>
      </c>
    </row>
    <row r="24" spans="1:2" ht="14.25" customHeight="1">
      <c r="A24" s="90" t="s">
        <v>799</v>
      </c>
      <c r="B24" s="59">
        <v>116.6</v>
      </c>
    </row>
    <row r="25" spans="1:2" ht="14.25" customHeight="1">
      <c r="A25" s="90" t="s">
        <v>801</v>
      </c>
      <c r="B25" s="59">
        <v>0.45</v>
      </c>
    </row>
    <row r="26" spans="1:2" ht="14.25" customHeight="1">
      <c r="A26" s="90" t="s">
        <v>803</v>
      </c>
      <c r="B26" s="59">
        <v>0.995</v>
      </c>
    </row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opLeftCell="V1" zoomScaleNormal="100" workbookViewId="0">
      <selection activeCell="D12" sqref="D12"/>
    </sheetView>
  </sheetViews>
  <sheetFormatPr baseColWidth="10" defaultColWidth="12.5703125" defaultRowHeight="15" customHeight="1"/>
  <cols>
    <col min="2" max="2" width="7.85546875" customWidth="1"/>
    <col min="3" max="3" width="16.140625" customWidth="1"/>
    <col min="4" max="4" width="24.5703125" bestFit="1" customWidth="1"/>
    <col min="5" max="6" width="32" customWidth="1"/>
    <col min="7" max="7" width="20.140625" customWidth="1"/>
    <col min="8" max="8" width="27.5703125" customWidth="1"/>
    <col min="9" max="9" width="17.85546875" customWidth="1"/>
    <col min="10" max="19" width="8.5703125" customWidth="1"/>
    <col min="20" max="20" width="11.85546875" bestFit="1" customWidth="1"/>
    <col min="21" max="36" width="8.5703125" customWidth="1"/>
  </cols>
  <sheetData>
    <row r="1" spans="1:23" ht="14.25" customHeight="1">
      <c r="A1" s="76" t="s">
        <v>38</v>
      </c>
      <c r="B1" s="77" t="s">
        <v>39</v>
      </c>
      <c r="C1" s="77" t="s">
        <v>818</v>
      </c>
      <c r="D1" s="77" t="s">
        <v>819</v>
      </c>
      <c r="E1" s="77" t="s">
        <v>820</v>
      </c>
      <c r="F1" s="77" t="s">
        <v>822</v>
      </c>
      <c r="G1" s="77" t="s">
        <v>821</v>
      </c>
      <c r="H1" s="77"/>
      <c r="I1" s="77"/>
    </row>
    <row r="2" spans="1:23" ht="14.25" customHeight="1">
      <c r="A2" s="97" t="s">
        <v>18</v>
      </c>
      <c r="B2" t="s">
        <v>305</v>
      </c>
      <c r="C2">
        <v>0.5</v>
      </c>
      <c r="D2" s="96">
        <v>51525.762692961005</v>
      </c>
      <c r="E2" s="96">
        <v>48098.941282416999</v>
      </c>
      <c r="F2" s="96">
        <f>D2+E2</f>
        <v>99624.703975378012</v>
      </c>
      <c r="G2">
        <v>0.51719865291339251</v>
      </c>
    </row>
    <row r="3" spans="1:23" ht="14.25" customHeight="1">
      <c r="A3" s="97" t="s">
        <v>18</v>
      </c>
      <c r="B3" t="s">
        <v>305</v>
      </c>
      <c r="C3">
        <v>1</v>
      </c>
      <c r="D3" s="96">
        <v>25197.898937198999</v>
      </c>
      <c r="E3" s="96">
        <v>23522.470242635005</v>
      </c>
      <c r="F3" s="96">
        <f t="shared" ref="F3:F15" si="0">D3+E3</f>
        <v>48720.369179834001</v>
      </c>
      <c r="G3">
        <v>0.5171943349647018</v>
      </c>
    </row>
    <row r="4" spans="1:23" ht="14.25" customHeight="1">
      <c r="A4" s="97" t="s">
        <v>18</v>
      </c>
      <c r="B4" t="s">
        <v>305</v>
      </c>
      <c r="C4">
        <v>1.5</v>
      </c>
      <c r="D4" s="96">
        <v>16581.257785747999</v>
      </c>
      <c r="E4" s="96">
        <v>15478.724419362999</v>
      </c>
      <c r="F4" s="96">
        <f t="shared" si="0"/>
        <v>32059.982205110999</v>
      </c>
      <c r="G4">
        <v>0.51719485306216473</v>
      </c>
      <c r="N4" t="s">
        <v>817</v>
      </c>
      <c r="O4" t="s">
        <v>293</v>
      </c>
    </row>
    <row r="5" spans="1:23" ht="14.25" customHeight="1">
      <c r="A5" s="97" t="s">
        <v>18</v>
      </c>
      <c r="B5" t="s">
        <v>305</v>
      </c>
      <c r="C5">
        <v>2</v>
      </c>
      <c r="D5" s="96">
        <v>12321.997307187001</v>
      </c>
      <c r="E5" s="96">
        <v>11503.273965259001</v>
      </c>
      <c r="F5" s="96">
        <f t="shared" si="0"/>
        <v>23825.271272446</v>
      </c>
      <c r="G5">
        <v>0.51718182623328324</v>
      </c>
      <c r="N5">
        <v>1</v>
      </c>
      <c r="O5">
        <v>1055.0558530000001</v>
      </c>
      <c r="R5" t="s">
        <v>39</v>
      </c>
      <c r="S5" t="s">
        <v>818</v>
      </c>
      <c r="T5" t="s">
        <v>819</v>
      </c>
      <c r="U5" t="s">
        <v>820</v>
      </c>
      <c r="W5" t="s">
        <v>821</v>
      </c>
    </row>
    <row r="6" spans="1:23" ht="14.25" customHeight="1">
      <c r="A6" s="97" t="s">
        <v>18</v>
      </c>
      <c r="B6" t="s">
        <v>305</v>
      </c>
      <c r="C6">
        <v>2.0499999999999998</v>
      </c>
      <c r="D6" s="96">
        <v>10710.927019655999</v>
      </c>
      <c r="E6" s="96">
        <v>9998.7643188810016</v>
      </c>
      <c r="F6" s="96">
        <f t="shared" si="0"/>
        <v>20709.691338536999</v>
      </c>
      <c r="G6">
        <v>0.51719394773039884</v>
      </c>
      <c r="R6" t="s">
        <v>305</v>
      </c>
      <c r="S6">
        <v>0.5</v>
      </c>
      <c r="T6">
        <f>48.837*O5</f>
        <v>51525.762692961005</v>
      </c>
      <c r="U6">
        <f>45.589*O5</f>
        <v>48098.941282416999</v>
      </c>
      <c r="W6">
        <f>T6/(T6+U6)</f>
        <v>0.51719865291339251</v>
      </c>
    </row>
    <row r="7" spans="1:23" ht="14.25" customHeight="1">
      <c r="A7" s="97" t="s">
        <v>18</v>
      </c>
      <c r="B7" t="s">
        <v>305</v>
      </c>
      <c r="C7">
        <v>2.5</v>
      </c>
      <c r="D7" s="96">
        <v>9787.7531482809991</v>
      </c>
      <c r="E7" s="96">
        <v>9136.7836869800012</v>
      </c>
      <c r="F7" s="96">
        <f t="shared" si="0"/>
        <v>18924.536835261002</v>
      </c>
      <c r="G7">
        <v>0.51719908568879958</v>
      </c>
      <c r="R7" t="s">
        <v>305</v>
      </c>
      <c r="S7">
        <v>1</v>
      </c>
      <c r="T7">
        <f>23.883*O5</f>
        <v>25197.898937198999</v>
      </c>
      <c r="U7">
        <f>22.295*O5</f>
        <v>23522.470242635005</v>
      </c>
      <c r="W7">
        <f t="shared" ref="W7:W19" si="1">T7/(T7+U7)</f>
        <v>0.5171943349647018</v>
      </c>
    </row>
    <row r="8" spans="1:23" ht="14.25" customHeight="1">
      <c r="A8" s="97" t="s">
        <v>18</v>
      </c>
      <c r="B8" t="s">
        <v>305</v>
      </c>
      <c r="C8">
        <v>3</v>
      </c>
      <c r="D8" s="96">
        <v>8109.1592861580002</v>
      </c>
      <c r="E8" s="96">
        <v>7570.0257452750002</v>
      </c>
      <c r="F8" s="96">
        <f t="shared" si="0"/>
        <v>15679.185031433</v>
      </c>
      <c r="G8">
        <v>0.51719265190767783</v>
      </c>
      <c r="R8" t="s">
        <v>305</v>
      </c>
      <c r="S8">
        <v>1.5</v>
      </c>
      <c r="T8">
        <f>15.716*O5</f>
        <v>16581.257785747999</v>
      </c>
      <c r="U8">
        <f>14.671*O5</f>
        <v>15478.724419362999</v>
      </c>
      <c r="W8">
        <f t="shared" si="1"/>
        <v>0.51719485306216473</v>
      </c>
    </row>
    <row r="9" spans="1:23" ht="14.25" customHeight="1">
      <c r="A9" s="97" t="s">
        <v>18</v>
      </c>
      <c r="B9" t="s">
        <v>594</v>
      </c>
      <c r="C9">
        <v>0.18</v>
      </c>
      <c r="D9" s="96">
        <v>19486.881604909999</v>
      </c>
      <c r="E9" s="96">
        <v>33537.060399310998</v>
      </c>
      <c r="F9" s="96">
        <f t="shared" si="0"/>
        <v>53023.942004220997</v>
      </c>
      <c r="G9">
        <v>0.36751099349344368</v>
      </c>
      <c r="R9" t="s">
        <v>305</v>
      </c>
      <c r="S9">
        <v>2</v>
      </c>
      <c r="T9">
        <f>11.679*O5</f>
        <v>12321.997307187001</v>
      </c>
      <c r="U9">
        <f>10.903*O5</f>
        <v>11503.273965259001</v>
      </c>
      <c r="W9">
        <f t="shared" si="1"/>
        <v>0.51718182623328324</v>
      </c>
    </row>
    <row r="10" spans="1:23" ht="14.25" customHeight="1">
      <c r="A10" s="97" t="s">
        <v>18</v>
      </c>
      <c r="B10" t="s">
        <v>594</v>
      </c>
      <c r="C10">
        <v>0.5</v>
      </c>
      <c r="D10" s="96">
        <v>7778.9268041690011</v>
      </c>
      <c r="E10" s="96">
        <v>13388.65877457</v>
      </c>
      <c r="F10" s="96">
        <f t="shared" si="0"/>
        <v>21167.585578739003</v>
      </c>
      <c r="G10">
        <v>0.36749239894332852</v>
      </c>
      <c r="R10" t="s">
        <v>305</v>
      </c>
      <c r="S10">
        <v>2.0499999999999998</v>
      </c>
      <c r="T10">
        <f>10.152*O5</f>
        <v>10710.927019655999</v>
      </c>
      <c r="U10">
        <f>9.477*O5</f>
        <v>9998.7643188810016</v>
      </c>
      <c r="W10">
        <f t="shared" si="1"/>
        <v>0.51719394773039884</v>
      </c>
    </row>
    <row r="11" spans="1:23" ht="14.25" customHeight="1">
      <c r="A11" s="97" t="s">
        <v>18</v>
      </c>
      <c r="B11" t="s">
        <v>594</v>
      </c>
      <c r="C11">
        <v>1</v>
      </c>
      <c r="D11" s="96">
        <v>5228.8568074680006</v>
      </c>
      <c r="E11" s="96">
        <v>8999.6264260900007</v>
      </c>
      <c r="F11" s="96">
        <f t="shared" si="0"/>
        <v>14228.483233558001</v>
      </c>
      <c r="G11">
        <v>0.36749221414800537</v>
      </c>
      <c r="R11" t="s">
        <v>305</v>
      </c>
      <c r="S11">
        <v>2.5</v>
      </c>
      <c r="T11">
        <f>9.277*O5</f>
        <v>9787.7531482809991</v>
      </c>
      <c r="U11">
        <f>8.66*O5</f>
        <v>9136.7836869800012</v>
      </c>
      <c r="W11">
        <f t="shared" si="1"/>
        <v>0.51719908568879958</v>
      </c>
    </row>
    <row r="12" spans="1:23" ht="14.25" customHeight="1">
      <c r="A12" s="97" t="s">
        <v>18</v>
      </c>
      <c r="B12" t="s">
        <v>594</v>
      </c>
      <c r="C12">
        <v>1.5</v>
      </c>
      <c r="D12" s="96">
        <v>4145.3144464369998</v>
      </c>
      <c r="E12" s="96">
        <v>7134.2876779859998</v>
      </c>
      <c r="F12" s="96">
        <f t="shared" si="0"/>
        <v>11279.602124423</v>
      </c>
      <c r="G12">
        <v>0.36750537835562624</v>
      </c>
      <c r="R12" t="s">
        <v>305</v>
      </c>
      <c r="S12">
        <v>3</v>
      </c>
      <c r="T12">
        <f>7.686*O5</f>
        <v>8109.1592861580002</v>
      </c>
      <c r="U12">
        <f>7.175*O5</f>
        <v>7570.0257452750002</v>
      </c>
      <c r="W12">
        <f t="shared" si="1"/>
        <v>0.51719265190767783</v>
      </c>
    </row>
    <row r="13" spans="1:23" ht="14.25" customHeight="1">
      <c r="A13" s="97" t="s">
        <v>18</v>
      </c>
      <c r="B13" t="s">
        <v>594</v>
      </c>
      <c r="C13">
        <v>2</v>
      </c>
      <c r="D13" s="96">
        <v>3515.4461021960001</v>
      </c>
      <c r="E13" s="96">
        <v>6049.6902611020005</v>
      </c>
      <c r="F13" s="96">
        <f t="shared" si="0"/>
        <v>9565.136363298001</v>
      </c>
      <c r="G13">
        <v>0.36752702404588572</v>
      </c>
      <c r="R13" t="s">
        <v>594</v>
      </c>
      <c r="S13">
        <v>0.18</v>
      </c>
      <c r="T13">
        <f>18.47*O5</f>
        <v>19486.881604909999</v>
      </c>
      <c r="U13">
        <f>31.787*O5</f>
        <v>33537.060399310998</v>
      </c>
      <c r="W13">
        <f t="shared" si="1"/>
        <v>0.36751099349344368</v>
      </c>
    </row>
    <row r="14" spans="1:23" ht="14.25" customHeight="1">
      <c r="A14" s="97" t="s">
        <v>18</v>
      </c>
      <c r="B14" t="s">
        <v>594</v>
      </c>
      <c r="C14">
        <v>2.5</v>
      </c>
      <c r="D14" s="96">
        <v>3093.4237609960001</v>
      </c>
      <c r="E14" s="96">
        <v>5323.8118342380003</v>
      </c>
      <c r="F14" s="96">
        <f t="shared" si="0"/>
        <v>8417.2355952340004</v>
      </c>
      <c r="G14">
        <v>0.36751065429932311</v>
      </c>
      <c r="R14" t="s">
        <v>594</v>
      </c>
      <c r="S14">
        <v>0.5</v>
      </c>
      <c r="T14">
        <f>7.373*O5</f>
        <v>7778.9268041690011</v>
      </c>
      <c r="U14">
        <f>12.69*O5</f>
        <v>13388.65877457</v>
      </c>
      <c r="W14">
        <f t="shared" si="1"/>
        <v>0.36749239894332852</v>
      </c>
    </row>
    <row r="15" spans="1:23" ht="14.25" customHeight="1">
      <c r="A15" s="97" t="s">
        <v>18</v>
      </c>
      <c r="B15" t="s">
        <v>594</v>
      </c>
      <c r="C15">
        <v>3</v>
      </c>
      <c r="D15" s="96">
        <v>2786.4025077730003</v>
      </c>
      <c r="E15" s="96">
        <v>4795.228851885</v>
      </c>
      <c r="F15" s="96">
        <f t="shared" si="0"/>
        <v>7581.6313596580003</v>
      </c>
      <c r="G15">
        <v>0.36752017812413029</v>
      </c>
      <c r="R15" t="s">
        <v>594</v>
      </c>
      <c r="S15">
        <v>1</v>
      </c>
      <c r="T15">
        <f>4.956*O5</f>
        <v>5228.8568074680006</v>
      </c>
      <c r="U15">
        <f>8.53*O5</f>
        <v>8999.6264260900007</v>
      </c>
      <c r="W15">
        <f t="shared" si="1"/>
        <v>0.36749221414800537</v>
      </c>
    </row>
    <row r="16" spans="1:23" ht="14.25" customHeight="1">
      <c r="R16" t="s">
        <v>594</v>
      </c>
      <c r="S16">
        <v>1.5</v>
      </c>
      <c r="T16">
        <f>3.929*O5</f>
        <v>4145.3144464369998</v>
      </c>
      <c r="U16">
        <f>6.762*O5</f>
        <v>7134.2876779859998</v>
      </c>
      <c r="W16">
        <f t="shared" si="1"/>
        <v>0.36750537835562624</v>
      </c>
    </row>
    <row r="17" spans="2:23" ht="14.25" customHeight="1">
      <c r="B17" s="95"/>
      <c r="C17" s="95"/>
      <c r="D17" s="95"/>
      <c r="E17" s="95"/>
      <c r="F17" s="95"/>
      <c r="R17" t="s">
        <v>594</v>
      </c>
      <c r="S17">
        <v>2</v>
      </c>
      <c r="T17">
        <f>3.332*O5</f>
        <v>3515.4461021960001</v>
      </c>
      <c r="U17">
        <f>5.734*O5</f>
        <v>6049.6902611020005</v>
      </c>
      <c r="W17">
        <f t="shared" si="1"/>
        <v>0.36752702404588572</v>
      </c>
    </row>
    <row r="18" spans="2:23" ht="14.25" customHeight="1">
      <c r="B18" s="81"/>
      <c r="C18" s="81"/>
      <c r="D18" s="81"/>
      <c r="E18" s="81"/>
      <c r="F18" s="81"/>
      <c r="R18" t="s">
        <v>594</v>
      </c>
      <c r="S18">
        <v>2.5</v>
      </c>
      <c r="T18">
        <f>2.932*O5</f>
        <v>3093.4237609960001</v>
      </c>
      <c r="U18">
        <f>5.046*O5</f>
        <v>5323.8118342380003</v>
      </c>
      <c r="W18">
        <f t="shared" si="1"/>
        <v>0.36751065429932311</v>
      </c>
    </row>
    <row r="19" spans="2:23" ht="14.25" customHeight="1">
      <c r="B19" s="81"/>
      <c r="C19" s="81"/>
      <c r="D19" s="81"/>
      <c r="E19" s="81"/>
      <c r="F19" s="81"/>
      <c r="R19" t="s">
        <v>594</v>
      </c>
      <c r="S19">
        <v>3</v>
      </c>
      <c r="T19">
        <f>2.641*O5</f>
        <v>2786.4025077730003</v>
      </c>
      <c r="U19">
        <f>4.545*O5</f>
        <v>4795.228851885</v>
      </c>
      <c r="W19">
        <f t="shared" si="1"/>
        <v>0.36752017812413029</v>
      </c>
    </row>
    <row r="20" spans="2:23" ht="14.25" customHeight="1"/>
    <row r="21" spans="2:23" ht="14.25" customHeight="1"/>
    <row r="22" spans="2:23" ht="14.25" customHeight="1"/>
    <row r="23" spans="2:23" ht="14.25" customHeight="1"/>
    <row r="24" spans="2:23" ht="14.25" customHeight="1"/>
    <row r="25" spans="2:23" ht="14.25" customHeight="1"/>
    <row r="26" spans="2:23" ht="14.25" customHeight="1"/>
    <row r="27" spans="2:23" ht="14.25" customHeight="1"/>
    <row r="28" spans="2:23" ht="14.25" customHeight="1"/>
    <row r="29" spans="2:23" ht="14.25" customHeight="1"/>
    <row r="30" spans="2:23" ht="14.25" customHeight="1"/>
    <row r="31" spans="2:23" ht="14.25" customHeight="1"/>
    <row r="32" spans="2:2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661B-A80C-4CA5-8B4E-E679EC90E33C}">
  <dimension ref="A1:F20"/>
  <sheetViews>
    <sheetView workbookViewId="0">
      <selection activeCell="C18" sqref="C18"/>
    </sheetView>
  </sheetViews>
  <sheetFormatPr baseColWidth="10" defaultColWidth="8.7109375" defaultRowHeight="15"/>
  <cols>
    <col min="1" max="1" width="23.140625" bestFit="1" customWidth="1"/>
    <col min="2" max="2" width="23" bestFit="1" customWidth="1"/>
    <col min="3" max="3" width="80.42578125" bestFit="1" customWidth="1"/>
    <col min="4" max="4" width="14.28515625" bestFit="1" customWidth="1"/>
    <col min="5" max="5" width="42.5703125" bestFit="1" customWidth="1"/>
  </cols>
  <sheetData>
    <row r="1" spans="1:6">
      <c r="A1" s="63" t="s">
        <v>374</v>
      </c>
      <c r="B1" s="63" t="s">
        <v>322</v>
      </c>
      <c r="C1" s="63" t="s">
        <v>323</v>
      </c>
      <c r="D1" s="63" t="s">
        <v>46</v>
      </c>
      <c r="E1" s="63" t="s">
        <v>324</v>
      </c>
    </row>
    <row r="2" spans="1:6">
      <c r="A2" s="64" t="s">
        <v>375</v>
      </c>
      <c r="B2" s="64" t="s">
        <v>74</v>
      </c>
      <c r="C2" s="65" t="s">
        <v>376</v>
      </c>
      <c r="D2" s="65" t="s">
        <v>377</v>
      </c>
      <c r="E2" s="65" t="s">
        <v>378</v>
      </c>
      <c r="F2" t="s">
        <v>379</v>
      </c>
    </row>
    <row r="3" spans="1:6">
      <c r="A3" s="65"/>
      <c r="B3" s="64" t="s">
        <v>236</v>
      </c>
      <c r="C3" s="65" t="s">
        <v>380</v>
      </c>
      <c r="D3" s="65" t="s">
        <v>381</v>
      </c>
      <c r="E3" s="65" t="s">
        <v>382</v>
      </c>
    </row>
    <row r="4" spans="1:6">
      <c r="A4" s="65"/>
      <c r="B4" s="64" t="s">
        <v>383</v>
      </c>
      <c r="C4" s="65" t="s">
        <v>384</v>
      </c>
      <c r="D4" s="65" t="s">
        <v>381</v>
      </c>
      <c r="E4" s="65" t="s">
        <v>385</v>
      </c>
    </row>
    <row r="5" spans="1:6">
      <c r="A5" s="65"/>
      <c r="B5" s="64" t="s">
        <v>386</v>
      </c>
      <c r="C5" s="65" t="s">
        <v>387</v>
      </c>
      <c r="D5" s="65" t="s">
        <v>381</v>
      </c>
      <c r="E5" s="65" t="s">
        <v>388</v>
      </c>
      <c r="F5" t="s">
        <v>389</v>
      </c>
    </row>
    <row r="6" spans="1:6">
      <c r="A6" s="65"/>
      <c r="B6" s="64" t="s">
        <v>390</v>
      </c>
      <c r="C6" s="65" t="s">
        <v>391</v>
      </c>
      <c r="D6" s="65" t="s">
        <v>392</v>
      </c>
      <c r="E6" s="65" t="s">
        <v>393</v>
      </c>
    </row>
    <row r="7" spans="1:6">
      <c r="A7" s="65"/>
      <c r="B7" s="65" t="s">
        <v>394</v>
      </c>
      <c r="C7" s="65" t="s">
        <v>395</v>
      </c>
      <c r="D7" s="65" t="s">
        <v>392</v>
      </c>
      <c r="E7" s="65" t="s">
        <v>396</v>
      </c>
      <c r="F7" t="s">
        <v>397</v>
      </c>
    </row>
    <row r="8" spans="1:6">
      <c r="A8" s="65"/>
      <c r="B8" s="65" t="s">
        <v>398</v>
      </c>
      <c r="C8" s="65" t="s">
        <v>399</v>
      </c>
      <c r="D8" s="65" t="s">
        <v>392</v>
      </c>
      <c r="E8" s="65" t="s">
        <v>400</v>
      </c>
    </row>
    <row r="9" spans="1:6">
      <c r="A9" s="65"/>
      <c r="B9" s="65" t="s">
        <v>401</v>
      </c>
      <c r="C9" s="65" t="s">
        <v>399</v>
      </c>
      <c r="D9" s="65" t="s">
        <v>392</v>
      </c>
      <c r="E9" s="65" t="s">
        <v>402</v>
      </c>
    </row>
    <row r="10" spans="1:6">
      <c r="A10" s="65"/>
      <c r="B10" s="64" t="s">
        <v>403</v>
      </c>
      <c r="C10" s="65" t="s">
        <v>404</v>
      </c>
      <c r="D10" s="65" t="s">
        <v>392</v>
      </c>
      <c r="E10" s="65" t="s">
        <v>405</v>
      </c>
      <c r="F10" t="s">
        <v>406</v>
      </c>
    </row>
    <row r="11" spans="1:6">
      <c r="A11" s="65"/>
      <c r="B11" s="64" t="s">
        <v>334</v>
      </c>
      <c r="C11" s="65" t="s">
        <v>407</v>
      </c>
      <c r="D11" s="65" t="s">
        <v>392</v>
      </c>
      <c r="E11" s="65" t="s">
        <v>408</v>
      </c>
    </row>
    <row r="12" spans="1:6">
      <c r="A12" s="65"/>
      <c r="B12" s="64" t="s">
        <v>409</v>
      </c>
      <c r="C12" s="65" t="s">
        <v>410</v>
      </c>
      <c r="D12" s="65" t="s">
        <v>411</v>
      </c>
      <c r="E12" s="65" t="s">
        <v>412</v>
      </c>
    </row>
    <row r="13" spans="1:6">
      <c r="A13" s="65"/>
      <c r="B13" s="64" t="s">
        <v>413</v>
      </c>
      <c r="C13" s="65" t="s">
        <v>414</v>
      </c>
      <c r="D13" s="65" t="s">
        <v>415</v>
      </c>
      <c r="E13" s="65" t="s">
        <v>416</v>
      </c>
    </row>
    <row r="14" spans="1:6">
      <c r="A14" s="65"/>
      <c r="B14" s="64" t="s">
        <v>417</v>
      </c>
      <c r="C14" s="65" t="s">
        <v>418</v>
      </c>
      <c r="D14" s="65" t="s">
        <v>419</v>
      </c>
      <c r="E14" s="65" t="s">
        <v>420</v>
      </c>
    </row>
    <row r="15" spans="1:6">
      <c r="A15" s="65"/>
      <c r="B15" s="64" t="s">
        <v>421</v>
      </c>
      <c r="C15" s="65" t="s">
        <v>422</v>
      </c>
      <c r="D15" s="65" t="s">
        <v>423</v>
      </c>
      <c r="E15" s="65" t="s">
        <v>424</v>
      </c>
      <c r="F15" t="s">
        <v>425</v>
      </c>
    </row>
    <row r="16" spans="1:6">
      <c r="A16" s="64" t="s">
        <v>426</v>
      </c>
      <c r="B16" s="64" t="s">
        <v>74</v>
      </c>
      <c r="C16" s="65" t="s">
        <v>427</v>
      </c>
      <c r="D16" s="65" t="s">
        <v>377</v>
      </c>
      <c r="E16" s="65" t="s">
        <v>428</v>
      </c>
    </row>
    <row r="17" spans="1:5">
      <c r="A17" s="65"/>
      <c r="B17" s="64" t="s">
        <v>236</v>
      </c>
      <c r="C17" s="65" t="s">
        <v>429</v>
      </c>
      <c r="D17" s="65" t="s">
        <v>381</v>
      </c>
      <c r="E17" s="65" t="s">
        <v>430</v>
      </c>
    </row>
    <row r="18" spans="1:5">
      <c r="A18" s="65"/>
      <c r="B18" s="64" t="s">
        <v>431</v>
      </c>
      <c r="C18" s="65" t="s">
        <v>432</v>
      </c>
      <c r="D18" s="65" t="s">
        <v>381</v>
      </c>
      <c r="E18" s="65" t="s">
        <v>433</v>
      </c>
    </row>
    <row r="19" spans="1:5">
      <c r="A19" s="65"/>
      <c r="B19" s="64" t="s">
        <v>249</v>
      </c>
      <c r="C19" s="65" t="s">
        <v>434</v>
      </c>
      <c r="D19" s="65" t="s">
        <v>392</v>
      </c>
      <c r="E19" s="65" t="s">
        <v>435</v>
      </c>
    </row>
    <row r="20" spans="1:5">
      <c r="A20" s="64" t="s">
        <v>436</v>
      </c>
      <c r="B20" s="64" t="s">
        <v>437</v>
      </c>
      <c r="C20" s="65" t="s">
        <v>438</v>
      </c>
      <c r="D20" s="65" t="s">
        <v>415</v>
      </c>
      <c r="E20" s="65" t="s">
        <v>439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CD29-D155-4568-A981-C722F3BFCB2D}">
  <dimension ref="A1:E18"/>
  <sheetViews>
    <sheetView topLeftCell="A10" workbookViewId="0">
      <selection sqref="A1:XFD1048576"/>
    </sheetView>
  </sheetViews>
  <sheetFormatPr baseColWidth="10" defaultRowHeight="15"/>
  <cols>
    <col min="1" max="1" width="11.42578125" bestFit="1" customWidth="1"/>
    <col min="3" max="3" width="10.7109375" bestFit="1" customWidth="1"/>
    <col min="4" max="4" width="9.5703125" bestFit="1" customWidth="1"/>
    <col min="5" max="5" width="11" bestFit="1" customWidth="1"/>
  </cols>
  <sheetData>
    <row r="1" spans="1:5" ht="30">
      <c r="A1" s="59" t="s">
        <v>321</v>
      </c>
      <c r="B1" s="59" t="s">
        <v>322</v>
      </c>
      <c r="C1" s="60" t="s">
        <v>323</v>
      </c>
      <c r="D1" s="59" t="s">
        <v>46</v>
      </c>
      <c r="E1" s="59" t="s">
        <v>324</v>
      </c>
    </row>
    <row r="2" spans="1:5" ht="60">
      <c r="A2" s="59" t="s">
        <v>325</v>
      </c>
      <c r="B2" s="61" t="s">
        <v>326</v>
      </c>
      <c r="C2" s="62" t="s">
        <v>327</v>
      </c>
      <c r="D2" s="61" t="s">
        <v>328</v>
      </c>
      <c r="E2" s="61" t="s">
        <v>329</v>
      </c>
    </row>
    <row r="3" spans="1:5" ht="45">
      <c r="A3" s="58"/>
      <c r="B3" s="61" t="s">
        <v>330</v>
      </c>
      <c r="C3" s="62" t="s">
        <v>331</v>
      </c>
      <c r="D3" s="61" t="s">
        <v>332</v>
      </c>
      <c r="E3" s="61" t="s">
        <v>333</v>
      </c>
    </row>
    <row r="4" spans="1:5" ht="30">
      <c r="A4" s="58"/>
      <c r="B4" s="61" t="s">
        <v>334</v>
      </c>
      <c r="C4" s="62" t="s">
        <v>335</v>
      </c>
      <c r="D4" s="61" t="s">
        <v>336</v>
      </c>
      <c r="E4" s="61" t="s">
        <v>337</v>
      </c>
    </row>
    <row r="5" spans="1:5" ht="45">
      <c r="A5" s="59" t="s">
        <v>338</v>
      </c>
      <c r="B5" s="61" t="s">
        <v>339</v>
      </c>
      <c r="C5" s="62" t="s">
        <v>340</v>
      </c>
      <c r="D5" s="61" t="s">
        <v>328</v>
      </c>
      <c r="E5" s="61" t="s">
        <v>341</v>
      </c>
    </row>
    <row r="6" spans="1:5" ht="45">
      <c r="A6" s="58"/>
      <c r="B6" s="61" t="s">
        <v>342</v>
      </c>
      <c r="C6" s="62" t="s">
        <v>343</v>
      </c>
      <c r="D6" s="61" t="s">
        <v>336</v>
      </c>
      <c r="E6" s="61" t="s">
        <v>344</v>
      </c>
    </row>
    <row r="7" spans="1:5">
      <c r="A7" s="58"/>
      <c r="B7" s="61" t="s">
        <v>59</v>
      </c>
      <c r="C7" s="62">
        <v>0.01</v>
      </c>
      <c r="D7" s="61" t="s">
        <v>336</v>
      </c>
      <c r="E7" s="61" t="s">
        <v>345</v>
      </c>
    </row>
    <row r="8" spans="1:5" ht="75">
      <c r="A8" s="59" t="s">
        <v>346</v>
      </c>
      <c r="B8" s="61" t="s">
        <v>347</v>
      </c>
      <c r="C8" s="62" t="s">
        <v>348</v>
      </c>
      <c r="D8" s="61" t="s">
        <v>328</v>
      </c>
      <c r="E8" s="61" t="s">
        <v>349</v>
      </c>
    </row>
    <row r="9" spans="1:5" ht="30">
      <c r="A9" s="58"/>
      <c r="B9" s="61" t="s">
        <v>350</v>
      </c>
      <c r="C9" s="62">
        <v>0.1</v>
      </c>
      <c r="D9" s="61" t="s">
        <v>336</v>
      </c>
      <c r="E9" s="61" t="s">
        <v>351</v>
      </c>
    </row>
    <row r="10" spans="1:5" ht="30">
      <c r="A10" s="58"/>
      <c r="B10" s="61" t="s">
        <v>352</v>
      </c>
      <c r="C10" s="62">
        <v>1.4999999999999999E-2</v>
      </c>
      <c r="D10" s="61" t="s">
        <v>336</v>
      </c>
      <c r="E10" s="61" t="s">
        <v>353</v>
      </c>
    </row>
    <row r="11" spans="1:5" ht="60">
      <c r="A11" s="59" t="s">
        <v>354</v>
      </c>
      <c r="B11" s="61" t="s">
        <v>355</v>
      </c>
      <c r="C11" s="62">
        <v>0.02</v>
      </c>
      <c r="D11" s="61" t="s">
        <v>336</v>
      </c>
      <c r="E11" s="61" t="s">
        <v>356</v>
      </c>
    </row>
    <row r="12" spans="1:5" ht="45">
      <c r="A12" s="58"/>
      <c r="B12" s="61" t="s">
        <v>357</v>
      </c>
      <c r="C12" s="62">
        <v>0.03</v>
      </c>
      <c r="D12" s="61" t="s">
        <v>336</v>
      </c>
      <c r="E12" s="61" t="s">
        <v>358</v>
      </c>
    </row>
    <row r="13" spans="1:5" ht="45">
      <c r="A13" s="58"/>
      <c r="B13" s="61" t="s">
        <v>359</v>
      </c>
      <c r="C13" s="62" t="s">
        <v>360</v>
      </c>
      <c r="D13" s="61" t="s">
        <v>332</v>
      </c>
      <c r="E13" s="61" t="s">
        <v>361</v>
      </c>
    </row>
    <row r="14" spans="1:5" ht="45">
      <c r="A14" s="59" t="s">
        <v>362</v>
      </c>
      <c r="B14" s="61" t="s">
        <v>363</v>
      </c>
      <c r="C14" s="62">
        <v>0.12</v>
      </c>
      <c r="D14" s="61" t="s">
        <v>336</v>
      </c>
      <c r="E14" s="61" t="s">
        <v>364</v>
      </c>
    </row>
    <row r="15" spans="1:5" ht="30">
      <c r="A15" s="58"/>
      <c r="B15" s="61" t="s">
        <v>365</v>
      </c>
      <c r="C15" s="62">
        <v>0.02</v>
      </c>
      <c r="D15" s="61" t="s">
        <v>336</v>
      </c>
      <c r="E15" s="61" t="s">
        <v>366</v>
      </c>
    </row>
    <row r="16" spans="1:5" ht="60">
      <c r="A16" s="58"/>
      <c r="B16" s="61" t="s">
        <v>367</v>
      </c>
      <c r="C16" s="62">
        <v>1.5</v>
      </c>
      <c r="D16" s="61" t="s">
        <v>328</v>
      </c>
      <c r="E16" s="61" t="s">
        <v>368</v>
      </c>
    </row>
    <row r="17" spans="1:5" ht="60">
      <c r="A17" s="59" t="s">
        <v>369</v>
      </c>
      <c r="B17" s="61">
        <v>98.7</v>
      </c>
      <c r="C17" s="62" t="s">
        <v>328</v>
      </c>
      <c r="D17" s="61" t="s">
        <v>370</v>
      </c>
      <c r="E17" s="58"/>
    </row>
    <row r="18" spans="1:5" ht="90">
      <c r="A18" s="59" t="s">
        <v>371</v>
      </c>
      <c r="B18" s="61">
        <v>12</v>
      </c>
      <c r="C18" s="62" t="s">
        <v>372</v>
      </c>
      <c r="D18" s="61" t="s">
        <v>373</v>
      </c>
      <c r="E18" s="5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topLeftCell="A7" workbookViewId="0"/>
  </sheetViews>
  <sheetFormatPr baseColWidth="10" defaultColWidth="12.5703125" defaultRowHeight="15" customHeight="1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2"/>
  <sheetViews>
    <sheetView workbookViewId="0">
      <selection activeCell="D19" sqref="D19"/>
    </sheetView>
  </sheetViews>
  <sheetFormatPr baseColWidth="10" defaultColWidth="12.5703125" defaultRowHeight="15" customHeight="1"/>
  <cols>
    <col min="1" max="1" width="21.85546875" bestFit="1" customWidth="1"/>
  </cols>
  <sheetData>
    <row r="1" spans="1:4">
      <c r="B1" s="15" t="s">
        <v>68</v>
      </c>
      <c r="C1" s="15" t="s">
        <v>74</v>
      </c>
      <c r="D1" s="15" t="s">
        <v>77</v>
      </c>
    </row>
    <row r="3" spans="1:4">
      <c r="A3" s="5" t="s">
        <v>274</v>
      </c>
      <c r="B3" s="16">
        <v>0.14099999999999999</v>
      </c>
      <c r="C3" s="17">
        <v>0.06</v>
      </c>
      <c r="D3" s="18"/>
    </row>
    <row r="4" spans="1:4">
      <c r="A4" s="5" t="s">
        <v>275</v>
      </c>
      <c r="B4" s="17">
        <v>6.6000000000000003E-2</v>
      </c>
      <c r="C4" s="17">
        <v>0.14899999999999999</v>
      </c>
      <c r="D4" s="18"/>
    </row>
    <row r="5" spans="1:4">
      <c r="A5" s="5" t="s">
        <v>276</v>
      </c>
      <c r="B5" s="17">
        <v>0.1</v>
      </c>
      <c r="C5" s="17">
        <v>0.1</v>
      </c>
      <c r="D5" s="18"/>
    </row>
    <row r="6" spans="1:4">
      <c r="A6" s="5" t="s">
        <v>277</v>
      </c>
      <c r="B6" s="17">
        <v>0.2</v>
      </c>
      <c r="C6" s="17">
        <v>0.2</v>
      </c>
      <c r="D6" s="18"/>
    </row>
    <row r="7" spans="1:4">
      <c r="A7" s="5" t="s">
        <v>75</v>
      </c>
      <c r="B7" s="17">
        <v>0</v>
      </c>
      <c r="C7" s="17">
        <v>0.2</v>
      </c>
      <c r="D7" s="18"/>
    </row>
    <row r="8" spans="1:4">
      <c r="A8" s="5" t="s">
        <v>278</v>
      </c>
      <c r="B8" s="18"/>
      <c r="C8" s="18"/>
      <c r="D8" s="17">
        <v>0.245</v>
      </c>
    </row>
    <row r="9" spans="1:4">
      <c r="B9" s="18"/>
      <c r="C9" s="18"/>
      <c r="D9" s="18"/>
    </row>
    <row r="10" spans="1:4">
      <c r="A10" s="5" t="s">
        <v>279</v>
      </c>
      <c r="B10" s="17">
        <v>117</v>
      </c>
      <c r="C10" s="17">
        <v>25</v>
      </c>
      <c r="D10" s="17">
        <v>2</v>
      </c>
    </row>
    <row r="11" spans="1:4">
      <c r="A11" s="5" t="s">
        <v>280</v>
      </c>
      <c r="B11" s="17">
        <v>27</v>
      </c>
      <c r="C11" s="17">
        <v>2</v>
      </c>
      <c r="D11" s="17">
        <v>0.1</v>
      </c>
    </row>
    <row r="12" spans="1:4">
      <c r="A12" s="5" t="s">
        <v>281</v>
      </c>
      <c r="B12" s="17">
        <v>406</v>
      </c>
      <c r="C12" s="17">
        <v>22</v>
      </c>
      <c r="D12" s="17">
        <v>1</v>
      </c>
    </row>
    <row r="13" spans="1:4">
      <c r="A13" s="5" t="s">
        <v>282</v>
      </c>
      <c r="B13" s="17">
        <v>21</v>
      </c>
      <c r="C13" s="17">
        <v>16</v>
      </c>
      <c r="D13" s="17">
        <v>1</v>
      </c>
    </row>
    <row r="14" spans="1:4">
      <c r="A14" s="5" t="s">
        <v>283</v>
      </c>
      <c r="B14" s="17">
        <v>339</v>
      </c>
      <c r="C14" s="17">
        <v>11</v>
      </c>
      <c r="D14" s="17">
        <v>1</v>
      </c>
    </row>
    <row r="15" spans="1:4">
      <c r="A15" s="5" t="s">
        <v>284</v>
      </c>
      <c r="B15" s="17">
        <v>263</v>
      </c>
      <c r="C15" s="17">
        <v>9</v>
      </c>
      <c r="D15" s="17">
        <v>1</v>
      </c>
    </row>
    <row r="16" spans="1:4">
      <c r="A16" s="5" t="s">
        <v>285</v>
      </c>
      <c r="B16" s="17">
        <v>208</v>
      </c>
      <c r="C16" s="17">
        <v>7</v>
      </c>
      <c r="D16" s="17">
        <v>1</v>
      </c>
    </row>
    <row r="17" spans="1:4">
      <c r="A17" s="5" t="s">
        <v>286</v>
      </c>
      <c r="B17" s="17">
        <v>321</v>
      </c>
      <c r="C17" s="17">
        <v>10</v>
      </c>
      <c r="D17" s="17">
        <v>1</v>
      </c>
    </row>
    <row r="18" spans="1:4">
      <c r="B18" s="18"/>
      <c r="C18" s="18"/>
      <c r="D18" s="18"/>
    </row>
    <row r="19" spans="1:4">
      <c r="A19" s="5" t="s">
        <v>287</v>
      </c>
      <c r="B19" s="17">
        <v>0</v>
      </c>
      <c r="C19" s="17">
        <v>15.3</v>
      </c>
      <c r="D19" s="18"/>
    </row>
    <row r="20" spans="1:4">
      <c r="A20" s="5" t="s">
        <v>288</v>
      </c>
      <c r="B20" s="17">
        <v>5.7</v>
      </c>
      <c r="C20" s="17">
        <v>7.2</v>
      </c>
      <c r="D20" s="18"/>
    </row>
    <row r="21" spans="1:4">
      <c r="A21" s="5" t="s">
        <v>289</v>
      </c>
      <c r="B21" s="18"/>
      <c r="C21" s="18"/>
      <c r="D21" s="17">
        <v>2</v>
      </c>
    </row>
    <row r="22" spans="1:4">
      <c r="B22" s="18"/>
      <c r="C22" s="18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2"/>
  <sheetViews>
    <sheetView workbookViewId="0"/>
  </sheetViews>
  <sheetFormatPr baseColWidth="10" defaultColWidth="12.5703125" defaultRowHeight="15" customHeight="1"/>
  <sheetData>
    <row r="1" spans="1:7">
      <c r="A1" s="1" t="s">
        <v>290</v>
      </c>
    </row>
    <row r="12" spans="1:7">
      <c r="G12" s="1" t="s">
        <v>290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G1:I17"/>
  <sheetViews>
    <sheetView workbookViewId="0"/>
  </sheetViews>
  <sheetFormatPr baseColWidth="10" defaultColWidth="12.5703125" defaultRowHeight="15" customHeight="1"/>
  <sheetData>
    <row r="1" spans="7:9">
      <c r="G1" s="5" t="s">
        <v>291</v>
      </c>
    </row>
    <row r="4" spans="7:9">
      <c r="H4" s="19" t="s">
        <v>292</v>
      </c>
      <c r="I4" s="19" t="s">
        <v>46</v>
      </c>
    </row>
    <row r="5" spans="7:9">
      <c r="G5" s="5" t="s">
        <v>92</v>
      </c>
      <c r="H5" s="5">
        <v>2453</v>
      </c>
      <c r="I5" s="5" t="s">
        <v>293</v>
      </c>
    </row>
    <row r="6" spans="7:9">
      <c r="G6" s="5" t="s">
        <v>95</v>
      </c>
      <c r="H6" s="5">
        <v>11444</v>
      </c>
      <c r="I6" s="5" t="s">
        <v>293</v>
      </c>
    </row>
    <row r="7" spans="7:9">
      <c r="G7" s="5" t="s">
        <v>294</v>
      </c>
      <c r="H7" s="5">
        <v>444</v>
      </c>
      <c r="I7" s="5" t="s">
        <v>293</v>
      </c>
    </row>
    <row r="8" spans="7:9">
      <c r="G8" s="5" t="s">
        <v>295</v>
      </c>
      <c r="H8" s="5">
        <v>1969</v>
      </c>
      <c r="I8" s="5" t="s">
        <v>293</v>
      </c>
    </row>
    <row r="9" spans="7:9">
      <c r="G9" s="5" t="s">
        <v>98</v>
      </c>
      <c r="H9" s="5">
        <v>579</v>
      </c>
      <c r="I9" s="5" t="s">
        <v>293</v>
      </c>
    </row>
    <row r="10" spans="7:9">
      <c r="G10" s="5" t="s">
        <v>296</v>
      </c>
      <c r="H10" s="5">
        <v>1372</v>
      </c>
      <c r="I10" s="5" t="s">
        <v>293</v>
      </c>
    </row>
    <row r="11" spans="7:9">
      <c r="G11" s="5" t="s">
        <v>297</v>
      </c>
      <c r="H11" s="5">
        <v>583</v>
      </c>
      <c r="I11" s="5" t="s">
        <v>293</v>
      </c>
    </row>
    <row r="12" spans="7:9">
      <c r="G12" s="5" t="s">
        <v>298</v>
      </c>
      <c r="H12" s="5">
        <v>506</v>
      </c>
      <c r="I12" s="5" t="s">
        <v>293</v>
      </c>
    </row>
    <row r="13" spans="7:9">
      <c r="G13" s="5" t="s">
        <v>299</v>
      </c>
      <c r="H13" s="1">
        <f>SUM(H5:H12)</f>
        <v>19350</v>
      </c>
      <c r="I13" s="5" t="s">
        <v>293</v>
      </c>
    </row>
    <row r="14" spans="7:9">
      <c r="G14" s="5" t="s">
        <v>300</v>
      </c>
    </row>
    <row r="15" spans="7:9">
      <c r="G15" s="5" t="s">
        <v>301</v>
      </c>
    </row>
    <row r="16" spans="7:9">
      <c r="G16" s="5" t="s">
        <v>105</v>
      </c>
    </row>
    <row r="17" spans="7:7">
      <c r="G17" s="5" t="s">
        <v>246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topLeftCell="A34" zoomScale="205" zoomScaleNormal="205" workbookViewId="0"/>
  </sheetViews>
  <sheetFormatPr baseColWidth="10" defaultColWidth="12.5703125" defaultRowHeight="15" customHeight="1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baseColWidth="10" defaultColWidth="12.5703125" defaultRowHeight="15" customHeight="1"/>
  <cols>
    <col min="1" max="26" width="8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baseColWidth="10" defaultColWidth="12.5703125" defaultRowHeight="15" customHeight="1"/>
  <cols>
    <col min="1" max="26" width="8.5703125" customWidth="1"/>
  </cols>
  <sheetData>
    <row r="1" spans="1:6" ht="14.25" customHeight="1">
      <c r="A1" s="20"/>
      <c r="B1" s="21" t="s">
        <v>302</v>
      </c>
      <c r="C1" s="22"/>
      <c r="D1" s="22"/>
      <c r="E1" s="23"/>
    </row>
    <row r="2" spans="1:6" ht="14.25" customHeight="1">
      <c r="A2" s="24" t="s">
        <v>303</v>
      </c>
      <c r="B2" s="22" t="s">
        <v>304</v>
      </c>
      <c r="C2" s="22" t="s">
        <v>305</v>
      </c>
      <c r="D2" s="22" t="s">
        <v>306</v>
      </c>
      <c r="E2" s="23" t="s">
        <v>307</v>
      </c>
    </row>
    <row r="3" spans="1:6" ht="14.25" customHeight="1">
      <c r="A3" s="25">
        <v>2010</v>
      </c>
      <c r="B3" s="26">
        <v>1.1521990639345807</v>
      </c>
      <c r="C3" s="26">
        <v>1.2980993431206669</v>
      </c>
      <c r="D3" s="26">
        <v>5.9300966727710769</v>
      </c>
      <c r="E3" s="27">
        <v>2.9387420044491375</v>
      </c>
    </row>
    <row r="4" spans="1:6" ht="14.25" customHeight="1">
      <c r="A4" s="28">
        <v>2020</v>
      </c>
      <c r="B4" s="26">
        <v>1.1733340081814383</v>
      </c>
      <c r="C4" s="29">
        <v>1.2128951561143577</v>
      </c>
      <c r="D4" s="29">
        <v>5.4951269960925524</v>
      </c>
      <c r="E4" s="30">
        <v>2.5516510378022583</v>
      </c>
    </row>
    <row r="5" spans="1:6" ht="14.25" customHeight="1">
      <c r="A5" s="28">
        <v>2030</v>
      </c>
      <c r="B5" s="26">
        <v>1.091513105380393</v>
      </c>
      <c r="C5" s="26">
        <v>1.1336635859145239</v>
      </c>
      <c r="D5" s="26">
        <v>5.0939780910442032</v>
      </c>
      <c r="E5" s="27">
        <v>2.2170935357275154</v>
      </c>
    </row>
    <row r="6" spans="1:6" ht="14.25" customHeight="1">
      <c r="A6" s="28">
        <v>2040</v>
      </c>
      <c r="B6" s="26">
        <v>0.86733835108267987</v>
      </c>
      <c r="C6" s="26">
        <v>1.0599595821444254</v>
      </c>
      <c r="D6" s="26">
        <v>4.7238726902084123</v>
      </c>
      <c r="E6" s="27">
        <v>1.9277321471138102</v>
      </c>
    </row>
    <row r="7" spans="1:6" ht="14.25" customHeight="1">
      <c r="A7" s="31">
        <v>2050</v>
      </c>
      <c r="B7" s="32">
        <v>0.76719156972641978</v>
      </c>
      <c r="C7" s="32">
        <v>0.99137320471934332</v>
      </c>
      <c r="D7" s="32">
        <v>4.3822735897624234</v>
      </c>
      <c r="E7" s="33">
        <v>1.6772830920628847</v>
      </c>
    </row>
    <row r="8" spans="1:6" ht="14.25" customHeight="1"/>
    <row r="9" spans="1:6" ht="14.25" customHeight="1"/>
    <row r="10" spans="1:6" ht="14.25" customHeight="1">
      <c r="A10" s="2"/>
      <c r="B10" s="34" t="s">
        <v>308</v>
      </c>
      <c r="C10" s="35"/>
      <c r="D10" s="35"/>
      <c r="E10" s="35"/>
      <c r="F10" s="36"/>
    </row>
    <row r="11" spans="1:6" ht="14.25" customHeight="1">
      <c r="A11" s="37"/>
      <c r="B11" s="38" t="s">
        <v>306</v>
      </c>
      <c r="C11" s="38" t="s">
        <v>307</v>
      </c>
      <c r="D11" s="38" t="s">
        <v>309</v>
      </c>
      <c r="E11" s="38" t="s">
        <v>310</v>
      </c>
      <c r="F11" s="39" t="s">
        <v>304</v>
      </c>
    </row>
    <row r="12" spans="1:6" ht="14.25" customHeight="1">
      <c r="A12" s="40">
        <v>1900</v>
      </c>
      <c r="B12" s="26">
        <v>551.93505719150858</v>
      </c>
      <c r="C12" s="26">
        <v>517.24077822966285</v>
      </c>
      <c r="D12" s="26">
        <v>846.03648756248526</v>
      </c>
      <c r="E12" s="26">
        <v>1139.3510481801304</v>
      </c>
      <c r="F12" s="27"/>
    </row>
    <row r="13" spans="1:6" ht="14.25" customHeight="1">
      <c r="A13" s="40">
        <v>1910</v>
      </c>
      <c r="B13" s="26">
        <v>596.55697592956164</v>
      </c>
      <c r="C13" s="26">
        <v>597.43911099950731</v>
      </c>
      <c r="D13" s="26">
        <v>870.17352034686155</v>
      </c>
      <c r="E13" s="26">
        <v>1179.0230574348109</v>
      </c>
      <c r="F13" s="27"/>
    </row>
    <row r="14" spans="1:6" ht="14.25" customHeight="1">
      <c r="A14" s="40">
        <v>1920</v>
      </c>
      <c r="B14" s="26">
        <v>644.78641262814631</v>
      </c>
      <c r="C14" s="26">
        <v>690.07221853919214</v>
      </c>
      <c r="D14" s="26">
        <v>894.99917160124335</v>
      </c>
      <c r="E14" s="26">
        <v>1220.0764392882329</v>
      </c>
      <c r="F14" s="27"/>
    </row>
    <row r="15" spans="1:6" ht="14.25" customHeight="1">
      <c r="A15" s="40">
        <v>1930</v>
      </c>
      <c r="B15" s="26">
        <v>696.91502184187618</v>
      </c>
      <c r="C15" s="26">
        <v>797.06811628540186</v>
      </c>
      <c r="D15" s="26">
        <v>920.53308729460548</v>
      </c>
      <c r="E15" s="26">
        <v>1262.5592928987808</v>
      </c>
      <c r="F15" s="27"/>
    </row>
    <row r="16" spans="1:6" ht="14.25" customHeight="1">
      <c r="A16" s="40">
        <v>1940</v>
      </c>
      <c r="B16" s="26">
        <v>753.25803732307349</v>
      </c>
      <c r="C16" s="26">
        <v>920.65375902779772</v>
      </c>
      <c r="D16" s="26">
        <v>946.7954738864039</v>
      </c>
      <c r="E16" s="26">
        <v>1306.5213922293326</v>
      </c>
      <c r="F16" s="27"/>
    </row>
    <row r="17" spans="1:6" ht="14.25" customHeight="1">
      <c r="A17" s="40">
        <v>1950</v>
      </c>
      <c r="B17" s="26">
        <v>814.15617831315194</v>
      </c>
      <c r="C17" s="26">
        <v>1063.4013915424478</v>
      </c>
      <c r="D17" s="26">
        <v>973.80711431711006</v>
      </c>
      <c r="E17" s="26">
        <v>1352.0142443636694</v>
      </c>
      <c r="F17" s="27"/>
    </row>
    <row r="18" spans="1:6" ht="14.25" customHeight="1">
      <c r="A18" s="40">
        <v>1960</v>
      </c>
      <c r="B18" s="26">
        <v>879.9777099506465</v>
      </c>
      <c r="C18" s="26">
        <v>1228.2820859044266</v>
      </c>
      <c r="D18" s="26">
        <v>1001.5893844549506</v>
      </c>
      <c r="E18" s="26">
        <v>1399.0911498534474</v>
      </c>
      <c r="F18" s="27"/>
    </row>
    <row r="19" spans="1:6" ht="14.25" customHeight="1">
      <c r="A19" s="40">
        <v>1970</v>
      </c>
      <c r="B19" s="26">
        <v>951.12067025565068</v>
      </c>
      <c r="C19" s="26">
        <v>1418.7275797762643</v>
      </c>
      <c r="D19" s="26">
        <v>1030.1642700118657</v>
      </c>
      <c r="E19" s="26">
        <v>1447.8072651664449</v>
      </c>
      <c r="F19" s="27"/>
    </row>
    <row r="20" spans="1:6" ht="14.25" customHeight="1">
      <c r="A20" s="40">
        <v>1980</v>
      </c>
      <c r="B20" s="26">
        <v>1028.0152771577527</v>
      </c>
      <c r="C20" s="26">
        <v>1638.7017027409725</v>
      </c>
      <c r="D20" s="26">
        <v>1059.5543839420682</v>
      </c>
      <c r="E20" s="26">
        <v>1498.2196673092442</v>
      </c>
      <c r="F20" s="27"/>
    </row>
    <row r="21" spans="1:6" ht="14.25" customHeight="1">
      <c r="A21" s="40">
        <v>1990</v>
      </c>
      <c r="B21" s="26">
        <v>1111.1265301233236</v>
      </c>
      <c r="C21" s="26">
        <v>1892.7828773087253</v>
      </c>
      <c r="D21" s="26">
        <v>1089.7829843369777</v>
      </c>
      <c r="E21" s="26">
        <v>1550.3874207000674</v>
      </c>
      <c r="F21" s="27"/>
    </row>
    <row r="22" spans="1:6" ht="14.25" customHeight="1">
      <c r="A22" s="40">
        <v>2000</v>
      </c>
      <c r="B22" s="26">
        <v>1200.9570221148015</v>
      </c>
      <c r="C22" s="26">
        <v>2186.259411728578</v>
      </c>
      <c r="D22" s="26">
        <v>1120.8739928306916</v>
      </c>
      <c r="E22" s="26">
        <v>1604.3716463701078</v>
      </c>
      <c r="F22" s="27"/>
    </row>
    <row r="23" spans="1:6" ht="14.25" customHeight="1">
      <c r="A23" s="40">
        <v>2010</v>
      </c>
      <c r="B23" s="26">
        <v>1298.0499788865375</v>
      </c>
      <c r="C23" s="26">
        <v>2525.2395679782885</v>
      </c>
      <c r="D23" s="26">
        <v>1152.8520135305505</v>
      </c>
      <c r="E23" s="26">
        <v>1660.2355935744461</v>
      </c>
      <c r="F23" s="27">
        <v>166.475141784046</v>
      </c>
    </row>
    <row r="24" spans="1:6" ht="14.25" customHeight="1">
      <c r="A24" s="40">
        <v>2020</v>
      </c>
      <c r="B24" s="26">
        <v>1402.9925439965289</v>
      </c>
      <c r="C24" s="26">
        <v>2916.7786958279098</v>
      </c>
      <c r="D24" s="26">
        <v>1185.7423524877886</v>
      </c>
      <c r="E24" s="26">
        <v>1718.04471389644</v>
      </c>
      <c r="F24" s="27">
        <v>164.87905855335299</v>
      </c>
    </row>
    <row r="25" spans="1:6" ht="14.25" customHeight="1">
      <c r="A25" s="40">
        <v>2030</v>
      </c>
      <c r="B25" s="26">
        <v>1516.4193293992635</v>
      </c>
      <c r="C25" s="26">
        <v>3369.0260790768293</v>
      </c>
      <c r="D25" s="26">
        <v>1219.5710377236694</v>
      </c>
      <c r="E25" s="26">
        <v>1777.866737932424</v>
      </c>
      <c r="F25" s="27">
        <v>171.31825105448436</v>
      </c>
    </row>
    <row r="26" spans="1:6" ht="14.25" customHeight="1">
      <c r="A26" s="40">
        <v>2040</v>
      </c>
      <c r="B26" s="26">
        <v>1639.0162530909367</v>
      </c>
      <c r="C26" s="26">
        <v>3891.394550342487</v>
      </c>
      <c r="D26" s="26">
        <v>1254.36483982696</v>
      </c>
      <c r="E26" s="26">
        <v>1839.7717546465462</v>
      </c>
      <c r="F26" s="27">
        <v>193.51696603121351</v>
      </c>
    </row>
    <row r="27" spans="1:6" ht="14.25" customHeight="1">
      <c r="A27" s="41">
        <v>2050</v>
      </c>
      <c r="B27" s="32">
        <v>1771.5246870141611</v>
      </c>
      <c r="C27" s="32">
        <v>4494.7564046712969</v>
      </c>
      <c r="D27" s="32">
        <v>1290.1512931390412</v>
      </c>
      <c r="E27" s="32">
        <v>1903.8322934887403</v>
      </c>
      <c r="F27" s="33">
        <v>206.51897096087887</v>
      </c>
    </row>
    <row r="28" spans="1:6" ht="14.25" customHeight="1"/>
    <row r="29" spans="1:6" ht="14.25" customHeight="1">
      <c r="B29" s="1" t="s">
        <v>311</v>
      </c>
    </row>
    <row r="30" spans="1:6" ht="14.25" customHeight="1">
      <c r="A30" s="42"/>
      <c r="B30" s="43" t="s">
        <v>312</v>
      </c>
      <c r="C30" s="44" t="s">
        <v>313</v>
      </c>
      <c r="D30" s="45" t="s">
        <v>312</v>
      </c>
      <c r="E30" s="44" t="s">
        <v>313</v>
      </c>
    </row>
    <row r="31" spans="1:6" ht="14.25" customHeight="1">
      <c r="A31" s="46"/>
      <c r="B31" s="34" t="s">
        <v>97</v>
      </c>
      <c r="C31" s="36" t="s">
        <v>97</v>
      </c>
      <c r="D31" s="35" t="s">
        <v>74</v>
      </c>
      <c r="E31" s="36" t="s">
        <v>74</v>
      </c>
    </row>
    <row r="32" spans="1:6" ht="14.25" customHeight="1">
      <c r="A32" s="46"/>
      <c r="B32" s="47" t="s">
        <v>314</v>
      </c>
      <c r="C32" s="48" t="s">
        <v>314</v>
      </c>
      <c r="D32" s="49" t="s">
        <v>315</v>
      </c>
      <c r="E32" s="48" t="s">
        <v>315</v>
      </c>
    </row>
    <row r="33" spans="1:5" ht="14.25" customHeight="1">
      <c r="A33" s="40">
        <v>2010</v>
      </c>
      <c r="B33" s="50">
        <v>6.1</v>
      </c>
      <c r="C33" s="51">
        <v>6.1</v>
      </c>
      <c r="D33" s="52">
        <v>1100</v>
      </c>
      <c r="E33" s="51">
        <v>1100</v>
      </c>
    </row>
    <row r="34" spans="1:5" ht="14.25" customHeight="1">
      <c r="A34" s="40">
        <v>2015</v>
      </c>
      <c r="B34" s="53"/>
      <c r="C34" s="51">
        <v>5.6547000000000001</v>
      </c>
      <c r="E34" s="51">
        <v>1006.5</v>
      </c>
    </row>
    <row r="35" spans="1:5" ht="14.25" customHeight="1">
      <c r="A35" s="40">
        <v>2020</v>
      </c>
      <c r="B35" s="53"/>
      <c r="C35" s="51">
        <v>5.2419069</v>
      </c>
      <c r="E35" s="51">
        <v>920.9475000000001</v>
      </c>
    </row>
    <row r="36" spans="1:5" ht="14.25" customHeight="1">
      <c r="A36" s="40">
        <v>2025</v>
      </c>
      <c r="B36" s="53"/>
      <c r="C36" s="51">
        <v>4.8592476963000006</v>
      </c>
      <c r="E36" s="51">
        <v>842.66696250000007</v>
      </c>
    </row>
    <row r="37" spans="1:5" ht="14.25" customHeight="1">
      <c r="A37" s="40">
        <v>2030</v>
      </c>
      <c r="B37" s="50">
        <v>3.7</v>
      </c>
      <c r="C37" s="51">
        <v>4.5045226144701012</v>
      </c>
      <c r="D37" s="52">
        <v>660</v>
      </c>
      <c r="E37" s="51">
        <v>771.0402706875002</v>
      </c>
    </row>
    <row r="38" spans="1:5" ht="14.25" customHeight="1">
      <c r="A38" s="40">
        <v>2035</v>
      </c>
      <c r="B38" s="53"/>
      <c r="C38" s="51">
        <v>4.1756924636137835</v>
      </c>
      <c r="E38" s="51">
        <v>705.50184767906273</v>
      </c>
    </row>
    <row r="39" spans="1:5" ht="14.25" customHeight="1">
      <c r="A39" s="40">
        <v>2040</v>
      </c>
      <c r="B39" s="53"/>
      <c r="C39" s="51">
        <v>3.8708669137699787</v>
      </c>
      <c r="E39" s="51">
        <v>645.53419062634248</v>
      </c>
    </row>
    <row r="40" spans="1:5" ht="14.25" customHeight="1">
      <c r="A40" s="40">
        <v>2045</v>
      </c>
      <c r="B40" s="53"/>
      <c r="C40" s="51">
        <v>3.5882936290647702</v>
      </c>
      <c r="E40" s="51">
        <v>590.66378442310327</v>
      </c>
    </row>
    <row r="41" spans="1:5" ht="14.25" customHeight="1">
      <c r="A41" s="41">
        <v>2050</v>
      </c>
      <c r="B41" s="54">
        <v>3.6</v>
      </c>
      <c r="C41" s="55">
        <v>3.3263481941430424</v>
      </c>
      <c r="D41" s="56">
        <v>590</v>
      </c>
      <c r="E41" s="55">
        <v>540.45736274713965</v>
      </c>
    </row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baseColWidth="10" defaultColWidth="12.5703125" defaultRowHeight="15" customHeight="1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00"/>
  <sheetViews>
    <sheetView workbookViewId="0"/>
  </sheetViews>
  <sheetFormatPr baseColWidth="10" defaultColWidth="12.5703125" defaultRowHeight="15" customHeight="1"/>
  <cols>
    <col min="1" max="26" width="8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000"/>
  <sheetViews>
    <sheetView workbookViewId="0"/>
  </sheetViews>
  <sheetFormatPr baseColWidth="10" defaultColWidth="12.5703125" defaultRowHeight="15" customHeight="1"/>
  <cols>
    <col min="1" max="26" width="8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"/>
  <sheetViews>
    <sheetView workbookViewId="0"/>
  </sheetViews>
  <sheetFormatPr baseColWidth="10" defaultColWidth="12.5703125" defaultRowHeight="15" customHeight="1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00"/>
  <sheetViews>
    <sheetView workbookViewId="0">
      <selection activeCell="R7" sqref="R7"/>
    </sheetView>
  </sheetViews>
  <sheetFormatPr baseColWidth="10" defaultColWidth="12.5703125" defaultRowHeight="15" customHeight="1"/>
  <cols>
    <col min="1" max="1" width="15.140625" customWidth="1"/>
    <col min="2" max="2" width="11.85546875" bestFit="1" customWidth="1"/>
    <col min="3" max="3" width="22.42578125" bestFit="1" customWidth="1"/>
    <col min="4" max="4" width="14.28515625" bestFit="1" customWidth="1"/>
    <col min="5" max="5" width="12.42578125" bestFit="1" customWidth="1"/>
    <col min="6" max="6" width="15.140625" bestFit="1" customWidth="1"/>
    <col min="7" max="7" width="24.42578125" bestFit="1" customWidth="1"/>
    <col min="8" max="8" width="23.85546875" bestFit="1" customWidth="1"/>
    <col min="9" max="9" width="14.140625" bestFit="1" customWidth="1"/>
    <col min="10" max="10" width="9.28515625" bestFit="1" customWidth="1"/>
    <col min="11" max="11" width="28.140625" bestFit="1" customWidth="1"/>
    <col min="12" max="12" width="11.28515625" bestFit="1" customWidth="1"/>
    <col min="13" max="13" width="6.42578125" bestFit="1" customWidth="1"/>
    <col min="14" max="14" width="17.85546875" bestFit="1" customWidth="1"/>
    <col min="15" max="15" width="1.5703125" bestFit="1" customWidth="1"/>
    <col min="16" max="27" width="8.5703125" customWidth="1"/>
  </cols>
  <sheetData>
    <row r="1" spans="1:15" s="76" customFormat="1" ht="14.25" customHeight="1">
      <c r="A1" s="76" t="s">
        <v>882</v>
      </c>
      <c r="B1" s="76" t="s">
        <v>1033</v>
      </c>
      <c r="C1" s="76" t="s">
        <v>883</v>
      </c>
      <c r="D1" s="76" t="s">
        <v>884</v>
      </c>
      <c r="E1" s="76" t="s">
        <v>885</v>
      </c>
      <c r="F1" s="76" t="s">
        <v>886</v>
      </c>
      <c r="G1" s="76" t="s">
        <v>887</v>
      </c>
      <c r="H1" s="76" t="s">
        <v>888</v>
      </c>
      <c r="I1" s="76" t="s">
        <v>889</v>
      </c>
      <c r="J1" s="76" t="s">
        <v>890</v>
      </c>
      <c r="K1" s="76" t="s">
        <v>891</v>
      </c>
      <c r="L1" s="76" t="s">
        <v>892</v>
      </c>
      <c r="M1" s="76" t="s">
        <v>893</v>
      </c>
      <c r="N1" s="76" t="s">
        <v>894</v>
      </c>
    </row>
    <row r="2" spans="1:15" ht="14.25" customHeight="1">
      <c r="A2" t="s">
        <v>895</v>
      </c>
      <c r="B2" s="100" t="s">
        <v>234</v>
      </c>
      <c r="C2" t="s">
        <v>896</v>
      </c>
      <c r="D2" t="s">
        <v>593</v>
      </c>
      <c r="E2" t="s">
        <v>897</v>
      </c>
      <c r="F2" t="s">
        <v>898</v>
      </c>
      <c r="G2" t="s">
        <v>899</v>
      </c>
      <c r="H2">
        <v>199</v>
      </c>
      <c r="I2">
        <v>141</v>
      </c>
      <c r="J2">
        <v>18</v>
      </c>
      <c r="K2">
        <v>2.5</v>
      </c>
      <c r="L2">
        <v>1.9</v>
      </c>
      <c r="M2">
        <v>18</v>
      </c>
      <c r="N2" t="s">
        <v>900</v>
      </c>
    </row>
    <row r="3" spans="1:15" ht="14.25" customHeight="1">
      <c r="A3" t="s">
        <v>901</v>
      </c>
      <c r="B3" s="100" t="s">
        <v>234</v>
      </c>
      <c r="C3" t="s">
        <v>896</v>
      </c>
      <c r="D3" t="s">
        <v>593</v>
      </c>
      <c r="E3" t="s">
        <v>897</v>
      </c>
      <c r="F3" t="s">
        <v>898</v>
      </c>
      <c r="G3" t="s">
        <v>902</v>
      </c>
      <c r="H3">
        <v>43</v>
      </c>
      <c r="I3">
        <v>14</v>
      </c>
      <c r="J3">
        <v>14</v>
      </c>
      <c r="K3">
        <v>0.6</v>
      </c>
      <c r="L3">
        <v>0.4</v>
      </c>
      <c r="M3">
        <v>5</v>
      </c>
      <c r="N3" t="s">
        <v>903</v>
      </c>
    </row>
    <row r="4" spans="1:15" ht="14.25" customHeight="1">
      <c r="A4" t="s">
        <v>904</v>
      </c>
      <c r="B4" s="100" t="s">
        <v>234</v>
      </c>
      <c r="C4" t="s">
        <v>896</v>
      </c>
      <c r="D4" t="s">
        <v>593</v>
      </c>
      <c r="E4" t="s">
        <v>897</v>
      </c>
      <c r="F4" t="s">
        <v>898</v>
      </c>
      <c r="G4" t="s">
        <v>905</v>
      </c>
      <c r="H4">
        <v>31</v>
      </c>
      <c r="I4">
        <v>6</v>
      </c>
      <c r="J4">
        <v>14</v>
      </c>
      <c r="K4">
        <v>1.5</v>
      </c>
      <c r="L4">
        <v>0.6</v>
      </c>
      <c r="M4">
        <v>6</v>
      </c>
      <c r="N4" t="s">
        <v>903</v>
      </c>
    </row>
    <row r="5" spans="1:15" ht="14.25" customHeight="1">
      <c r="A5" t="s">
        <v>906</v>
      </c>
      <c r="B5" s="100" t="s">
        <v>234</v>
      </c>
      <c r="C5" t="s">
        <v>896</v>
      </c>
      <c r="D5" t="s">
        <v>593</v>
      </c>
      <c r="E5" t="s">
        <v>907</v>
      </c>
      <c r="F5" t="s">
        <v>898</v>
      </c>
      <c r="G5" t="s">
        <v>908</v>
      </c>
      <c r="H5">
        <v>80</v>
      </c>
      <c r="J5">
        <v>1</v>
      </c>
      <c r="M5" t="s">
        <v>56</v>
      </c>
      <c r="N5" t="s">
        <v>909</v>
      </c>
    </row>
    <row r="6" spans="1:15" ht="14.25" customHeight="1">
      <c r="A6" t="s">
        <v>910</v>
      </c>
      <c r="B6" s="100" t="s">
        <v>234</v>
      </c>
      <c r="C6" t="s">
        <v>911</v>
      </c>
      <c r="D6" t="s">
        <v>912</v>
      </c>
      <c r="E6" t="s">
        <v>913</v>
      </c>
      <c r="F6" t="s">
        <v>914</v>
      </c>
      <c r="G6" t="s">
        <v>915</v>
      </c>
      <c r="H6">
        <v>53</v>
      </c>
      <c r="I6">
        <v>4</v>
      </c>
      <c r="J6">
        <v>6</v>
      </c>
      <c r="M6" t="s">
        <v>56</v>
      </c>
      <c r="N6" t="s">
        <v>916</v>
      </c>
    </row>
    <row r="7" spans="1:15" ht="14.25" customHeight="1">
      <c r="A7" t="s">
        <v>917</v>
      </c>
      <c r="B7" s="100" t="s">
        <v>234</v>
      </c>
      <c r="C7" t="s">
        <v>918</v>
      </c>
      <c r="D7" t="s">
        <v>912</v>
      </c>
      <c r="E7" t="s">
        <v>913</v>
      </c>
      <c r="F7" t="s">
        <v>919</v>
      </c>
      <c r="G7" t="s">
        <v>920</v>
      </c>
      <c r="H7">
        <v>49</v>
      </c>
      <c r="I7">
        <v>7</v>
      </c>
      <c r="J7">
        <v>6</v>
      </c>
      <c r="M7" t="s">
        <v>56</v>
      </c>
      <c r="N7" t="s">
        <v>921</v>
      </c>
    </row>
    <row r="8" spans="1:15" ht="14.25" customHeight="1">
      <c r="A8" t="s">
        <v>922</v>
      </c>
      <c r="B8" s="100" t="s">
        <v>234</v>
      </c>
      <c r="C8" t="s">
        <v>918</v>
      </c>
      <c r="D8" t="s">
        <v>923</v>
      </c>
      <c r="E8" t="s">
        <v>907</v>
      </c>
      <c r="F8" t="s">
        <v>924</v>
      </c>
      <c r="G8" t="s">
        <v>925</v>
      </c>
      <c r="H8">
        <v>81</v>
      </c>
      <c r="I8">
        <v>34</v>
      </c>
      <c r="J8">
        <v>6</v>
      </c>
      <c r="K8">
        <v>1.1000000000000001</v>
      </c>
      <c r="M8">
        <v>1</v>
      </c>
      <c r="N8" t="s">
        <v>926</v>
      </c>
    </row>
    <row r="9" spans="1:15" ht="14.25" customHeight="1">
      <c r="A9" t="s">
        <v>927</v>
      </c>
      <c r="B9" s="100" t="s">
        <v>234</v>
      </c>
      <c r="C9" t="s">
        <v>928</v>
      </c>
      <c r="D9" t="s">
        <v>912</v>
      </c>
      <c r="E9" t="s">
        <v>897</v>
      </c>
      <c r="F9" t="s">
        <v>919</v>
      </c>
      <c r="G9" t="s">
        <v>929</v>
      </c>
      <c r="N9" t="s">
        <v>56</v>
      </c>
      <c r="O9" t="s">
        <v>56</v>
      </c>
    </row>
    <row r="10" spans="1:15" ht="14.25" customHeight="1">
      <c r="A10" t="s">
        <v>930</v>
      </c>
      <c r="B10" s="100" t="s">
        <v>234</v>
      </c>
      <c r="C10" t="s">
        <v>931</v>
      </c>
      <c r="D10" t="s">
        <v>923</v>
      </c>
      <c r="E10" t="s">
        <v>913</v>
      </c>
      <c r="F10" t="s">
        <v>919</v>
      </c>
      <c r="G10" t="s">
        <v>932</v>
      </c>
      <c r="H10">
        <v>64</v>
      </c>
      <c r="I10">
        <v>25</v>
      </c>
      <c r="J10">
        <v>6</v>
      </c>
      <c r="K10">
        <v>0.5</v>
      </c>
      <c r="L10">
        <v>0.2</v>
      </c>
      <c r="M10">
        <v>6</v>
      </c>
      <c r="N10" t="s">
        <v>933</v>
      </c>
    </row>
    <row r="11" spans="1:15" ht="14.25" customHeight="1">
      <c r="A11" t="s">
        <v>934</v>
      </c>
      <c r="B11" s="100" t="s">
        <v>234</v>
      </c>
      <c r="C11" t="s">
        <v>935</v>
      </c>
      <c r="D11" t="s">
        <v>936</v>
      </c>
      <c r="E11" t="s">
        <v>907</v>
      </c>
      <c r="F11" t="s">
        <v>937</v>
      </c>
      <c r="G11" t="s">
        <v>938</v>
      </c>
      <c r="H11">
        <v>107</v>
      </c>
      <c r="I11">
        <v>23</v>
      </c>
      <c r="J11">
        <v>17</v>
      </c>
      <c r="K11">
        <v>2.8</v>
      </c>
      <c r="L11">
        <v>0.6</v>
      </c>
      <c r="M11">
        <v>17</v>
      </c>
      <c r="N11" t="s">
        <v>939</v>
      </c>
    </row>
    <row r="12" spans="1:15" ht="14.25" customHeight="1">
      <c r="A12" t="s">
        <v>940</v>
      </c>
      <c r="B12" s="100" t="s">
        <v>234</v>
      </c>
      <c r="C12" t="s">
        <v>911</v>
      </c>
      <c r="D12" t="s">
        <v>912</v>
      </c>
      <c r="E12" t="s">
        <v>897</v>
      </c>
      <c r="F12" t="s">
        <v>919</v>
      </c>
      <c r="G12" t="s">
        <v>941</v>
      </c>
      <c r="H12">
        <v>124</v>
      </c>
      <c r="I12">
        <v>13</v>
      </c>
      <c r="J12" t="s">
        <v>56</v>
      </c>
      <c r="M12" t="s">
        <v>56</v>
      </c>
      <c r="N12" t="s">
        <v>942</v>
      </c>
    </row>
    <row r="13" spans="1:15" ht="14.25" customHeight="1">
      <c r="A13" t="s">
        <v>943</v>
      </c>
      <c r="B13" s="100" t="s">
        <v>234</v>
      </c>
      <c r="C13" t="s">
        <v>935</v>
      </c>
      <c r="D13" t="s">
        <v>944</v>
      </c>
      <c r="E13" t="s">
        <v>907</v>
      </c>
      <c r="F13" t="s">
        <v>919</v>
      </c>
      <c r="G13" t="s">
        <v>945</v>
      </c>
      <c r="N13" t="s">
        <v>56</v>
      </c>
      <c r="O13" t="s">
        <v>56</v>
      </c>
    </row>
    <row r="14" spans="1:15" ht="14.25" customHeight="1">
      <c r="A14" t="s">
        <v>946</v>
      </c>
      <c r="B14" s="100" t="s">
        <v>234</v>
      </c>
      <c r="C14" t="s">
        <v>918</v>
      </c>
      <c r="D14" t="s">
        <v>947</v>
      </c>
      <c r="E14" t="s">
        <v>897</v>
      </c>
      <c r="F14" t="s">
        <v>919</v>
      </c>
      <c r="G14" t="s">
        <v>948</v>
      </c>
      <c r="H14">
        <v>60</v>
      </c>
      <c r="I14">
        <v>5</v>
      </c>
      <c r="J14">
        <v>5</v>
      </c>
      <c r="M14" t="s">
        <v>56</v>
      </c>
      <c r="N14" t="s">
        <v>949</v>
      </c>
    </row>
    <row r="15" spans="1:15" ht="14.25" customHeight="1">
      <c r="A15" t="s">
        <v>950</v>
      </c>
      <c r="B15" s="100" t="s">
        <v>234</v>
      </c>
      <c r="C15" t="s">
        <v>951</v>
      </c>
      <c r="D15" t="s">
        <v>947</v>
      </c>
      <c r="E15" t="s">
        <v>913</v>
      </c>
      <c r="F15" t="s">
        <v>919</v>
      </c>
      <c r="G15" t="s">
        <v>952</v>
      </c>
      <c r="H15">
        <v>120</v>
      </c>
      <c r="I15">
        <v>35</v>
      </c>
      <c r="J15">
        <v>7</v>
      </c>
      <c r="M15" t="s">
        <v>56</v>
      </c>
      <c r="N15" t="s">
        <v>933</v>
      </c>
    </row>
    <row r="16" spans="1:15" ht="14.25" customHeight="1">
      <c r="A16" t="s">
        <v>953</v>
      </c>
      <c r="B16" s="100" t="s">
        <v>234</v>
      </c>
      <c r="C16" t="s">
        <v>951</v>
      </c>
      <c r="D16" t="s">
        <v>954</v>
      </c>
      <c r="E16" t="s">
        <v>907</v>
      </c>
      <c r="F16" t="s">
        <v>919</v>
      </c>
      <c r="G16" t="s">
        <v>955</v>
      </c>
      <c r="H16">
        <v>55</v>
      </c>
      <c r="I16">
        <v>7</v>
      </c>
      <c r="J16">
        <v>7</v>
      </c>
      <c r="M16" t="s">
        <v>56</v>
      </c>
      <c r="N16" t="s">
        <v>933</v>
      </c>
    </row>
    <row r="17" spans="1:14" ht="14.25" customHeight="1">
      <c r="A17" t="s">
        <v>956</v>
      </c>
      <c r="B17" s="100" t="s">
        <v>234</v>
      </c>
      <c r="C17" t="s">
        <v>951</v>
      </c>
      <c r="D17" t="s">
        <v>957</v>
      </c>
      <c r="E17" t="s">
        <v>907</v>
      </c>
      <c r="F17" t="s">
        <v>919</v>
      </c>
      <c r="G17" t="s">
        <v>958</v>
      </c>
      <c r="H17">
        <v>62</v>
      </c>
      <c r="I17">
        <v>12</v>
      </c>
      <c r="J17">
        <v>7</v>
      </c>
      <c r="M17" t="s">
        <v>56</v>
      </c>
      <c r="N17" t="s">
        <v>933</v>
      </c>
    </row>
    <row r="18" spans="1:14" ht="14.25" customHeight="1">
      <c r="A18" t="s">
        <v>959</v>
      </c>
      <c r="B18" s="100" t="s">
        <v>1034</v>
      </c>
      <c r="C18" t="s">
        <v>960</v>
      </c>
      <c r="D18" t="s">
        <v>594</v>
      </c>
      <c r="E18" t="s">
        <v>913</v>
      </c>
      <c r="F18" t="s">
        <v>961</v>
      </c>
      <c r="G18" t="s">
        <v>962</v>
      </c>
      <c r="H18">
        <v>15</v>
      </c>
      <c r="I18">
        <v>3</v>
      </c>
      <c r="J18">
        <v>10</v>
      </c>
      <c r="M18" t="s">
        <v>56</v>
      </c>
      <c r="N18" t="s">
        <v>963</v>
      </c>
    </row>
    <row r="19" spans="1:14" ht="14.25" customHeight="1">
      <c r="A19" t="s">
        <v>964</v>
      </c>
      <c r="B19" s="100" t="s">
        <v>1034</v>
      </c>
      <c r="C19" t="s">
        <v>960</v>
      </c>
      <c r="D19" t="s">
        <v>594</v>
      </c>
      <c r="E19" t="s">
        <v>897</v>
      </c>
      <c r="F19" t="s">
        <v>898</v>
      </c>
      <c r="G19" t="s">
        <v>965</v>
      </c>
      <c r="H19">
        <v>28</v>
      </c>
      <c r="I19">
        <v>7</v>
      </c>
      <c r="J19">
        <v>11</v>
      </c>
      <c r="K19">
        <v>0.4</v>
      </c>
      <c r="L19">
        <v>0.2</v>
      </c>
      <c r="M19">
        <v>4</v>
      </c>
      <c r="N19" t="s">
        <v>963</v>
      </c>
    </row>
    <row r="20" spans="1:14" ht="14.25" customHeight="1">
      <c r="A20" t="s">
        <v>966</v>
      </c>
      <c r="B20" s="100" t="s">
        <v>1034</v>
      </c>
      <c r="C20" t="s">
        <v>960</v>
      </c>
      <c r="D20" t="s">
        <v>594</v>
      </c>
      <c r="E20" t="s">
        <v>913</v>
      </c>
      <c r="F20" t="s">
        <v>967</v>
      </c>
      <c r="G20" t="s">
        <v>968</v>
      </c>
      <c r="H20">
        <v>12</v>
      </c>
      <c r="I20">
        <v>2</v>
      </c>
      <c r="J20">
        <v>11</v>
      </c>
      <c r="K20">
        <v>0.7</v>
      </c>
      <c r="L20">
        <v>0.8</v>
      </c>
      <c r="M20">
        <v>4</v>
      </c>
      <c r="N20" t="s">
        <v>963</v>
      </c>
    </row>
    <row r="21" spans="1:14" ht="14.25" customHeight="1">
      <c r="A21" t="s">
        <v>969</v>
      </c>
      <c r="B21" s="100" t="s">
        <v>1034</v>
      </c>
      <c r="C21" t="s">
        <v>970</v>
      </c>
      <c r="D21" t="s">
        <v>594</v>
      </c>
      <c r="E21" t="s">
        <v>913</v>
      </c>
      <c r="F21" t="s">
        <v>898</v>
      </c>
      <c r="G21" t="s">
        <v>971</v>
      </c>
      <c r="H21">
        <v>31</v>
      </c>
      <c r="I21">
        <v>7</v>
      </c>
      <c r="J21">
        <v>7</v>
      </c>
      <c r="K21">
        <v>0.3</v>
      </c>
      <c r="L21">
        <v>0.1</v>
      </c>
      <c r="M21">
        <v>5</v>
      </c>
      <c r="N21" t="s">
        <v>972</v>
      </c>
    </row>
    <row r="22" spans="1:14" ht="14.25" customHeight="1">
      <c r="A22" t="s">
        <v>973</v>
      </c>
      <c r="B22" s="100" t="s">
        <v>1034</v>
      </c>
      <c r="C22" t="s">
        <v>970</v>
      </c>
      <c r="D22" t="s">
        <v>594</v>
      </c>
      <c r="E22" t="s">
        <v>897</v>
      </c>
      <c r="F22" t="s">
        <v>898</v>
      </c>
      <c r="G22" t="s">
        <v>974</v>
      </c>
      <c r="H22">
        <v>34</v>
      </c>
      <c r="I22">
        <v>2</v>
      </c>
      <c r="J22">
        <v>5</v>
      </c>
      <c r="K22">
        <v>0.5</v>
      </c>
      <c r="L22">
        <v>0.2</v>
      </c>
      <c r="M22">
        <v>4</v>
      </c>
      <c r="N22" t="s">
        <v>972</v>
      </c>
    </row>
    <row r="23" spans="1:14" ht="14.25" customHeight="1">
      <c r="A23" t="s">
        <v>975</v>
      </c>
      <c r="B23" s="100" t="s">
        <v>1034</v>
      </c>
      <c r="C23" t="s">
        <v>935</v>
      </c>
      <c r="D23" t="s">
        <v>594</v>
      </c>
      <c r="E23" t="s">
        <v>913</v>
      </c>
      <c r="F23" t="s">
        <v>898</v>
      </c>
      <c r="G23" t="s">
        <v>976</v>
      </c>
      <c r="H23">
        <v>31</v>
      </c>
      <c r="I23">
        <v>13</v>
      </c>
      <c r="J23">
        <v>12</v>
      </c>
      <c r="K23">
        <v>0.7</v>
      </c>
      <c r="L23">
        <v>0.3</v>
      </c>
      <c r="M23">
        <v>12</v>
      </c>
      <c r="N23" t="s">
        <v>977</v>
      </c>
    </row>
    <row r="24" spans="1:14" ht="14.25" customHeight="1">
      <c r="A24" t="s">
        <v>978</v>
      </c>
      <c r="B24" s="100" t="s">
        <v>1034</v>
      </c>
      <c r="C24" t="s">
        <v>979</v>
      </c>
      <c r="D24" t="s">
        <v>594</v>
      </c>
      <c r="E24" t="s">
        <v>913</v>
      </c>
      <c r="F24" t="s">
        <v>898</v>
      </c>
      <c r="G24" t="s">
        <v>980</v>
      </c>
      <c r="H24">
        <v>13</v>
      </c>
      <c r="I24">
        <v>1</v>
      </c>
      <c r="J24">
        <v>3</v>
      </c>
      <c r="K24">
        <v>1.5</v>
      </c>
      <c r="M24">
        <v>1</v>
      </c>
      <c r="N24" t="s">
        <v>981</v>
      </c>
    </row>
    <row r="25" spans="1:14" ht="14.25" customHeight="1">
      <c r="A25" t="s">
        <v>982</v>
      </c>
      <c r="B25" s="100" t="s">
        <v>1034</v>
      </c>
      <c r="C25" t="s">
        <v>983</v>
      </c>
      <c r="D25" t="s">
        <v>984</v>
      </c>
      <c r="E25" t="s">
        <v>913</v>
      </c>
      <c r="F25" t="s">
        <v>898</v>
      </c>
      <c r="G25" t="s">
        <v>985</v>
      </c>
      <c r="H25">
        <v>20</v>
      </c>
      <c r="I25">
        <v>1</v>
      </c>
      <c r="J25">
        <v>10</v>
      </c>
      <c r="K25">
        <v>1.4</v>
      </c>
      <c r="L25">
        <v>1.1000000000000001</v>
      </c>
      <c r="M25">
        <v>10</v>
      </c>
      <c r="N25" t="s">
        <v>963</v>
      </c>
    </row>
    <row r="26" spans="1:14" ht="14.25" customHeight="1">
      <c r="A26" t="s">
        <v>986</v>
      </c>
      <c r="B26" s="100" t="s">
        <v>1034</v>
      </c>
      <c r="C26" t="s">
        <v>970</v>
      </c>
      <c r="D26" t="s">
        <v>984</v>
      </c>
      <c r="E26" t="s">
        <v>913</v>
      </c>
      <c r="F26" t="s">
        <v>898</v>
      </c>
      <c r="G26" t="s">
        <v>987</v>
      </c>
      <c r="H26">
        <v>27</v>
      </c>
      <c r="I26">
        <v>10</v>
      </c>
      <c r="J26">
        <v>8</v>
      </c>
      <c r="K26">
        <v>0.4</v>
      </c>
      <c r="L26">
        <v>0.1</v>
      </c>
      <c r="M26">
        <v>8</v>
      </c>
      <c r="N26" t="s">
        <v>972</v>
      </c>
    </row>
    <row r="27" spans="1:14" ht="14.25" customHeight="1">
      <c r="A27" t="s">
        <v>988</v>
      </c>
      <c r="B27" s="100" t="s">
        <v>1034</v>
      </c>
      <c r="C27" t="s">
        <v>979</v>
      </c>
      <c r="D27" t="s">
        <v>984</v>
      </c>
      <c r="E27" t="s">
        <v>913</v>
      </c>
      <c r="F27" t="s">
        <v>961</v>
      </c>
      <c r="G27" t="s">
        <v>989</v>
      </c>
      <c r="H27">
        <v>46</v>
      </c>
      <c r="I27">
        <v>1</v>
      </c>
      <c r="J27">
        <v>3</v>
      </c>
      <c r="K27">
        <v>1.2</v>
      </c>
      <c r="L27">
        <v>0.2</v>
      </c>
      <c r="M27">
        <v>2</v>
      </c>
      <c r="N27" t="s">
        <v>990</v>
      </c>
    </row>
    <row r="28" spans="1:14" ht="14.25" customHeight="1">
      <c r="A28" t="s">
        <v>991</v>
      </c>
      <c r="B28" s="100" t="s">
        <v>1034</v>
      </c>
      <c r="C28" t="s">
        <v>960</v>
      </c>
      <c r="D28" t="s">
        <v>984</v>
      </c>
      <c r="E28" t="s">
        <v>913</v>
      </c>
      <c r="F28" t="s">
        <v>961</v>
      </c>
      <c r="G28" t="s">
        <v>992</v>
      </c>
      <c r="H28">
        <v>20</v>
      </c>
      <c r="I28">
        <v>8</v>
      </c>
      <c r="J28">
        <v>11</v>
      </c>
      <c r="K28">
        <v>0.9</v>
      </c>
      <c r="L28">
        <v>0.6</v>
      </c>
      <c r="M28">
        <v>7</v>
      </c>
      <c r="N28" t="s">
        <v>963</v>
      </c>
    </row>
    <row r="29" spans="1:14" ht="14.25" customHeight="1">
      <c r="A29" t="s">
        <v>993</v>
      </c>
      <c r="B29" s="100" t="s">
        <v>1034</v>
      </c>
      <c r="C29" t="s">
        <v>979</v>
      </c>
      <c r="D29" t="s">
        <v>994</v>
      </c>
      <c r="E29" t="s">
        <v>897</v>
      </c>
      <c r="F29" t="s">
        <v>919</v>
      </c>
      <c r="G29" t="s">
        <v>995</v>
      </c>
      <c r="H29">
        <v>25</v>
      </c>
      <c r="I29">
        <v>3</v>
      </c>
      <c r="J29">
        <v>12</v>
      </c>
      <c r="K29">
        <v>1.9</v>
      </c>
      <c r="L29">
        <v>2.2000000000000002</v>
      </c>
      <c r="M29">
        <v>9</v>
      </c>
      <c r="N29" t="s">
        <v>996</v>
      </c>
    </row>
    <row r="30" spans="1:14" ht="14.25" customHeight="1">
      <c r="A30" t="s">
        <v>997</v>
      </c>
      <c r="B30" s="100" t="s">
        <v>1034</v>
      </c>
      <c r="C30" t="s">
        <v>979</v>
      </c>
      <c r="D30" t="s">
        <v>998</v>
      </c>
      <c r="E30" t="s">
        <v>897</v>
      </c>
      <c r="F30" t="s">
        <v>999</v>
      </c>
      <c r="G30" t="s">
        <v>1000</v>
      </c>
      <c r="H30">
        <v>34</v>
      </c>
      <c r="I30">
        <v>6</v>
      </c>
      <c r="J30">
        <v>12</v>
      </c>
      <c r="K30">
        <v>0.8</v>
      </c>
      <c r="L30">
        <v>0.3</v>
      </c>
      <c r="M30">
        <v>9</v>
      </c>
      <c r="N30" t="s">
        <v>1001</v>
      </c>
    </row>
    <row r="31" spans="1:14" ht="14.25" customHeight="1">
      <c r="A31" t="s">
        <v>1002</v>
      </c>
      <c r="B31" s="100" t="s">
        <v>1034</v>
      </c>
      <c r="C31" t="s">
        <v>979</v>
      </c>
      <c r="D31" t="s">
        <v>998</v>
      </c>
      <c r="E31" t="s">
        <v>907</v>
      </c>
      <c r="F31" t="s">
        <v>924</v>
      </c>
      <c r="G31" t="s">
        <v>1003</v>
      </c>
      <c r="H31">
        <v>39</v>
      </c>
      <c r="I31">
        <v>4</v>
      </c>
      <c r="J31">
        <v>12</v>
      </c>
      <c r="M31" t="s">
        <v>56</v>
      </c>
      <c r="N31" t="s">
        <v>1001</v>
      </c>
    </row>
    <row r="32" spans="1:14" ht="14.25" customHeight="1">
      <c r="A32" t="s">
        <v>1004</v>
      </c>
      <c r="B32" s="100" t="s">
        <v>1035</v>
      </c>
      <c r="C32" t="s">
        <v>951</v>
      </c>
      <c r="D32" t="s">
        <v>912</v>
      </c>
      <c r="E32" t="s">
        <v>913</v>
      </c>
      <c r="F32" t="s">
        <v>967</v>
      </c>
      <c r="G32" t="s">
        <v>1005</v>
      </c>
      <c r="H32">
        <v>100</v>
      </c>
      <c r="I32">
        <v>40</v>
      </c>
      <c r="J32">
        <v>7</v>
      </c>
      <c r="K32">
        <v>2.2999999999999998</v>
      </c>
      <c r="L32">
        <v>0.8</v>
      </c>
      <c r="M32">
        <v>4</v>
      </c>
      <c r="N32" t="s">
        <v>1006</v>
      </c>
    </row>
    <row r="33" spans="1:14" ht="14.25" customHeight="1">
      <c r="A33" t="s">
        <v>1007</v>
      </c>
      <c r="B33" s="100" t="s">
        <v>1036</v>
      </c>
      <c r="C33" t="s">
        <v>1008</v>
      </c>
      <c r="D33" t="s">
        <v>1009</v>
      </c>
      <c r="E33" t="s">
        <v>907</v>
      </c>
      <c r="F33" t="s">
        <v>919</v>
      </c>
      <c r="G33" t="s">
        <v>1010</v>
      </c>
      <c r="H33">
        <v>53</v>
      </c>
      <c r="I33">
        <v>3</v>
      </c>
      <c r="J33">
        <v>2</v>
      </c>
      <c r="M33" t="s">
        <v>56</v>
      </c>
      <c r="N33" t="s">
        <v>1011</v>
      </c>
    </row>
    <row r="34" spans="1:14" ht="14.25" customHeight="1">
      <c r="A34" t="s">
        <v>1012</v>
      </c>
      <c r="B34" s="100" t="s">
        <v>1036</v>
      </c>
      <c r="C34" t="s">
        <v>1008</v>
      </c>
      <c r="D34" t="s">
        <v>1009</v>
      </c>
      <c r="E34" t="s">
        <v>907</v>
      </c>
      <c r="F34" t="s">
        <v>919</v>
      </c>
      <c r="G34" t="s">
        <v>1013</v>
      </c>
      <c r="H34">
        <v>29</v>
      </c>
      <c r="I34">
        <v>4</v>
      </c>
      <c r="J34">
        <v>2</v>
      </c>
      <c r="M34" t="s">
        <v>56</v>
      </c>
      <c r="N34" t="s">
        <v>1011</v>
      </c>
    </row>
    <row r="35" spans="1:14" ht="14.25" customHeight="1">
      <c r="A35" t="s">
        <v>1014</v>
      </c>
      <c r="B35" s="100" t="s">
        <v>1036</v>
      </c>
      <c r="C35" t="s">
        <v>1015</v>
      </c>
      <c r="D35" t="s">
        <v>1016</v>
      </c>
      <c r="E35" t="s">
        <v>913</v>
      </c>
      <c r="F35" t="s">
        <v>898</v>
      </c>
      <c r="G35" t="s">
        <v>1017</v>
      </c>
      <c r="J35">
        <v>1</v>
      </c>
      <c r="M35" t="s">
        <v>56</v>
      </c>
      <c r="N35" t="s">
        <v>56</v>
      </c>
    </row>
    <row r="36" spans="1:14" ht="14.25" customHeight="1">
      <c r="A36" t="s">
        <v>1018</v>
      </c>
      <c r="B36" s="100" t="s">
        <v>1039</v>
      </c>
      <c r="C36" t="s">
        <v>1019</v>
      </c>
      <c r="D36" t="s">
        <v>1020</v>
      </c>
      <c r="E36" t="s">
        <v>907</v>
      </c>
      <c r="F36" t="s">
        <v>919</v>
      </c>
      <c r="G36" t="s">
        <v>1021</v>
      </c>
      <c r="H36">
        <v>71</v>
      </c>
      <c r="I36">
        <v>6</v>
      </c>
      <c r="J36">
        <v>7</v>
      </c>
      <c r="K36">
        <v>0.6</v>
      </c>
      <c r="L36">
        <v>0.1</v>
      </c>
      <c r="M36">
        <v>6</v>
      </c>
      <c r="N36" t="s">
        <v>972</v>
      </c>
    </row>
    <row r="37" spans="1:14" ht="14.25" customHeight="1">
      <c r="A37" t="s">
        <v>1022</v>
      </c>
      <c r="B37" s="100" t="s">
        <v>1040</v>
      </c>
      <c r="C37" t="s">
        <v>1019</v>
      </c>
      <c r="D37" t="s">
        <v>1023</v>
      </c>
      <c r="E37" t="s">
        <v>913</v>
      </c>
      <c r="F37" t="s">
        <v>919</v>
      </c>
      <c r="G37" t="s">
        <v>1024</v>
      </c>
      <c r="H37">
        <v>44</v>
      </c>
      <c r="I37">
        <v>12</v>
      </c>
      <c r="J37">
        <v>7</v>
      </c>
      <c r="K37">
        <v>0.5</v>
      </c>
      <c r="L37">
        <v>0.1</v>
      </c>
      <c r="M37">
        <v>5</v>
      </c>
      <c r="N37" t="s">
        <v>972</v>
      </c>
    </row>
    <row r="38" spans="1:14" ht="14.25" customHeight="1">
      <c r="A38" t="s">
        <v>1025</v>
      </c>
      <c r="B38" s="100" t="s">
        <v>1038</v>
      </c>
      <c r="C38" t="s">
        <v>1019</v>
      </c>
      <c r="D38" t="s">
        <v>1026</v>
      </c>
      <c r="E38" t="s">
        <v>907</v>
      </c>
      <c r="F38" t="s">
        <v>919</v>
      </c>
      <c r="G38" t="s">
        <v>1027</v>
      </c>
      <c r="H38">
        <v>75</v>
      </c>
      <c r="I38">
        <v>7</v>
      </c>
      <c r="J38">
        <v>6</v>
      </c>
      <c r="K38">
        <v>1</v>
      </c>
      <c r="L38">
        <v>1</v>
      </c>
      <c r="M38">
        <v>6</v>
      </c>
      <c r="N38" t="s">
        <v>972</v>
      </c>
    </row>
    <row r="39" spans="1:14" ht="14.25" customHeight="1">
      <c r="A39" t="s">
        <v>1028</v>
      </c>
      <c r="B39" s="100" t="s">
        <v>1037</v>
      </c>
      <c r="C39" t="s">
        <v>1029</v>
      </c>
      <c r="D39" t="s">
        <v>912</v>
      </c>
      <c r="E39" t="s">
        <v>913</v>
      </c>
      <c r="F39" t="s">
        <v>1030</v>
      </c>
      <c r="G39" t="s">
        <v>1031</v>
      </c>
      <c r="H39">
        <v>112</v>
      </c>
      <c r="I39">
        <v>7</v>
      </c>
      <c r="J39">
        <v>5</v>
      </c>
      <c r="M39" t="s">
        <v>56</v>
      </c>
      <c r="N39" t="s">
        <v>1032</v>
      </c>
    </row>
    <row r="40" spans="1:14" ht="14.25" customHeight="1"/>
    <row r="41" spans="1:14" ht="14.25" customHeight="1"/>
    <row r="42" spans="1:14" ht="14.25" customHeight="1"/>
    <row r="43" spans="1:14" ht="14.25" customHeight="1"/>
    <row r="44" spans="1:14" ht="14.25" customHeight="1"/>
    <row r="45" spans="1:14" ht="14.25" customHeight="1"/>
    <row r="46" spans="1:14" ht="14.25" customHeight="1"/>
    <row r="47" spans="1:14" ht="14.25" customHeight="1"/>
    <row r="48" spans="1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O1" xr:uid="{00000000-0001-0000-0F00-000000000000}"/>
  <pageMargins left="0.7" right="0.7" top="0.75" bottom="0.75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000"/>
  <sheetViews>
    <sheetView workbookViewId="0"/>
  </sheetViews>
  <sheetFormatPr baseColWidth="10" defaultColWidth="12.5703125" defaultRowHeight="15" customHeight="1"/>
  <cols>
    <col min="1" max="26" width="8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000"/>
  <sheetViews>
    <sheetView workbookViewId="0">
      <selection activeCell="O25" sqref="O25"/>
    </sheetView>
  </sheetViews>
  <sheetFormatPr baseColWidth="10" defaultColWidth="12.5703125" defaultRowHeight="15" customHeight="1"/>
  <cols>
    <col min="1" max="26" width="8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README_</vt:lpstr>
      <vt:lpstr>EI</vt:lpstr>
      <vt:lpstr>DEFAULT_VALUES</vt:lpstr>
      <vt:lpstr>PARAMETRIZATION_VALUES</vt:lpstr>
      <vt:lpstr>Feuil1</vt:lpstr>
      <vt:lpstr>PARAMETRIZATION_TAB</vt:lpstr>
      <vt:lpstr>Arch_refinery</vt:lpstr>
      <vt:lpstr>PARAM_VALUE</vt:lpstr>
      <vt:lpstr>Process</vt:lpstr>
      <vt:lpstr>Flowsheet_Au</vt:lpstr>
      <vt:lpstr>Flowsheet_Cu</vt:lpstr>
      <vt:lpstr>Flowsheet_Ni</vt:lpstr>
      <vt:lpstr>NorgateHaque2012</vt:lpstr>
      <vt:lpstr>NorgateHaque2010</vt:lpstr>
      <vt:lpstr>NorgateJahanshahi2010</vt:lpstr>
      <vt:lpstr>Argon</vt:lpstr>
      <vt:lpstr>Parker2016_U</vt:lpstr>
      <vt:lpstr>Roy2025_Ni</vt:lpstr>
      <vt:lpstr>Islam2025</vt:lpstr>
      <vt:lpstr>Bradley2025</vt:lpstr>
      <vt:lpstr>Roy2025</vt:lpstr>
      <vt:lpstr>Lu2023</vt:lpstr>
      <vt:lpstr>Meissner2021</vt:lpstr>
      <vt:lpstr>Calvo2022</vt:lpstr>
      <vt:lpstr>Harpeccht2021</vt:lpstr>
      <vt:lpstr>Wei2020</vt:lpstr>
      <vt:lpstr>Vandervoet2019</vt:lpstr>
      <vt:lpstr>Kuipers2018</vt:lpstr>
      <vt:lpstr>Parker2016</vt:lpstr>
      <vt:lpstr>Calvo2016</vt:lpstr>
      <vt:lpstr>Koppelaar2016</vt:lpstr>
      <vt:lpstr>Northey2013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2024-10-31T14:53:48Z</dcterms:created>
  <dcterms:modified xsi:type="dcterms:W3CDTF">2025-12-16T10:47:30Z</dcterms:modified>
</cp:coreProperties>
</file>