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data/SI/"/>
    </mc:Choice>
  </mc:AlternateContent>
  <xr:revisionPtr revIDLastSave="2055" documentId="13_ncr:1_{17590E98-A912-491C-BCC5-D9C2D05A6F30}" xr6:coauthVersionLast="47" xr6:coauthVersionMax="47" xr10:uidLastSave="{7E45AA48-D226-43F8-B298-AC4C45ACA3DB}"/>
  <bookViews>
    <workbookView xWindow="-120" yWindow="-120" windowWidth="29040" windowHeight="15720" activeTab="3" xr2:uid="{00000000-000D-0000-FFFF-FFFF00000000}"/>
  </bookViews>
  <sheets>
    <sheet name="README" sheetId="1" r:id="rId1"/>
    <sheet name="Arch_refinery" sheetId="26" state="hidden" r:id="rId2"/>
    <sheet name="PARAM_VALUE" sheetId="25" state="hidden" r:id="rId3"/>
    <sheet name="Flowsheet_Au" sheetId="32" r:id="rId4"/>
    <sheet name="Flowsheet_Fe" sheetId="37" r:id="rId5"/>
    <sheet name="Flowsheet_U" sheetId="42" r:id="rId6"/>
    <sheet name="Flowsheet_Cu" sheetId="28" state="hidden" r:id="rId7"/>
    <sheet name="Flowsheet_Ni" sheetId="27" state="hidden" r:id="rId8"/>
    <sheet name="Flowsheet_sulfide" sheetId="41" r:id="rId9"/>
    <sheet name="NorgateHaque2010" sheetId="20" state="hidden" r:id="rId10"/>
    <sheet name="NorgateJahanshahi2010" sheetId="21" state="hidden" r:id="rId11"/>
    <sheet name="Argon" sheetId="4" state="hidden" r:id="rId12"/>
    <sheet name="Parker2016_U" sheetId="22" state="hidden" r:id="rId13"/>
    <sheet name="Roy2025_Ni" sheetId="23" state="hidden" r:id="rId14"/>
    <sheet name="Islam2025" sheetId="5" state="hidden" r:id="rId15"/>
    <sheet name="Bradley2025" sheetId="6" state="hidden" r:id="rId16"/>
    <sheet name="Roy2025" sheetId="7" state="hidden" r:id="rId17"/>
    <sheet name="Lu2023" sheetId="8" state="hidden" r:id="rId18"/>
    <sheet name="Meissner2021" sheetId="9" state="hidden" r:id="rId19"/>
    <sheet name="Calvo2022" sheetId="10" state="hidden" r:id="rId20"/>
    <sheet name="Vandervoet2019" sheetId="13" state="hidden" r:id="rId21"/>
    <sheet name="Kuipers2018" sheetId="14" state="hidden" r:id="rId22"/>
    <sheet name="Parker2016" sheetId="15" state="hidden" r:id="rId23"/>
    <sheet name="Calvo2016" sheetId="16" state="hidden" r:id="rId24"/>
    <sheet name="Koppelaar2016" sheetId="17" state="hidden" r:id="rId25"/>
  </sheets>
  <definedNames>
    <definedName name="_xlnm._FilterDatabase" localSheetId="23" hidden="1">Calvo2016!$A$1:$O$1</definedName>
    <definedName name="_xlnm._FilterDatabase" localSheetId="3" hidden="1">Flowsheet_Au!$A$28:$C$28</definedName>
    <definedName name="_xlnm._FilterDatabase" localSheetId="2" hidden="1">PARAM_VALUE!$A$1:$AL$43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2" i="4"/>
  <c r="U19" i="4"/>
  <c r="U18" i="4"/>
  <c r="U17" i="4"/>
  <c r="U16" i="4"/>
  <c r="U15" i="4"/>
  <c r="U14" i="4"/>
  <c r="U13" i="4"/>
  <c r="T19" i="4"/>
  <c r="T18" i="4"/>
  <c r="T17" i="4"/>
  <c r="W17" i="4" s="1"/>
  <c r="T16" i="4"/>
  <c r="T15" i="4"/>
  <c r="T14" i="4"/>
  <c r="T13" i="4"/>
  <c r="U12" i="4"/>
  <c r="W12" i="4" s="1"/>
  <c r="U11" i="4"/>
  <c r="U10" i="4"/>
  <c r="U9" i="4"/>
  <c r="U8" i="4"/>
  <c r="U7" i="4"/>
  <c r="U6" i="4"/>
  <c r="T12" i="4"/>
  <c r="T11" i="4"/>
  <c r="T10" i="4"/>
  <c r="W10" i="4" s="1"/>
  <c r="T9" i="4"/>
  <c r="T8" i="4"/>
  <c r="T7" i="4"/>
  <c r="T6" i="4"/>
  <c r="W18" i="4" l="1"/>
  <c r="W11" i="4"/>
  <c r="W19" i="4"/>
  <c r="W13" i="4"/>
  <c r="W6" i="4"/>
  <c r="W14" i="4"/>
  <c r="W7" i="4"/>
  <c r="W15" i="4"/>
  <c r="W8" i="4"/>
  <c r="W9" i="4"/>
  <c r="W16" i="4"/>
  <c r="H13" i="8"/>
</calcChain>
</file>

<file path=xl/sharedStrings.xml><?xml version="1.0" encoding="utf-8"?>
<sst xmlns="http://schemas.openxmlformats.org/spreadsheetml/2006/main" count="1144" uniqueCount="512">
  <si>
    <t>Copper</t>
  </si>
  <si>
    <t>Calvo2022</t>
  </si>
  <si>
    <t>Gold</t>
  </si>
  <si>
    <t>Kuipers2018</t>
  </si>
  <si>
    <t>Argon</t>
  </si>
  <si>
    <t>Calvo2016</t>
  </si>
  <si>
    <t>Norgate2012</t>
  </si>
  <si>
    <t>Norgate2010a</t>
  </si>
  <si>
    <t>Roy2025</t>
  </si>
  <si>
    <t>Nickel</t>
  </si>
  <si>
    <t>Norgate2010b</t>
  </si>
  <si>
    <t>Source</t>
  </si>
  <si>
    <t>Metal</t>
  </si>
  <si>
    <t>Reference flow</t>
  </si>
  <si>
    <t>Reference point</t>
  </si>
  <si>
    <t>Region</t>
  </si>
  <si>
    <t>Parameters value</t>
  </si>
  <si>
    <t>Parameters unit</t>
  </si>
  <si>
    <t>Type</t>
  </si>
  <si>
    <t>Unit</t>
  </si>
  <si>
    <t>Value</t>
  </si>
  <si>
    <t>Comment</t>
  </si>
  <si>
    <t>Mining</t>
  </si>
  <si>
    <t>Not specified</t>
  </si>
  <si>
    <t>Ore grade</t>
  </si>
  <si>
    <t>%</t>
  </si>
  <si>
    <t>Energy use</t>
  </si>
  <si>
    <t>-</t>
  </si>
  <si>
    <t>Lime</t>
  </si>
  <si>
    <t>Fuel</t>
  </si>
  <si>
    <t>GJ/t</t>
  </si>
  <si>
    <t>Electricity</t>
  </si>
  <si>
    <t>Milling and beneficiation</t>
  </si>
  <si>
    <t>Transport fuel</t>
  </si>
  <si>
    <t>?</t>
  </si>
  <si>
    <t>World</t>
  </si>
  <si>
    <t>Energy use, electricity use and diesel use</t>
  </si>
  <si>
    <t>Formula</t>
  </si>
  <si>
    <t>E = 25.65*G^-0.366</t>
  </si>
  <si>
    <t>Extracted from Figure 3</t>
  </si>
  <si>
    <t>E = 169.63*G^-0.275</t>
  </si>
  <si>
    <t>Zinc</t>
  </si>
  <si>
    <t>E = 47.15*G^-0.786</t>
  </si>
  <si>
    <t>Extracted from figures</t>
  </si>
  <si>
    <t>E = 15.63*G^-0.53</t>
  </si>
  <si>
    <t>Crude oil</t>
  </si>
  <si>
    <t>Hard coal</t>
  </si>
  <si>
    <t>Uranium</t>
  </si>
  <si>
    <t>Limestone</t>
  </si>
  <si>
    <t>Water consumption</t>
  </si>
  <si>
    <t>Concentration and smelting</t>
  </si>
  <si>
    <t>Ore grade and grind size</t>
  </si>
  <si>
    <t>MJ/kg</t>
  </si>
  <si>
    <t>602-1165</t>
  </si>
  <si>
    <t>Extracted from Table 3 (range value based on grind size). Values for smelting and leaching also available</t>
  </si>
  <si>
    <t>249-474</t>
  </si>
  <si>
    <t>131-244</t>
  </si>
  <si>
    <t>72-129</t>
  </si>
  <si>
    <t>43-71</t>
  </si>
  <si>
    <t>33-52</t>
  </si>
  <si>
    <t>Lead</t>
  </si>
  <si>
    <t>791-1421</t>
  </si>
  <si>
    <t>366-618</t>
  </si>
  <si>
    <t>224-350</t>
  </si>
  <si>
    <t>154-216</t>
  </si>
  <si>
    <t>118-150</t>
  </si>
  <si>
    <t>114-141</t>
  </si>
  <si>
    <t>Australia</t>
  </si>
  <si>
    <t>Diesel</t>
  </si>
  <si>
    <t>MJ/kg Cu</t>
  </si>
  <si>
    <t>Extracted from Figure 2</t>
  </si>
  <si>
    <t>Mineral processing</t>
  </si>
  <si>
    <t>Water</t>
  </si>
  <si>
    <t>Reagents</t>
  </si>
  <si>
    <t>Mining and refining</t>
  </si>
  <si>
    <t>g/t</t>
  </si>
  <si>
    <t>Embodied energy use</t>
  </si>
  <si>
    <t>GJ/t Au</t>
  </si>
  <si>
    <t>Extracted from Figure 10</t>
  </si>
  <si>
    <t>t/t Au</t>
  </si>
  <si>
    <t>Extracted from Figure 13</t>
  </si>
  <si>
    <t>Strip ratio</t>
  </si>
  <si>
    <t>All technosphere input</t>
  </si>
  <si>
    <t>Scaled factor = (s2+1)*more2/(s1+1)*more1</t>
  </si>
  <si>
    <t xml:space="preserve">Use the "nickel mine operation and beneficiation to nickel concentrate, 16% Ni" inventory as a basis. Inventories for POX leaching, HPAL, bioheap leaching, flash smelting, RKEF-NPI </t>
  </si>
  <si>
    <t>VanDerVoet2019</t>
  </si>
  <si>
    <t>E=75.42*G^-1</t>
  </si>
  <si>
    <t>E = 198.22*G^-0.406 (sulfides); E = 194.9*G^-0.494 (laterites)</t>
  </si>
  <si>
    <t>E=77.65*G^-1</t>
  </si>
  <si>
    <t>OC mine</t>
  </si>
  <si>
    <t>UG mine</t>
  </si>
  <si>
    <t>Combined OG and UG</t>
  </si>
  <si>
    <t>DSM</t>
  </si>
  <si>
    <t>Nickel ore</t>
  </si>
  <si>
    <t>RKEF</t>
  </si>
  <si>
    <t>BF</t>
  </si>
  <si>
    <t>Caron</t>
  </si>
  <si>
    <t>Flash</t>
  </si>
  <si>
    <t>HPAL</t>
  </si>
  <si>
    <t>HL</t>
  </si>
  <si>
    <t>ATL</t>
  </si>
  <si>
    <t>DNI</t>
  </si>
  <si>
    <t>Electrorefining</t>
  </si>
  <si>
    <t>Electrowining</t>
  </si>
  <si>
    <t>Refined nickel</t>
  </si>
  <si>
    <t xml:space="preserve"> </t>
  </si>
  <si>
    <t>Cu concentrate 22.8%</t>
  </si>
  <si>
    <t>Amount</t>
  </si>
  <si>
    <t>MJ</t>
  </si>
  <si>
    <t>lignite</t>
  </si>
  <si>
    <t>NG</t>
  </si>
  <si>
    <t>Hydropower</t>
  </si>
  <si>
    <t>Solar</t>
  </si>
  <si>
    <t>Wind</t>
  </si>
  <si>
    <t>Energy total</t>
  </si>
  <si>
    <t>Open-pit mine ore</t>
  </si>
  <si>
    <t>Underground extracted ore</t>
  </si>
  <si>
    <t>Ni</t>
  </si>
  <si>
    <t>Stage</t>
  </si>
  <si>
    <t>Flow Type</t>
  </si>
  <si>
    <t>Amount (approx.)</t>
  </si>
  <si>
    <t>Notes / Origin</t>
  </si>
  <si>
    <t>Mining (sulfide ore, 2.05 % Ni)</t>
  </si>
  <si>
    <t>Diesel (mobile equipment)</t>
  </si>
  <si>
    <t>~0.5 MJ</t>
  </si>
  <si>
    <t>MJ/kg Ni</t>
  </si>
  <si>
    <t>For drilling + haulage</t>
  </si>
  <si>
    <t>Electricity (ventilation + pumps)</t>
  </si>
  <si>
    <t>~0.4 kWh</t>
  </si>
  <si>
    <t>kWh/kg Ni</t>
  </si>
  <si>
    <t>Underground mine</t>
  </si>
  <si>
    <t>Explosives (ANFO)</t>
  </si>
  <si>
    <t>1 × 10⁻³</t>
  </si>
  <si>
    <t>kg/kg Ni</t>
  </si>
  <si>
    <t>Drilling/blasting</t>
  </si>
  <si>
    <t>Beneficiation (flotation)</t>
  </si>
  <si>
    <t>Grinding energy</t>
  </si>
  <si>
    <t>6–8 MJ</t>
  </si>
  <si>
    <t>Crushing + milling</t>
  </si>
  <si>
    <t>Reagents (collectors + frothers)</t>
  </si>
  <si>
    <t>0.002–0.004</t>
  </si>
  <si>
    <t>Xanthate, MIBC</t>
  </si>
  <si>
    <t>pH control</t>
  </si>
  <si>
    <t>Concentrate processing – Flash smelting</t>
  </si>
  <si>
    <t>Diesel + coal (furnace fuel)</t>
  </si>
  <si>
    <t>≈ 90 MJ</t>
  </si>
  <si>
    <t>Furnace @ 1450 °C for 11.5 % feed</t>
  </si>
  <si>
    <t>Oxygen (air separation)</t>
  </si>
  <si>
    <t>Blowing</t>
  </si>
  <si>
    <t>Fluxes (SiO₂, CaO)</t>
  </si>
  <si>
    <t>Slag formation</t>
  </si>
  <si>
    <t>Refining (hydrometallurgy)</t>
  </si>
  <si>
    <t>Hydrogen gas</t>
  </si>
  <si>
    <t>Ammoniacal reduction route</t>
  </si>
  <si>
    <t>Ammonia solution</t>
  </si>
  <si>
    <t>Leaching + precipitation</t>
  </si>
  <si>
    <t>Electricity (electro-refining)</t>
  </si>
  <si>
    <t>4–6</t>
  </si>
  <si>
    <t>Smelter + refinery</t>
  </si>
  <si>
    <t>Nickel sulfate conversion</t>
  </si>
  <si>
    <t>Sulfuric acid (98 %)</t>
  </si>
  <si>
    <t>Dissolution step</t>
  </si>
  <si>
    <t>Sodium hydroxide</t>
  </si>
  <si>
    <t>Neutralization</t>
  </si>
  <si>
    <t>Evaporative crystallization energy</t>
  </si>
  <si>
    <t>Conversion to NiSO₄·6H₂O</t>
  </si>
  <si>
    <t>Direct embodied energy (total)</t>
  </si>
  <si>
    <t>Flash smelting route</t>
  </si>
  <si>
    <t>GHG intensity</t>
  </si>
  <si>
    <t>kg CO₂-eq /kg Ni</t>
  </si>
  <si>
    <t>ecoinvent v3.9 smelting; flash smelting ≈ 10 kg</t>
  </si>
  <si>
    <t>Site</t>
  </si>
  <si>
    <t>McArthur River + Key Lake</t>
  </si>
  <si>
    <t>≈ 10 kWh / kg U₃O₈</t>
  </si>
  <si>
    <t>kWh / kg U₃O₈</t>
  </si>
  <si>
    <t>SK grid = 40 % of GHG; main energy input</t>
  </si>
  <si>
    <t>Table S3 (SI p. S6) and text p. 9749 – 9750 of main paper.</t>
  </si>
  <si>
    <t>0.8–1.5 MJ / kg U₃O₈ (~0.02–0.04 L)</t>
  </si>
  <si>
    <t>MJ / kg U₃O₈</t>
  </si>
  <si>
    <t>Mine haulage + mobile equipment</t>
  </si>
  <si>
    <t>Propane (heating)</t>
  </si>
  <si>
    <t>2–4 MJ / kg U₃O₈ (~0.05–0.1 L)</t>
  </si>
  <si>
    <t>Facility heating dominant in cold climate</t>
  </si>
  <si>
    <t>Gasoline (light vehicles)</t>
  </si>
  <si>
    <t>0.2–0.3 MJ / kg U₃O₈ (~0.005 L)</t>
  </si>
  <si>
    <t>Minor (&lt; 1 %) share</t>
  </si>
  <si>
    <t>“Transportation of personnel and materials contributes 7.2 % of total GHG, with an average 700 km distance (truck + air).”</t>
  </si>
  <si>
    <t>Reagents (total)</t>
  </si>
  <si>
    <t>≈ 0.02–0.05 kg / kg U₃O₈</t>
  </si>
  <si>
    <t>kg / kg U₃O₈</t>
  </si>
  <si>
    <t>Lime, H₂O₂, NH₃ = 67 % of reagent GHG</t>
  </si>
  <si>
    <t>Lime (CaO)</t>
  </si>
  <si>
    <t>~0.010 kg</t>
  </si>
  <si>
    <t>Neutralization &amp; precipitation</t>
  </si>
  <si>
    <t>SI Table S3 and p. S7–S8 (lines 33–36)</t>
  </si>
  <si>
    <t>Hydrogen Peroxide (50 %)</t>
  </si>
  <si>
    <t>~0.005 kg</t>
  </si>
  <si>
    <t>Oxidant for leaching</t>
  </si>
  <si>
    <t>Ammonia (NH₃)</t>
  </si>
  <si>
    <t>ADU precipitation</t>
  </si>
  <si>
    <t>Concrete</t>
  </si>
  <si>
    <t>~0.05 kg</t>
  </si>
  <si>
    <t>Used for backfill/support and plant maintenance</t>
  </si>
  <si>
    <t>Concrete usage from SI p. S8 lines 81–82 (“Concrete for support and backfill”).</t>
  </si>
  <si>
    <t>~0.002 kg</t>
  </si>
  <si>
    <t>Drill-and-blast mine use</t>
  </si>
  <si>
    <t>Freight transport</t>
  </si>
  <si>
    <t>~700 km avg (two-way)</t>
  </si>
  <si>
    <t>km / t material</t>
  </si>
  <si>
    <t>Air + truck mix (7 % GHG)</t>
  </si>
  <si>
    <t>Waste emissions</t>
  </si>
  <si>
    <t>≈ 1.5 % of GHG</t>
  </si>
  <si>
    <t>–</t>
  </si>
  <si>
    <t>Landfill CH₄ + CO₂</t>
  </si>
  <si>
    <t>Process CO₂</t>
  </si>
  <si>
    <t>Minor (1 %)</t>
  </si>
  <si>
    <t>kg CO₂ / kg U₃O₈</t>
  </si>
  <si>
    <t>Carbonate reaction with H₂SO₄</t>
  </si>
  <si>
    <t>Land Use Change</t>
  </si>
  <si>
    <t>~1137 kg CO₂e / ha yr</t>
  </si>
  <si>
    <t>kg CO₂e / ha yr</t>
  </si>
  <si>
    <t>Forest conversion</t>
  </si>
  <si>
    <t>SI p. S7 lines 13–14:</t>
  </si>
  <si>
    <t>McClean Lake + Cigar Lake</t>
  </si>
  <si>
    <t>≈ 9 kWh / kg U₃O₈</t>
  </si>
  <si>
    <t>Hydro dominant; lower GHG</t>
  </si>
  <si>
    <t>≈ 0.8 MJ / kg U₃O₈</t>
  </si>
  <si>
    <t>Ore slurry pumping + equipment</t>
  </si>
  <si>
    <t>Propane</t>
  </si>
  <si>
    <t>≈ 2.0 MJ / kg U₃O₈</t>
  </si>
  <si>
    <t>Heating + reagent prep</t>
  </si>
  <si>
    <t>Similar composition (lime, H₂O₂, NH₃) but higher per grade due to mixing with low-grade ore</t>
  </si>
  <si>
    <t>Adapted to 30 % ore capability</t>
  </si>
  <si>
    <t>Corporate HQ allocation</t>
  </si>
  <si>
    <t>Electricity + natural gas</t>
  </si>
  <si>
    <t>1 ⁄ 4 share to each Cameco site; ½ share to McClean Lake**</t>
  </si>
  <si>
    <t>Included in LCA</t>
  </si>
  <si>
    <t>Ore</t>
  </si>
  <si>
    <t>Parametrization parameters</t>
  </si>
  <si>
    <t>Site (Province)</t>
  </si>
  <si>
    <t>Main metal(s) &amp; role</t>
  </si>
  <si>
    <t>Predominant refining method in practice</t>
  </si>
  <si>
    <t>Best-fit LCI proxy (for your model)</t>
  </si>
  <si>
    <t>Why this proxy</t>
  </si>
  <si>
    <t>Horne Smelter → CCR (Montréal-Est, QC)</t>
  </si>
  <si>
    <t>Horne produces anodes; CCR explicitly does electrorefining to cathode. Use pyromet → electrorefining chain. (glencore.ca)</t>
  </si>
  <si>
    <t>Copper Cliff Complex (Sudbury, ON) — Vale</t>
  </si>
  <si>
    <t>Vale’s Copper Cliff Nickel Refinery produces pellets/powder via carbonyl process; the Roy pyromet route (flash smelt → hydromet finish) is the closest published, Canada-parametrized end-to-end LCI; carbonyl specifics from Vale product sheets. (Vale)</t>
  </si>
  <si>
    <t>Long Harbour (NL) — Vale</t>
  </si>
  <si>
    <t>The site itself states hydromet; Roy’s POX inventory is region-tuned to NL (CA-NF electricity) and mirrors LHPP flowsheet. (Vale)</t>
  </si>
  <si>
    <t>Port Colborne (ON) — Vale</t>
  </si>
  <si>
    <t>Vale notes electro-cobalt and PM processing at Port Colborne today; for battery-grade CoSO₄, modern Canadian proxy is Electra’s Temiskaming hydromet flows (similar chemistry). (Vale)</t>
  </si>
  <si>
    <t>Sudbury Integrated Nickel Operations (Glencore INO, ON)</t>
  </si>
  <si>
    <t>Glencore states matte is shipped to Nikkelverk for final refining; keep Canadian system boundary at matte or include external refining with Norway grid. (glencore.ca)</t>
  </si>
  <si>
    <t>The Cobalt Refinery Company Inc. (CORE FCO / Fort Saskatchewan, AB — Sherritt legacy)</t>
  </si>
  <si>
    <t>Sherritt’s Fort Saskatchewan refinery is the archetype of ammonia leach + H₂ reduction; Roy’s route captures this chemistry; Sherritt’s own literature confirms process steps. (s2.q4cdn.com)</t>
  </si>
  <si>
    <t>Trail Operations (Trail, BC — Teck)</t>
  </si>
  <si>
    <t>Teck Trail is a zinc/lead complex (not a Ni/Cu refinery). Electrolytic Zn plant explicitly referenced; BC hydro grid is relevant for LCI. (Teck Resources Limited)</t>
  </si>
  <si>
    <t>Cu (Horne smelts → anodes) → CCR refines to cathodes; precious-metals recovery in slimes</t>
  </si>
  <si>
    <t>Copper electrorefining at CCR from ~99% Cu anodes produced at Horne smelter</t>
  </si>
  <si>
    <t>Copper: “pyromet (to blister/anode) + electrorefining” (use Roy’s Cu chapter framing) or ecoinvent “copper, cathode, at refinery” (electrorefining)</t>
  </si>
  <si>
    <t>Ni &amp; Cu complex; smelter + refineries</t>
  </si>
  <si>
    <t>Nickel carbonyl (Mond) refining to pellets/powder; Cu side via pyromet + electrorefining</t>
  </si>
  <si>
    <t>Ni (pyro→refine): Roy “Flash smelting of sulfide ores + ammoniacal-H₂ precipitation” for a Canada-style pyromet route; Ni (carbonyl): supplement with Vale docs / ecoinvent “nickel, metal, at refinery” (carbonyl)</t>
  </si>
  <si>
    <t>Ni from Voisey’s Bay conc.</t>
  </si>
  <si>
    <t>Hydrometallurgy (POX autoclave + SX/EW) → Ni cathode / NiSO₄</t>
  </si>
  <si>
    <t>Roy Supplementary Note 1: POX leaching (sulfide) — Canadian grid (CA-NF)</t>
  </si>
  <si>
    <t>Cobalt, precious metals; packaging/distribution of Ni products; historic Ni/PM refining</t>
  </si>
  <si>
    <t>Hydromet precious-metals &amp; cobalt processing; Ni carbonyl historic</t>
  </si>
  <si>
    <t>For Co: use hydromet cobalt refinery (cobalt sulfate) proxies (e.g., ecoinvent “cobalt sulfate, at plant” or literature LCI); for Ni/PGM by-products, use ecoinvent PM refinery modules</t>
  </si>
  <si>
    <t>Ni-Cu matte producer; refining not in Canada</t>
  </si>
  <si>
    <t>Smelting/converting to matte in Sudbury; refining at Nikkelverk (Norway)</t>
  </si>
  <si>
    <t>Use Roy pyromet (flash smelting to matte) for Canadian stage; treat refining as ex-Canada (documented export)</t>
  </si>
  <si>
    <t>Ni &amp; Co from MSP/MHP/matte</t>
  </si>
  <si>
    <t>Ammoniacal pressure leach + H₂ reduction (Sherritt process) → Ni/Co powders/briquettes; by-product (NH₄)₂SO₄</t>
  </si>
  <si>
    <t>Roy “ammoniacal hydrogen precipitation to nickel metal” (refining segment) as best published proxy; background with Sherritt process notes</t>
  </si>
  <si>
    <t>Zn, Pb (plus indium, etc.) — not a Cu/Ni refinery</t>
  </si>
  <si>
    <t>Electrolytic zinc &amp; lead refining (hydromet + electrolysis), hydro-powered</t>
  </si>
  <si>
    <t>Use ecoinvent “zinc, primary, electrolysis, at refinery (RoW/CA)” and “lead, primary, at refinery”; for region, adjust electricity to BC hydro</t>
  </si>
  <si>
    <t>Facility</t>
  </si>
  <si>
    <t>Province</t>
  </si>
  <si>
    <t>Method</t>
  </si>
  <si>
    <t>Feed</t>
  </si>
  <si>
    <t>Product</t>
  </si>
  <si>
    <t>Notes</t>
  </si>
  <si>
    <t>Vale Long Harbour</t>
  </si>
  <si>
    <t>NL</t>
  </si>
  <si>
    <t>Pressure oxidation (chloride–sulfuric acid), solvent extraction, electrowinning</t>
  </si>
  <si>
    <t>Concentrate / matte</t>
  </si>
  <si>
    <t>Ni cathode (&gt;99.9 %)</t>
  </si>
  <si>
    <t>Can yield NiSO₄</t>
  </si>
  <si>
    <t>Sherritt Fort Saskatchewan</t>
  </si>
  <si>
    <t>AB</t>
  </si>
  <si>
    <t>Ammonia leach + H₂ reduction</t>
  </si>
  <si>
    <t>MSP / concentrate</t>
  </si>
  <si>
    <t>Ni powder</t>
  </si>
  <si>
    <t>By-product (NH₄)₂SO₄</t>
  </si>
  <si>
    <t>Vale Thompson (historic)</t>
  </si>
  <si>
    <t>MB</t>
  </si>
  <si>
    <t>Matte</t>
  </si>
  <si>
    <t>Ni cathode</t>
  </si>
  <si>
    <t>Closed 2018</t>
  </si>
  <si>
    <t>Vale Copper Cliff</t>
  </si>
  <si>
    <t>ON</t>
  </si>
  <si>
    <t>Pyromet + electrorefining</t>
  </si>
  <si>
    <t>Ni + Cu metals</t>
  </si>
  <si>
    <t>Active smelter/refinery complex</t>
  </si>
  <si>
    <r>
      <t xml:space="preserve">Copper sulfide concentrates (e.g., from Sudbury and Raglan) are </t>
    </r>
    <r>
      <rPr>
        <b/>
        <sz val="11"/>
        <color theme="1"/>
        <rFont val="Aptos Narrow"/>
        <family val="2"/>
        <scheme val="minor"/>
      </rPr>
      <t>smelted and converted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blister copper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nickel-copper matte</t>
    </r>
    <r>
      <rPr>
        <sz val="11"/>
        <color theme="1"/>
        <rFont val="Aptos Narrow"/>
        <family val="2"/>
        <scheme val="minor"/>
      </rPr>
      <t>.</t>
    </r>
  </si>
  <si>
    <r>
      <t>Glencore’s Sudbury smelter</t>
    </r>
    <r>
      <rPr>
        <sz val="11"/>
        <color theme="1"/>
        <rFont val="Aptos Narrow"/>
        <family val="2"/>
        <scheme val="minor"/>
      </rPr>
      <t xml:space="preserve"> ships matte to </t>
    </r>
    <r>
      <rPr>
        <b/>
        <sz val="11"/>
        <color theme="1"/>
        <rFont val="Aptos Narrow"/>
        <family val="2"/>
        <scheme val="minor"/>
      </rPr>
      <t>Nikkelverk (Norway)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electrolytic refining</t>
    </r>
    <r>
      <rPr>
        <sz val="11"/>
        <color theme="1"/>
        <rFont val="Aptos Narrow"/>
        <family val="2"/>
        <scheme val="minor"/>
      </rPr>
      <t xml:space="preserve">, while </t>
    </r>
    <r>
      <rPr>
        <b/>
        <sz val="11"/>
        <color theme="1"/>
        <rFont val="Aptos Narrow"/>
        <family val="2"/>
        <scheme val="minor"/>
      </rPr>
      <t>Vale’s Copper Cliff</t>
    </r>
    <r>
      <rPr>
        <sz val="11"/>
        <color theme="1"/>
        <rFont val="Aptos Narrow"/>
        <family val="2"/>
        <scheme val="minor"/>
      </rPr>
      <t xml:space="preserve"> refinery in Ontario performs </t>
    </r>
    <r>
      <rPr>
        <b/>
        <sz val="11"/>
        <color theme="1"/>
        <rFont val="Aptos Narrow"/>
        <family val="2"/>
        <scheme val="minor"/>
      </rPr>
      <t>pyrometallurgical smelting + electrorefining</t>
    </r>
    <r>
      <rPr>
        <sz val="11"/>
        <color theme="1"/>
        <rFont val="Aptos Narrow"/>
        <family val="2"/>
        <scheme val="minor"/>
      </rPr>
      <t xml:space="preserve"> domestically</t>
    </r>
  </si>
  <si>
    <t>Horne smelter</t>
  </si>
  <si>
    <t>Montreal CCR</t>
  </si>
  <si>
    <t>Prymetallurgy to copper anode</t>
  </si>
  <si>
    <t>Copper electrofining plant: anode to cathode</t>
  </si>
  <si>
    <t>Long Harbour Nickel</t>
  </si>
  <si>
    <t>Sudbury Smelter</t>
  </si>
  <si>
    <t>Fort Saskatechwan refinery</t>
  </si>
  <si>
    <t>Hydrometallurgy</t>
  </si>
  <si>
    <t>Pyrometallurgy</t>
  </si>
  <si>
    <t>Copper Cliff Smelter and Refinery</t>
  </si>
  <si>
    <t>Au</t>
  </si>
  <si>
    <t>Cu</t>
  </si>
  <si>
    <t>Facility_name</t>
  </si>
  <si>
    <t>Ore grade (% Cu)</t>
  </si>
  <si>
    <t>Energy (MJ/kg Cu)</t>
  </si>
  <si>
    <t>Parameter</t>
  </si>
  <si>
    <t>(a)</t>
  </si>
  <si>
    <t>31.8 ± 2.1</t>
  </si>
  <si>
    <t>(b)</t>
  </si>
  <si>
    <t>0.56 ± 0.02</t>
  </si>
  <si>
    <t>(R^2)</t>
  </si>
  <si>
    <t>41.9 ± 2.3</t>
  </si>
  <si>
    <t>0.55 ± 0.01</t>
  </si>
  <si>
    <t>From Table 3</t>
  </si>
  <si>
    <t>Ore grade (% Ni)</t>
  </si>
  <si>
    <t>Energy (MJ/kg Ni)</t>
  </si>
  <si>
    <t>From Table 4</t>
  </si>
  <si>
    <t>Mmbtu</t>
  </si>
  <si>
    <t>OG %</t>
  </si>
  <si>
    <t>Mining MJ/t</t>
  </si>
  <si>
    <t>Beneficiation MJ/t</t>
  </si>
  <si>
    <t>Share mining</t>
  </si>
  <si>
    <t>Total MJ/t</t>
  </si>
  <si>
    <t>Mine</t>
  </si>
  <si>
    <t>Company</t>
  </si>
  <si>
    <t>Main_Metals</t>
  </si>
  <si>
    <t>Mine_Type</t>
  </si>
  <si>
    <t>Mine_Process</t>
  </si>
  <si>
    <t>Production_2013_t_or_kg</t>
  </si>
  <si>
    <t>Average_kWh_per_t_ore</t>
  </si>
  <si>
    <t>StdDev_kWh</t>
  </si>
  <si>
    <t>N_kWh</t>
  </si>
  <si>
    <t>Average_L_diesel_per_t_rock</t>
  </si>
  <si>
    <t>StdDev_L</t>
  </si>
  <si>
    <t>N_L</t>
  </si>
  <si>
    <t>Period_Reported</t>
  </si>
  <si>
    <t>Granny Smith</t>
  </si>
  <si>
    <t>Goldfields</t>
  </si>
  <si>
    <t>OC+UG</t>
  </si>
  <si>
    <t>MCL</t>
  </si>
  <si>
    <t>7185 kg</t>
  </si>
  <si>
    <t>1989–2013</t>
  </si>
  <si>
    <t>Agnew</t>
  </si>
  <si>
    <t>6718 kg</t>
  </si>
  <si>
    <t>1991–2009</t>
  </si>
  <si>
    <t>St Ives</t>
  </si>
  <si>
    <t>12533 kg</t>
  </si>
  <si>
    <t>Darlot</t>
  </si>
  <si>
    <t>UG</t>
  </si>
  <si>
    <t>2482 kg</t>
  </si>
  <si>
    <t>1993–2007</t>
  </si>
  <si>
    <t>Cadia Valley</t>
  </si>
  <si>
    <t>Newcrest Mining</t>
  </si>
  <si>
    <t>Cu-Au</t>
  </si>
  <si>
    <t>OC</t>
  </si>
  <si>
    <t>MS</t>
  </si>
  <si>
    <t>56971 t</t>
  </si>
  <si>
    <t>2004–2009</t>
  </si>
  <si>
    <t>Ernest Henry</t>
  </si>
  <si>
    <t>Glencore</t>
  </si>
  <si>
    <t>MC</t>
  </si>
  <si>
    <t>35562 t</t>
  </si>
  <si>
    <t>1998–2007</t>
  </si>
  <si>
    <t>Mount Isa (Cu)</t>
  </si>
  <si>
    <t>Cu-Ag</t>
  </si>
  <si>
    <t>MCS</t>
  </si>
  <si>
    <t>142705 t</t>
  </si>
  <si>
    <t>2005–2012</t>
  </si>
  <si>
    <t>Osborne</t>
  </si>
  <si>
    <t>Barrick</t>
  </si>
  <si>
    <t>41270 t</t>
  </si>
  <si>
    <t>Prominent Hill</t>
  </si>
  <si>
    <t>OZ Minerals</t>
  </si>
  <si>
    <t>73362 t</t>
  </si>
  <si>
    <t>2009–2014</t>
  </si>
  <si>
    <t>Olympic Dam</t>
  </si>
  <si>
    <t>BHP Billiton</t>
  </si>
  <si>
    <t>Cu-U-Ag-Au</t>
  </si>
  <si>
    <t>MCSRL</t>
  </si>
  <si>
    <t>166200 t</t>
  </si>
  <si>
    <t>1991–2014</t>
  </si>
  <si>
    <t>Telfer</t>
  </si>
  <si>
    <t>32906 t</t>
  </si>
  <si>
    <t>2005–2009</t>
  </si>
  <si>
    <t>Cannington</t>
  </si>
  <si>
    <t>Pb-Ag</t>
  </si>
  <si>
    <t>210815 t</t>
  </si>
  <si>
    <t>McArthur River</t>
  </si>
  <si>
    <t>Zn-Pb-Ag</t>
  </si>
  <si>
    <t>203300 t</t>
  </si>
  <si>
    <t>2006–2010</t>
  </si>
  <si>
    <t>Century</t>
  </si>
  <si>
    <t>MMG</t>
  </si>
  <si>
    <t>488233 t</t>
  </si>
  <si>
    <t>Golden Grove</t>
  </si>
  <si>
    <t>Zn-Cu-Ag-Au</t>
  </si>
  <si>
    <t>23619 t</t>
  </si>
  <si>
    <t>Rosebery</t>
  </si>
  <si>
    <t>Zn-Pb-Cu-Ag-Au</t>
  </si>
  <si>
    <t>88369 t</t>
  </si>
  <si>
    <t>Mantos Blancos</t>
  </si>
  <si>
    <t>AngloAmerican</t>
  </si>
  <si>
    <t>MCSL</t>
  </si>
  <si>
    <t>54600 t</t>
  </si>
  <si>
    <t>2002–2014</t>
  </si>
  <si>
    <t>El Soldado</t>
  </si>
  <si>
    <t>51500 t</t>
  </si>
  <si>
    <t>Mantoverde</t>
  </si>
  <si>
    <t>ML</t>
  </si>
  <si>
    <t>56800 t</t>
  </si>
  <si>
    <t>El Tesoro</t>
  </si>
  <si>
    <t>Antofagasta Minerals</t>
  </si>
  <si>
    <t>102600 t</t>
  </si>
  <si>
    <t>2007–2014</t>
  </si>
  <si>
    <t>Michilla</t>
  </si>
  <si>
    <t>38300 t</t>
  </si>
  <si>
    <t>Escondida</t>
  </si>
  <si>
    <t>1193680 t</t>
  </si>
  <si>
    <t>2001–2014</t>
  </si>
  <si>
    <t>Radomiro Tomic</t>
  </si>
  <si>
    <t>CODELCO</t>
  </si>
  <si>
    <t>379589 t</t>
  </si>
  <si>
    <t>2011–2013</t>
  </si>
  <si>
    <t>Collahuasi</t>
  </si>
  <si>
    <t>AngloAmerican+Glencore</t>
  </si>
  <si>
    <t>Cu-Mo</t>
  </si>
  <si>
    <t>444509 t</t>
  </si>
  <si>
    <t>Los Pelambres</t>
  </si>
  <si>
    <t>405300 t</t>
  </si>
  <si>
    <t>Chuquicamata</t>
  </si>
  <si>
    <t>339012 t</t>
  </si>
  <si>
    <t>2000–2013</t>
  </si>
  <si>
    <t>Los Bronces</t>
  </si>
  <si>
    <t>416300 t</t>
  </si>
  <si>
    <t>División Andina</t>
  </si>
  <si>
    <t>Cu-Mo-Ag</t>
  </si>
  <si>
    <t>236715 t</t>
  </si>
  <si>
    <t>2001–2012013</t>
  </si>
  <si>
    <t>Salvador</t>
  </si>
  <si>
    <t>Cu-Mo-Ag-Au</t>
  </si>
  <si>
    <t>MSCL</t>
  </si>
  <si>
    <t>54242 t</t>
  </si>
  <si>
    <t>2001–2013</t>
  </si>
  <si>
    <t>El Teniente</t>
  </si>
  <si>
    <t>450390 t</t>
  </si>
  <si>
    <t>Sepon</t>
  </si>
  <si>
    <t>90030 t</t>
  </si>
  <si>
    <t>2008–2014</t>
  </si>
  <si>
    <t>El Porvenir</t>
  </si>
  <si>
    <t>Milpo</t>
  </si>
  <si>
    <t>Zn-Pb-Cu</t>
  </si>
  <si>
    <t>117628 t</t>
  </si>
  <si>
    <t>2008–2013</t>
  </si>
  <si>
    <t>Cerro Lindo</t>
  </si>
  <si>
    <t>278234 t</t>
  </si>
  <si>
    <t>Antamina</t>
  </si>
  <si>
    <t>BHP+Glencore+Teck</t>
  </si>
  <si>
    <t>Zn-Cu-Mo</t>
  </si>
  <si>
    <t>73913 t (2012)</t>
  </si>
  <si>
    <t>Neves-Corvo</t>
  </si>
  <si>
    <t>Lundin Mining</t>
  </si>
  <si>
    <t>Zn-Cu-Pb-Ag</t>
  </si>
  <si>
    <t>53385 t</t>
  </si>
  <si>
    <t>Aguablanca</t>
  </si>
  <si>
    <t>Ni-Cu</t>
  </si>
  <si>
    <t>6242 t</t>
  </si>
  <si>
    <t>Zinkgruvan</t>
  </si>
  <si>
    <t>Zn-Pb-Cu-Ag</t>
  </si>
  <si>
    <t>71366 t</t>
  </si>
  <si>
    <t>Bingham Canyon</t>
  </si>
  <si>
    <t>Rio Tinto</t>
  </si>
  <si>
    <t>MCSR</t>
  </si>
  <si>
    <t>212200 t (2007)</t>
  </si>
  <si>
    <t>2003–2007</t>
  </si>
  <si>
    <t>Country</t>
  </si>
  <si>
    <t>Chile</t>
  </si>
  <si>
    <t>Laos</t>
  </si>
  <si>
    <t>Peru</t>
  </si>
  <si>
    <t>United States</t>
  </si>
  <si>
    <t>Sweden</t>
  </si>
  <si>
    <t>Portugal</t>
  </si>
  <si>
    <t>Spain</t>
  </si>
  <si>
    <t>Norgate&amp;Haque 2012</t>
  </si>
  <si>
    <t>Chen 2018</t>
  </si>
  <si>
    <t>Konaré 2024</t>
  </si>
  <si>
    <t>Title of the article</t>
  </si>
  <si>
    <t>Supplementary Information for ''</t>
  </si>
  <si>
    <t>Authors</t>
  </si>
  <si>
    <t>Marin Pellan, Guillaume Majeau-Bettez, Titouan Greffe, Anne de Bortoli</t>
  </si>
  <si>
    <t>Affiliations</t>
  </si>
  <si>
    <t>Contact</t>
  </si>
  <si>
    <t>marin.pellan@polymlt.ca; pellan.marin@gmail.com</t>
  </si>
  <si>
    <t>Katta2020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</si>
</sst>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u/>
      <sz val="11"/>
      <color theme="10"/>
      <name val="Aptos Narrow"/>
      <family val="2"/>
    </font>
    <font>
      <u/>
      <sz val="11"/>
      <color rgb="FF0000FF"/>
      <name val="Aptos Narrow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1" fillId="0" borderId="0" applyNumberFormat="0" applyFill="0" applyBorder="0" applyAlignment="0" applyProtection="0"/>
    <xf numFmtId="0" fontId="6" fillId="0" borderId="0"/>
  </cellStyleXfs>
  <cellXfs count="49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5" fillId="2" borderId="0" xfId="0" applyFont="1" applyFill="1"/>
    <xf numFmtId="0" fontId="15" fillId="3" borderId="0" xfId="0" applyFont="1" applyFill="1"/>
    <xf numFmtId="0" fontId="16" fillId="0" borderId="0" xfId="0" applyFont="1"/>
    <xf numFmtId="0" fontId="17" fillId="0" borderId="0" xfId="0" applyFont="1" applyAlignment="1">
      <alignment horizontal="center"/>
    </xf>
    <xf numFmtId="164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7" fillId="0" borderId="0" xfId="0" applyFont="1"/>
    <xf numFmtId="0" fontId="20" fillId="0" borderId="0" xfId="0" applyFont="1"/>
    <xf numFmtId="0" fontId="0" fillId="0" borderId="0" xfId="0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righ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7" fillId="0" borderId="0" xfId="0" applyFont="1" applyAlignment="1">
      <alignment vertical="center"/>
    </xf>
    <xf numFmtId="0" fontId="23" fillId="0" borderId="0" xfId="1" applyFont="1" applyAlignment="1">
      <alignment vertical="center"/>
    </xf>
    <xf numFmtId="0" fontId="7" fillId="0" borderId="0" xfId="0" applyFont="1"/>
    <xf numFmtId="0" fontId="7" fillId="4" borderId="0" xfId="0" applyFont="1" applyFill="1" applyAlignment="1">
      <alignment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0" borderId="1" xfId="0" applyFont="1" applyBorder="1" applyAlignment="1">
      <alignment horizontal="center" vertical="top"/>
    </xf>
    <xf numFmtId="0" fontId="18" fillId="0" borderId="0" xfId="0" applyFont="1"/>
    <xf numFmtId="0" fontId="18" fillId="0" borderId="0" xfId="0" applyFont="1" applyAlignment="1">
      <alignment wrapText="1"/>
    </xf>
    <xf numFmtId="0" fontId="6" fillId="0" borderId="0" xfId="2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right" vertical="center" wrapText="1"/>
    </xf>
    <xf numFmtId="0" fontId="19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19" fillId="0" borderId="0" xfId="2" applyFont="1" applyAlignment="1">
      <alignment horizontal="center" vertical="top"/>
    </xf>
    <xf numFmtId="3" fontId="0" fillId="0" borderId="0" xfId="0" applyNumberFormat="1"/>
    <xf numFmtId="0" fontId="4" fillId="0" borderId="0" xfId="0" applyFont="1"/>
    <xf numFmtId="0" fontId="3" fillId="0" borderId="0" xfId="0" applyFont="1"/>
    <xf numFmtId="0" fontId="2" fillId="0" borderId="0" xfId="0" applyFont="1"/>
  </cellXfs>
  <cellStyles count="3">
    <cellStyle name="Lien hypertexte" xfId="1" builtinId="8"/>
    <cellStyle name="Normal" xfId="0" builtinId="0"/>
    <cellStyle name="Normal 2" xfId="2" xr:uid="{EBD01FCB-D219-46C5-876B-3C48BF4585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6" Type="http://schemas.openxmlformats.org/officeDocument/2006/relationships/image" Target="../media/image31.png"/><Relationship Id="rId5" Type="http://schemas.openxmlformats.org/officeDocument/2006/relationships/image" Target="../media/image30.png"/><Relationship Id="rId4" Type="http://schemas.openxmlformats.org/officeDocument/2006/relationships/image" Target="../media/image2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openxmlformats.org/officeDocument/2006/relationships/image" Target="../media/image43.png"/><Relationship Id="rId1" Type="http://schemas.openxmlformats.org/officeDocument/2006/relationships/image" Target="../media/image4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6.png"/><Relationship Id="rId1" Type="http://schemas.openxmlformats.org/officeDocument/2006/relationships/image" Target="../media/image4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49.png"/><Relationship Id="rId1" Type="http://schemas.openxmlformats.org/officeDocument/2006/relationships/image" Target="../media/image48.png"/><Relationship Id="rId4" Type="http://schemas.openxmlformats.org/officeDocument/2006/relationships/image" Target="../media/image5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38099</xdr:rowOff>
    </xdr:from>
    <xdr:to>
      <xdr:col>1</xdr:col>
      <xdr:colOff>5439929</xdr:colOff>
      <xdr:row>34</xdr:row>
      <xdr:rowOff>57149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85FDE78-69C1-D0DD-E63C-91E78B108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4"/>
          <a:ext cx="7087754" cy="5991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47625</xdr:colOff>
      <xdr:row>1</xdr:row>
      <xdr:rowOff>92075</xdr:rowOff>
    </xdr:from>
    <xdr:to>
      <xdr:col>9</xdr:col>
      <xdr:colOff>82787</xdr:colOff>
      <xdr:row>20</xdr:row>
      <xdr:rowOff>16051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BD28C90-C5FD-722D-7D71-39C1C00FC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72450" y="1539875"/>
          <a:ext cx="4610337" cy="3362501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1</xdr:row>
      <xdr:rowOff>161925</xdr:rowOff>
    </xdr:from>
    <xdr:to>
      <xdr:col>17</xdr:col>
      <xdr:colOff>628917</xdr:colOff>
      <xdr:row>28</xdr:row>
      <xdr:rowOff>162176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E2A83C13-0215-5ABA-1444-3B31F6A76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30350" y="1609725"/>
          <a:ext cx="5191392" cy="4886576"/>
        </a:xfrm>
        <a:prstGeom prst="rect">
          <a:avLst/>
        </a:prstGeom>
      </xdr:spPr>
    </xdr:pic>
    <xdr:clientData/>
  </xdr:twoCellAnchor>
  <xdr:twoCellAnchor editAs="oneCell">
    <xdr:from>
      <xdr:col>18</xdr:col>
      <xdr:colOff>757800</xdr:colOff>
      <xdr:row>2</xdr:row>
      <xdr:rowOff>57150</xdr:rowOff>
    </xdr:from>
    <xdr:to>
      <xdr:col>36</xdr:col>
      <xdr:colOff>260349</xdr:colOff>
      <xdr:row>39</xdr:row>
      <xdr:rowOff>50800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13C4331-81DA-8959-F10C-1476EE112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9450" y="425450"/>
          <a:ext cx="13237599" cy="680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47625</xdr:rowOff>
    </xdr:from>
    <xdr:to>
      <xdr:col>10</xdr:col>
      <xdr:colOff>304800</xdr:colOff>
      <xdr:row>48</xdr:row>
      <xdr:rowOff>111125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5BA69AF-F560-30B3-7B62-B5418534F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"/>
          <a:ext cx="7924800" cy="856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493058</xdr:colOff>
      <xdr:row>0</xdr:row>
      <xdr:rowOff>67235</xdr:rowOff>
    </xdr:from>
    <xdr:to>
      <xdr:col>27</xdr:col>
      <xdr:colOff>518929</xdr:colOff>
      <xdr:row>28</xdr:row>
      <xdr:rowOff>124648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371E2AA-0E00-E92E-4AF7-CB439A875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23058" y="67235"/>
          <a:ext cx="9169871" cy="50776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98612</xdr:rowOff>
    </xdr:from>
    <xdr:to>
      <xdr:col>9</xdr:col>
      <xdr:colOff>619499</xdr:colOff>
      <xdr:row>40</xdr:row>
      <xdr:rowOff>13907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0843B8F-9B5B-C8DA-84D5-C6D92C0D1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612"/>
          <a:ext cx="7477499" cy="7087060"/>
        </a:xfrm>
        <a:prstGeom prst="rect">
          <a:avLst/>
        </a:prstGeom>
      </xdr:spPr>
    </xdr:pic>
    <xdr:clientData/>
  </xdr:twoCellAnchor>
  <xdr:twoCellAnchor editAs="oneCell">
    <xdr:from>
      <xdr:col>16</xdr:col>
      <xdr:colOff>635373</xdr:colOff>
      <xdr:row>23</xdr:row>
      <xdr:rowOff>124384</xdr:rowOff>
    </xdr:from>
    <xdr:to>
      <xdr:col>24</xdr:col>
      <xdr:colOff>584884</xdr:colOff>
      <xdr:row>48</xdr:row>
      <xdr:rowOff>83339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892B833-94A4-F03F-D7EC-4980077AC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27373" y="4248149"/>
          <a:ext cx="6045511" cy="44413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286274</xdr:colOff>
      <xdr:row>26</xdr:row>
      <xdr:rowOff>25643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BF7FF67-E712-ED88-2E77-3F66A8B4A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192274" cy="4730993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0</xdr:row>
      <xdr:rowOff>0</xdr:rowOff>
    </xdr:from>
    <xdr:to>
      <xdr:col>27</xdr:col>
      <xdr:colOff>324375</xdr:colOff>
      <xdr:row>16</xdr:row>
      <xdr:rowOff>162082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06A9D94-BB78-5AAC-043C-5249F9673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87050" y="0"/>
          <a:ext cx="10211325" cy="3057682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</xdr:colOff>
      <xdr:row>17</xdr:row>
      <xdr:rowOff>28575</xdr:rowOff>
    </xdr:from>
    <xdr:to>
      <xdr:col>27</xdr:col>
      <xdr:colOff>152915</xdr:colOff>
      <xdr:row>39</xdr:row>
      <xdr:rowOff>6554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743B4979-DD4E-7210-AD07-3A0A77E92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96575" y="3105150"/>
          <a:ext cx="10030340" cy="3959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168088</xdr:rowOff>
    </xdr:from>
    <xdr:to>
      <xdr:col>12</xdr:col>
      <xdr:colOff>743399</xdr:colOff>
      <xdr:row>109</xdr:row>
      <xdr:rowOff>104775</xdr:rowOff>
    </xdr:to>
    <xdr:pic>
      <xdr:nvPicPr>
        <xdr:cNvPr id="5" name="Image 4" descr="Fig. 7">
          <a:extLst>
            <a:ext uri="{FF2B5EF4-FFF2-40B4-BE49-F238E27FC236}">
              <a16:creationId xmlns:a16="http://schemas.microsoft.com/office/drawing/2014/main" id="{D1F58E5F-90A0-46C6-A083-0D0FEF2E8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60559"/>
          <a:ext cx="9887399" cy="1248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473636</xdr:colOff>
      <xdr:row>51</xdr:row>
      <xdr:rowOff>95624</xdr:rowOff>
    </xdr:from>
    <xdr:to>
      <xdr:col>20</xdr:col>
      <xdr:colOff>458034</xdr:colOff>
      <xdr:row>70</xdr:row>
      <xdr:rowOff>143614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77B033B7-758F-4575-9967-E7D166DA1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79636" y="9239624"/>
          <a:ext cx="5318398" cy="34545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616324</xdr:colOff>
      <xdr:row>39</xdr:row>
      <xdr:rowOff>22685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5FE8859-3750-4674-9B47-554130A90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74324" cy="7080710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0</xdr:row>
      <xdr:rowOff>0</xdr:rowOff>
    </xdr:from>
    <xdr:to>
      <xdr:col>23</xdr:col>
      <xdr:colOff>238640</xdr:colOff>
      <xdr:row>21</xdr:row>
      <xdr:rowOff>125150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EE0BAC1-98F2-48A4-B538-A860AF9BB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34300" y="0"/>
          <a:ext cx="10030340" cy="39256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866775</xdr:colOff>
      <xdr:row>24</xdr:row>
      <xdr:rowOff>158750</xdr:rowOff>
    </xdr:from>
    <xdr:ext cx="4876800" cy="5238750"/>
    <xdr:pic>
      <xdr:nvPicPr>
        <xdr:cNvPr id="2" name="image40.png" title="Im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81725" y="4730750"/>
          <a:ext cx="4876800" cy="52387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866775</xdr:colOff>
      <xdr:row>0</xdr:row>
      <xdr:rowOff>0</xdr:rowOff>
    </xdr:from>
    <xdr:ext cx="6181725" cy="4543425"/>
    <xdr:pic>
      <xdr:nvPicPr>
        <xdr:cNvPr id="3" name="image30.png" title="Image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181725" y="0"/>
          <a:ext cx="6181725" cy="454342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44450</xdr:colOff>
      <xdr:row>0</xdr:row>
      <xdr:rowOff>0</xdr:rowOff>
    </xdr:from>
    <xdr:ext cx="6096000" cy="4400550"/>
    <xdr:pic>
      <xdr:nvPicPr>
        <xdr:cNvPr id="4" name="image20.png" title="Image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446000" y="0"/>
          <a:ext cx="6096000" cy="4400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866775</xdr:colOff>
      <xdr:row>27</xdr:row>
      <xdr:rowOff>95250</xdr:rowOff>
    </xdr:from>
    <xdr:ext cx="4876800" cy="3981450"/>
    <xdr:pic>
      <xdr:nvPicPr>
        <xdr:cNvPr id="5" name="image36.png" title="Image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496675" y="5238750"/>
          <a:ext cx="4876800" cy="398145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819150</xdr:colOff>
      <xdr:row>26</xdr:row>
      <xdr:rowOff>139700</xdr:rowOff>
    </xdr:from>
    <xdr:ext cx="4876800" cy="4876800"/>
    <xdr:pic>
      <xdr:nvPicPr>
        <xdr:cNvPr id="6" name="image31.png" title="Image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6764000" y="5092700"/>
          <a:ext cx="4876800" cy="48768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9525</xdr:colOff>
      <xdr:row>0</xdr:row>
      <xdr:rowOff>0</xdr:rowOff>
    </xdr:from>
    <xdr:ext cx="5076825" cy="3695700"/>
    <xdr:pic>
      <xdr:nvPicPr>
        <xdr:cNvPr id="2" name="image35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10875" y="0"/>
          <a:ext cx="5076825" cy="3695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0</xdr:row>
      <xdr:rowOff>0</xdr:rowOff>
    </xdr:from>
    <xdr:ext cx="5181600" cy="3829050"/>
    <xdr:pic>
      <xdr:nvPicPr>
        <xdr:cNvPr id="3" name="image24.png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334000" y="0"/>
          <a:ext cx="5181600" cy="38290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22</xdr:row>
      <xdr:rowOff>120650</xdr:rowOff>
    </xdr:from>
    <xdr:ext cx="10372725" cy="2390775"/>
    <xdr:pic>
      <xdr:nvPicPr>
        <xdr:cNvPr id="4" name="image37.png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334000" y="4102100"/>
          <a:ext cx="10372725" cy="2390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36</xdr:row>
      <xdr:rowOff>63500</xdr:rowOff>
    </xdr:from>
    <xdr:ext cx="10325100" cy="2343150"/>
    <xdr:pic>
      <xdr:nvPicPr>
        <xdr:cNvPr id="5" name="image33.png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334000" y="6578600"/>
          <a:ext cx="10325100" cy="23431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49</xdr:row>
      <xdr:rowOff>133350</xdr:rowOff>
    </xdr:from>
    <xdr:ext cx="10410825" cy="3876675"/>
    <xdr:pic>
      <xdr:nvPicPr>
        <xdr:cNvPr id="6" name="image41.png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334000" y="9001125"/>
          <a:ext cx="10410825" cy="38766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72</xdr:row>
      <xdr:rowOff>44450</xdr:rowOff>
    </xdr:from>
    <xdr:ext cx="9620250" cy="3771900"/>
    <xdr:pic>
      <xdr:nvPicPr>
        <xdr:cNvPr id="7" name="image42.png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334000" y="13074650"/>
          <a:ext cx="9620250" cy="37719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94</xdr:row>
      <xdr:rowOff>0</xdr:rowOff>
    </xdr:from>
    <xdr:ext cx="9639300" cy="3733800"/>
    <xdr:pic>
      <xdr:nvPicPr>
        <xdr:cNvPr id="8" name="image44.png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334000" y="17011650"/>
          <a:ext cx="9639300" cy="373380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370115</xdr:colOff>
      <xdr:row>12</xdr:row>
      <xdr:rowOff>48986</xdr:rowOff>
    </xdr:from>
    <xdr:ext cx="11953875" cy="3790950"/>
    <xdr:pic>
      <xdr:nvPicPr>
        <xdr:cNvPr id="2" name="image1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57340" y="2220686"/>
          <a:ext cx="11953875" cy="3790950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161926</xdr:colOff>
      <xdr:row>40</xdr:row>
      <xdr:rowOff>37646</xdr:rowOff>
    </xdr:from>
    <xdr:ext cx="11991975" cy="3667125"/>
    <xdr:pic>
      <xdr:nvPicPr>
        <xdr:cNvPr id="3" name="image39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002376" y="7276646"/>
          <a:ext cx="11991975" cy="3667125"/>
        </a:xfrm>
        <a:prstGeom prst="rect">
          <a:avLst/>
        </a:prstGeom>
        <a:noFill/>
      </xdr:spPr>
    </xdr:pic>
    <xdr:clientData fLocksWithSheet="0"/>
  </xdr:oneCellAnchor>
  <xdr:oneCellAnchor>
    <xdr:from>
      <xdr:col>26</xdr:col>
      <xdr:colOff>410481</xdr:colOff>
      <xdr:row>28</xdr:row>
      <xdr:rowOff>168729</xdr:rowOff>
    </xdr:from>
    <xdr:ext cx="9096375" cy="2190750"/>
    <xdr:pic>
      <xdr:nvPicPr>
        <xdr:cNvPr id="4" name="image7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1051156" y="5236029"/>
          <a:ext cx="9096375" cy="219075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120650</xdr:colOff>
      <xdr:row>71</xdr:row>
      <xdr:rowOff>39007</xdr:rowOff>
    </xdr:from>
    <xdr:ext cx="9220200" cy="2647950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5088507" y="12598400"/>
          <a:ext cx="9220200" cy="2647950"/>
        </a:xfrm>
        <a:prstGeom prst="rect">
          <a:avLst/>
        </a:prstGeom>
        <a:noFill/>
      </xdr:spPr>
    </xdr:pic>
    <xdr:clientData fLocksWithSheet="0"/>
  </xdr:oneCellAnchor>
  <xdr:oneCellAnchor>
    <xdr:from>
      <xdr:col>32</xdr:col>
      <xdr:colOff>35379</xdr:colOff>
      <xdr:row>36</xdr:row>
      <xdr:rowOff>38553</xdr:rowOff>
    </xdr:from>
    <xdr:ext cx="4876800" cy="2352675"/>
    <xdr:pic>
      <xdr:nvPicPr>
        <xdr:cNvPr id="6" name="image2.png" title="Imag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276504" y="6553653"/>
          <a:ext cx="4876800" cy="2352675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121103</xdr:colOff>
      <xdr:row>87</xdr:row>
      <xdr:rowOff>30842</xdr:rowOff>
    </xdr:from>
    <xdr:ext cx="8839200" cy="6096000"/>
    <xdr:pic>
      <xdr:nvPicPr>
        <xdr:cNvPr id="7" name="image21.png" title="Imag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5088960" y="15420521"/>
          <a:ext cx="8839200" cy="60960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15</xdr:col>
      <xdr:colOff>0</xdr:colOff>
      <xdr:row>30</xdr:row>
      <xdr:rowOff>0</xdr:rowOff>
    </xdr:from>
    <xdr:to>
      <xdr:col>47</xdr:col>
      <xdr:colOff>57150</xdr:colOff>
      <xdr:row>82</xdr:row>
      <xdr:rowOff>85725</xdr:rowOff>
    </xdr:to>
    <xdr:sp macro="" textlink="">
      <xdr:nvSpPr>
        <xdr:cNvPr id="3073" name="AutoShape 1" descr="Image générée">
          <a:extLst>
            <a:ext uri="{FF2B5EF4-FFF2-40B4-BE49-F238E27FC236}">
              <a16:creationId xmlns:a16="http://schemas.microsoft.com/office/drawing/2014/main" id="{8F4599E7-4C1D-9935-C744-09FBB6A4EEF4}"/>
            </a:ext>
          </a:extLst>
        </xdr:cNvPr>
        <xdr:cNvSpPr>
          <a:spLocks noChangeAspect="1" noChangeArrowheads="1"/>
        </xdr:cNvSpPr>
      </xdr:nvSpPr>
      <xdr:spPr bwMode="auto">
        <a:xfrm>
          <a:off x="13823950" y="5334000"/>
          <a:ext cx="22663150" cy="933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-190500</xdr:rowOff>
    </xdr:from>
    <xdr:ext cx="8763000" cy="792480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38100</xdr:rowOff>
    </xdr:from>
    <xdr:ext cx="12287250" cy="3019425"/>
    <xdr:pic>
      <xdr:nvPicPr>
        <xdr:cNvPr id="3" name="image6.png" title="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190500</xdr:rowOff>
    </xdr:from>
    <xdr:ext cx="12287250" cy="6429375"/>
    <xdr:pic>
      <xdr:nvPicPr>
        <xdr:cNvPr id="4" name="image18.png" title="Imag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4876800" cy="3524250"/>
    <xdr:pic>
      <xdr:nvPicPr>
        <xdr:cNvPr id="2" name="image43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4876800" cy="6200775"/>
    <xdr:pic>
      <xdr:nvPicPr>
        <xdr:cNvPr id="2" name="image29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76800" cy="8020050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76800" cy="2857500"/>
    <xdr:pic>
      <xdr:nvPicPr>
        <xdr:cNvPr id="2" name="image25.png" title="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57150</xdr:rowOff>
    </xdr:from>
    <xdr:ext cx="4876800" cy="2933700"/>
    <xdr:pic>
      <xdr:nvPicPr>
        <xdr:cNvPr id="3" name="image15.png" title="Imag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190500</xdr:rowOff>
    </xdr:from>
    <xdr:ext cx="4876800" cy="2924175"/>
    <xdr:pic>
      <xdr:nvPicPr>
        <xdr:cNvPr id="4" name="image10.png" title="Image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819150</xdr:colOff>
      <xdr:row>1</xdr:row>
      <xdr:rowOff>19050</xdr:rowOff>
    </xdr:from>
    <xdr:ext cx="4876800" cy="2924175"/>
    <xdr:pic>
      <xdr:nvPicPr>
        <xdr:cNvPr id="5" name="image17.png" title="Image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353675" cy="4724400"/>
    <xdr:pic>
      <xdr:nvPicPr>
        <xdr:cNvPr id="2" name="image14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76200</xdr:rowOff>
    </xdr:from>
    <xdr:ext cx="7029450" cy="1485900"/>
    <xdr:pic>
      <xdr:nvPicPr>
        <xdr:cNvPr id="2" name="image34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0</xdr:row>
      <xdr:rowOff>0</xdr:rowOff>
    </xdr:from>
    <xdr:ext cx="5724525" cy="5743575"/>
    <xdr:pic>
      <xdr:nvPicPr>
        <xdr:cNvPr id="3" name="image13.pn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10</xdr:row>
      <xdr:rowOff>152400</xdr:rowOff>
    </xdr:from>
    <xdr:ext cx="5448300" cy="2247900"/>
    <xdr:pic>
      <xdr:nvPicPr>
        <xdr:cNvPr id="4" name="image45.png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67300" cy="4876800"/>
    <xdr:pic>
      <xdr:nvPicPr>
        <xdr:cNvPr id="2" name="image9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476250</xdr:colOff>
      <xdr:row>1</xdr:row>
      <xdr:rowOff>47625</xdr:rowOff>
    </xdr:from>
    <xdr:ext cx="9248775" cy="2581275"/>
    <xdr:pic>
      <xdr:nvPicPr>
        <xdr:cNvPr id="3" name="image23.pn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67275" cy="7791450"/>
    <xdr:pic>
      <xdr:nvPicPr>
        <xdr:cNvPr id="2" name="image12.png" title="Imag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142875</xdr:colOff>
      <xdr:row>2</xdr:row>
      <xdr:rowOff>142875</xdr:rowOff>
    </xdr:from>
    <xdr:ext cx="7219950" cy="4619625"/>
    <xdr:pic>
      <xdr:nvPicPr>
        <xdr:cNvPr id="2" name="image22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44375" y="504825"/>
          <a:ext cx="7219950" cy="4619625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28575</xdr:colOff>
      <xdr:row>8</xdr:row>
      <xdr:rowOff>15875</xdr:rowOff>
    </xdr:from>
    <xdr:ext cx="11214100" cy="6711949"/>
    <xdr:pic>
      <xdr:nvPicPr>
        <xdr:cNvPr id="3" name="image16.png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83100" y="1463675"/>
          <a:ext cx="11214100" cy="6711949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244475</xdr:colOff>
      <xdr:row>39</xdr:row>
      <xdr:rowOff>19050</xdr:rowOff>
    </xdr:from>
    <xdr:ext cx="7439025" cy="4191000"/>
    <xdr:pic>
      <xdr:nvPicPr>
        <xdr:cNvPr id="4" name="image46.png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798925" y="7077075"/>
          <a:ext cx="7439025" cy="41910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152400</xdr:rowOff>
    </xdr:from>
    <xdr:ext cx="7962900" cy="4324350"/>
    <xdr:pic>
      <xdr:nvPicPr>
        <xdr:cNvPr id="5" name="image26.png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34275" cy="5219700"/>
    <xdr:pic>
      <xdr:nvPicPr>
        <xdr:cNvPr id="2" name="image28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vale.com/long-harbour?utm_source=chatgpt.com" TargetMode="External"/><Relationship Id="rId7" Type="http://schemas.openxmlformats.org/officeDocument/2006/relationships/hyperlink" Target="https://www.teck.com/operations/canada/operations/trail-operations/?utm_source=chatgpt.com" TargetMode="External"/><Relationship Id="rId2" Type="http://schemas.openxmlformats.org/officeDocument/2006/relationships/hyperlink" Target="https://vale.com/documents/d/guest/nickel_pellets_can-2?utm_source=chatgpt.com" TargetMode="External"/><Relationship Id="rId1" Type="http://schemas.openxmlformats.org/officeDocument/2006/relationships/hyperlink" Target="https://www.glencore.ca/en/horne?utm_source=chatgpt.com" TargetMode="External"/><Relationship Id="rId6" Type="http://schemas.openxmlformats.org/officeDocument/2006/relationships/hyperlink" Target="https://s2.q4cdn.com/343762060/files/doc_downloads/How_Sherritt_Refines_Metals_2017.pdf?utm_source=chatgpt.com" TargetMode="External"/><Relationship Id="rId5" Type="http://schemas.openxmlformats.org/officeDocument/2006/relationships/hyperlink" Target="https://www.glencore.ca/en/sudburyino/who-we-are/at-a-glance?utm_source=chatgpt.com" TargetMode="External"/><Relationship Id="rId4" Type="http://schemas.openxmlformats.org/officeDocument/2006/relationships/hyperlink" Target="https://vale.com/port-colborne?utm_source=chatgpt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80000"/>
  </sheetPr>
  <dimension ref="A1:E1013"/>
  <sheetViews>
    <sheetView workbookViewId="0">
      <selection activeCell="A37" sqref="A37"/>
    </sheetView>
  </sheetViews>
  <sheetFormatPr baseColWidth="10" defaultColWidth="12.5703125" defaultRowHeight="15" customHeight="1" x14ac:dyDescent="0.25"/>
  <cols>
    <col min="1" max="1" width="88.7109375" bestFit="1" customWidth="1"/>
    <col min="2" max="2" width="37.7109375" bestFit="1" customWidth="1"/>
    <col min="3" max="3" width="51.5703125" bestFit="1" customWidth="1"/>
    <col min="4" max="4" width="75.5703125" customWidth="1"/>
    <col min="5" max="5" width="244" customWidth="1"/>
    <col min="6" max="28" width="8.5703125" customWidth="1"/>
  </cols>
  <sheetData>
    <row r="1" spans="1:5" ht="14.25" customHeight="1" x14ac:dyDescent="0.25">
      <c r="A1" s="2" t="s">
        <v>504</v>
      </c>
      <c r="B1" t="s">
        <v>505</v>
      </c>
    </row>
    <row r="2" spans="1:5" ht="14.25" customHeight="1" x14ac:dyDescent="0.25">
      <c r="A2" s="2" t="s">
        <v>506</v>
      </c>
      <c r="B2" t="s">
        <v>507</v>
      </c>
    </row>
    <row r="3" spans="1:5" ht="14.25" customHeight="1" x14ac:dyDescent="0.25">
      <c r="A3" s="2" t="s">
        <v>508</v>
      </c>
    </row>
    <row r="4" spans="1:5" ht="14.25" customHeight="1" x14ac:dyDescent="0.25">
      <c r="A4" s="2" t="s">
        <v>509</v>
      </c>
      <c r="B4" t="s">
        <v>510</v>
      </c>
    </row>
    <row r="5" spans="1:5" ht="14.25" customHeight="1" x14ac:dyDescent="0.25"/>
    <row r="6" spans="1:5" ht="14.25" customHeight="1" x14ac:dyDescent="0.25"/>
    <row r="7" spans="1:5" ht="14.25" customHeight="1" x14ac:dyDescent="0.25">
      <c r="A7" s="2"/>
      <c r="B7" s="2"/>
      <c r="C7" s="2"/>
      <c r="D7" s="2"/>
      <c r="E7" s="2"/>
    </row>
    <row r="8" spans="1:5" s="38" customFormat="1" ht="14.25" customHeight="1" x14ac:dyDescent="0.25">
      <c r="A8" s="35"/>
      <c r="B8" s="35"/>
      <c r="C8" s="35"/>
      <c r="D8" s="35"/>
      <c r="E8" s="35"/>
    </row>
    <row r="9" spans="1:5" s="38" customFormat="1" ht="14.25" customHeight="1" x14ac:dyDescent="0.25">
      <c r="A9" s="35"/>
      <c r="B9" s="35"/>
      <c r="C9" s="35"/>
      <c r="D9" s="35"/>
      <c r="E9" s="4"/>
    </row>
    <row r="10" spans="1:5" s="38" customFormat="1" ht="14.25" customHeight="1" x14ac:dyDescent="0.25">
      <c r="A10" s="35"/>
      <c r="B10" s="35"/>
      <c r="C10" s="35"/>
      <c r="D10" s="36"/>
      <c r="E10" s="4"/>
    </row>
    <row r="11" spans="1:5" s="38" customFormat="1" ht="14.25" customHeight="1" x14ac:dyDescent="0.25">
      <c r="A11" s="35"/>
      <c r="B11" s="35"/>
      <c r="C11" s="35"/>
      <c r="D11" s="35"/>
      <c r="E11" s="4"/>
    </row>
    <row r="12" spans="1:5" s="38" customFormat="1" ht="14.25" customHeight="1" x14ac:dyDescent="0.25">
      <c r="A12" s="7"/>
      <c r="B12" s="35"/>
      <c r="C12" s="35"/>
      <c r="D12" s="35"/>
      <c r="E12" s="3"/>
    </row>
    <row r="13" spans="1:5" s="38" customFormat="1" ht="14.25" customHeight="1" x14ac:dyDescent="0.25">
      <c r="A13" s="35"/>
      <c r="B13" s="35"/>
      <c r="C13" s="35"/>
      <c r="D13" s="35"/>
      <c r="E13" s="35"/>
    </row>
    <row r="14" spans="1:5" s="38" customFormat="1" ht="14.25" customHeight="1" x14ac:dyDescent="0.25">
      <c r="A14" s="35"/>
      <c r="B14" s="35"/>
      <c r="C14" s="35"/>
      <c r="D14" s="35"/>
      <c r="E14" s="35"/>
    </row>
    <row r="15" spans="1:5" s="38" customFormat="1" ht="14.25" customHeight="1" x14ac:dyDescent="0.25">
      <c r="A15" s="35"/>
      <c r="B15" s="35"/>
      <c r="C15" s="35"/>
      <c r="D15" s="35"/>
      <c r="E15" s="35"/>
    </row>
    <row r="16" spans="1:5" ht="14.25" customHeight="1" x14ac:dyDescent="0.25">
      <c r="A16" s="2"/>
      <c r="B16" s="2"/>
      <c r="C16" s="2"/>
      <c r="D16" s="2"/>
      <c r="E16" s="2"/>
    </row>
    <row r="17" spans="1:5" ht="14.25" customHeight="1" x14ac:dyDescent="0.25">
      <c r="A17" s="2"/>
      <c r="B17" s="2"/>
      <c r="C17" s="2"/>
      <c r="D17" s="2"/>
      <c r="E17" s="2"/>
    </row>
    <row r="18" spans="1:5" ht="14.25" customHeight="1" x14ac:dyDescent="0.25">
      <c r="A18" s="2"/>
      <c r="B18" s="2"/>
      <c r="C18" s="2"/>
      <c r="D18" s="2"/>
      <c r="E18" s="2"/>
    </row>
    <row r="19" spans="1:5" ht="14.25" customHeight="1" x14ac:dyDescent="0.25">
      <c r="A19" s="2"/>
      <c r="B19" s="2"/>
      <c r="C19" s="2"/>
      <c r="D19" s="2"/>
      <c r="E19" s="2"/>
    </row>
    <row r="20" spans="1:5" ht="14.25" customHeight="1" x14ac:dyDescent="0.25">
      <c r="A20" s="16"/>
      <c r="B20" s="2"/>
      <c r="C20" s="2"/>
      <c r="D20" s="2"/>
      <c r="E20" s="2"/>
    </row>
    <row r="21" spans="1:5" ht="14.25" customHeight="1" x14ac:dyDescent="0.25">
      <c r="A21" s="1"/>
      <c r="B21" s="1"/>
      <c r="C21" s="1"/>
      <c r="D21" s="1"/>
      <c r="E21" s="3"/>
    </row>
    <row r="22" spans="1:5" ht="14.25" customHeight="1" x14ac:dyDescent="0.25">
      <c r="A22" s="1"/>
      <c r="B22" s="1"/>
      <c r="C22" s="1"/>
      <c r="D22" s="1"/>
      <c r="E22" s="3"/>
    </row>
    <row r="23" spans="1:5" ht="14.25" customHeight="1" x14ac:dyDescent="0.25">
      <c r="A23" s="1"/>
      <c r="B23" s="1"/>
      <c r="C23" s="1"/>
      <c r="D23" s="1"/>
      <c r="E23" s="3"/>
    </row>
    <row r="24" spans="1:5" ht="14.25" customHeight="1" x14ac:dyDescent="0.25">
      <c r="A24" s="1"/>
      <c r="B24" s="1"/>
      <c r="C24" s="1"/>
      <c r="D24" s="1"/>
      <c r="E24" s="3"/>
    </row>
    <row r="25" spans="1:5" ht="14.25" customHeight="1" x14ac:dyDescent="0.25">
      <c r="A25" s="1"/>
      <c r="B25" s="1"/>
      <c r="C25" s="1"/>
      <c r="D25" s="1"/>
      <c r="E25" s="3"/>
    </row>
    <row r="26" spans="1:5" ht="14.25" customHeight="1" x14ac:dyDescent="0.25">
      <c r="A26" s="1"/>
      <c r="B26" s="1"/>
      <c r="C26" s="1"/>
      <c r="D26" s="1"/>
      <c r="E26" s="4"/>
    </row>
    <row r="27" spans="1:5" ht="14.25" customHeight="1" x14ac:dyDescent="0.25">
      <c r="A27" s="1"/>
      <c r="B27" s="1"/>
      <c r="C27" s="1"/>
      <c r="D27" s="1"/>
      <c r="E27" s="3"/>
    </row>
    <row r="28" spans="1:5" ht="14.25" customHeight="1" x14ac:dyDescent="0.25">
      <c r="A28" s="1"/>
      <c r="B28" s="1"/>
      <c r="C28" s="1"/>
      <c r="D28" s="1"/>
      <c r="E28" s="3"/>
    </row>
    <row r="29" spans="1:5" ht="14.25" customHeight="1" x14ac:dyDescent="0.25">
      <c r="A29" s="1"/>
      <c r="B29" s="1"/>
      <c r="C29" s="1"/>
      <c r="D29" s="1"/>
      <c r="E29" s="3"/>
    </row>
    <row r="30" spans="1:5" ht="14.25" customHeight="1" x14ac:dyDescent="0.25">
      <c r="A30" s="5"/>
      <c r="B30" s="1"/>
      <c r="C30" s="1"/>
      <c r="D30" s="1"/>
      <c r="E30" s="3"/>
    </row>
    <row r="31" spans="1:5" ht="14.25" customHeight="1" x14ac:dyDescent="0.25">
      <c r="A31" s="5"/>
      <c r="B31" s="5"/>
      <c r="C31" s="5"/>
      <c r="D31" s="5"/>
      <c r="E31" s="4"/>
    </row>
    <row r="32" spans="1:5" ht="14.25" customHeight="1" x14ac:dyDescent="0.25">
      <c r="A32" s="5"/>
      <c r="B32" s="5"/>
      <c r="C32" s="5"/>
      <c r="D32" s="5"/>
      <c r="E32" s="4"/>
    </row>
    <row r="33" spans="1:5" ht="14.25" customHeight="1" x14ac:dyDescent="0.25">
      <c r="A33" s="5"/>
      <c r="B33" s="5"/>
      <c r="C33" s="5"/>
      <c r="D33" s="5"/>
      <c r="E33" s="4"/>
    </row>
    <row r="34" spans="1:5" ht="14.25" customHeight="1" x14ac:dyDescent="0.25"/>
    <row r="35" spans="1:5" ht="14.25" customHeight="1" x14ac:dyDescent="0.25"/>
    <row r="36" spans="1:5" ht="14.25" customHeight="1" x14ac:dyDescent="0.25"/>
    <row r="37" spans="1:5" ht="14.25" customHeight="1" x14ac:dyDescent="0.25"/>
    <row r="38" spans="1:5" ht="14.25" customHeight="1" x14ac:dyDescent="0.25"/>
    <row r="39" spans="1:5" ht="14.25" customHeight="1" x14ac:dyDescent="0.25"/>
    <row r="40" spans="1:5" ht="14.25" customHeight="1" x14ac:dyDescent="0.25"/>
    <row r="41" spans="1:5" ht="14.25" customHeight="1" x14ac:dyDescent="0.25"/>
    <row r="42" spans="1:5" ht="14.25" customHeight="1" x14ac:dyDescent="0.25"/>
    <row r="43" spans="1:5" ht="14.25" customHeight="1" x14ac:dyDescent="0.25"/>
    <row r="44" spans="1:5" ht="14.25" customHeight="1" x14ac:dyDescent="0.25"/>
    <row r="45" spans="1:5" ht="14.25" customHeight="1" x14ac:dyDescent="0.25"/>
    <row r="46" spans="1:5" ht="14.25" customHeight="1" x14ac:dyDescent="0.25"/>
    <row r="47" spans="1:5" ht="14.25" customHeight="1" x14ac:dyDescent="0.25"/>
    <row r="48" spans="1:5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4967A-AAD9-468C-A382-1EAB98E147D7}">
  <dimension ref="A1:F31"/>
  <sheetViews>
    <sheetView workbookViewId="0">
      <selection activeCell="A17" sqref="A17"/>
    </sheetView>
  </sheetViews>
  <sheetFormatPr baseColWidth="10" defaultRowHeight="15" x14ac:dyDescent="0.25"/>
  <cols>
    <col min="1" max="1" width="67.42578125" customWidth="1"/>
    <col min="2" max="2" width="78.5703125" bestFit="1" customWidth="1"/>
    <col min="3" max="3" width="96.5703125" bestFit="1" customWidth="1"/>
    <col min="4" max="4" width="181.140625" bestFit="1" customWidth="1"/>
    <col min="5" max="5" width="213.85546875" bestFit="1" customWidth="1"/>
  </cols>
  <sheetData>
    <row r="1" spans="1:6" s="27" customFormat="1" x14ac:dyDescent="0.25">
      <c r="A1" s="26" t="s">
        <v>239</v>
      </c>
      <c r="B1" s="26" t="s">
        <v>240</v>
      </c>
      <c r="C1" s="26" t="s">
        <v>241</v>
      </c>
      <c r="D1" s="26" t="s">
        <v>242</v>
      </c>
      <c r="E1" s="26" t="s">
        <v>243</v>
      </c>
    </row>
    <row r="2" spans="1:6" s="30" customFormat="1" x14ac:dyDescent="0.25">
      <c r="A2" s="28" t="s">
        <v>244</v>
      </c>
      <c r="B2" s="28" t="s">
        <v>258</v>
      </c>
      <c r="C2" s="28" t="s">
        <v>259</v>
      </c>
      <c r="D2" s="28" t="s">
        <v>260</v>
      </c>
      <c r="E2" s="29" t="s">
        <v>245</v>
      </c>
    </row>
    <row r="3" spans="1:6" s="30" customFormat="1" x14ac:dyDescent="0.25">
      <c r="A3" s="28" t="s">
        <v>246</v>
      </c>
      <c r="B3" s="28" t="s">
        <v>261</v>
      </c>
      <c r="C3" s="28" t="s">
        <v>262</v>
      </c>
      <c r="D3" s="28" t="s">
        <v>263</v>
      </c>
      <c r="E3" s="29" t="s">
        <v>247</v>
      </c>
    </row>
    <row r="4" spans="1:6" s="30" customFormat="1" x14ac:dyDescent="0.25">
      <c r="A4" s="31" t="s">
        <v>248</v>
      </c>
      <c r="B4" s="28" t="s">
        <v>264</v>
      </c>
      <c r="C4" s="28" t="s">
        <v>265</v>
      </c>
      <c r="D4" s="28" t="s">
        <v>266</v>
      </c>
      <c r="E4" s="29" t="s">
        <v>249</v>
      </c>
    </row>
    <row r="5" spans="1:6" s="30" customFormat="1" x14ac:dyDescent="0.25">
      <c r="A5" s="28" t="s">
        <v>250</v>
      </c>
      <c r="B5" s="28" t="s">
        <v>267</v>
      </c>
      <c r="C5" s="28" t="s">
        <v>268</v>
      </c>
      <c r="D5" s="28" t="s">
        <v>269</v>
      </c>
      <c r="E5" s="29" t="s">
        <v>251</v>
      </c>
    </row>
    <row r="6" spans="1:6" s="30" customFormat="1" x14ac:dyDescent="0.25">
      <c r="A6" s="28" t="s">
        <v>252</v>
      </c>
      <c r="B6" s="28" t="s">
        <v>270</v>
      </c>
      <c r="C6" s="28" t="s">
        <v>271</v>
      </c>
      <c r="D6" s="28" t="s">
        <v>272</v>
      </c>
      <c r="E6" s="29" t="s">
        <v>253</v>
      </c>
    </row>
    <row r="7" spans="1:6" s="30" customFormat="1" x14ac:dyDescent="0.25">
      <c r="A7" s="31" t="s">
        <v>254</v>
      </c>
      <c r="B7" s="28" t="s">
        <v>273</v>
      </c>
      <c r="C7" s="28" t="s">
        <v>274</v>
      </c>
      <c r="D7" s="28" t="s">
        <v>275</v>
      </c>
      <c r="E7" s="29" t="s">
        <v>255</v>
      </c>
    </row>
    <row r="8" spans="1:6" s="30" customFormat="1" x14ac:dyDescent="0.25">
      <c r="A8" s="28" t="s">
        <v>256</v>
      </c>
      <c r="B8" s="28" t="s">
        <v>276</v>
      </c>
      <c r="C8" s="28" t="s">
        <v>277</v>
      </c>
      <c r="D8" s="28" t="s">
        <v>278</v>
      </c>
      <c r="E8" s="29" t="s">
        <v>257</v>
      </c>
    </row>
    <row r="9" spans="1:6" s="30" customFormat="1" x14ac:dyDescent="0.25"/>
    <row r="11" spans="1:6" x14ac:dyDescent="0.25">
      <c r="A11" s="30"/>
    </row>
    <row r="12" spans="1:6" x14ac:dyDescent="0.25">
      <c r="A12" s="30"/>
    </row>
    <row r="14" spans="1:6" x14ac:dyDescent="0.25">
      <c r="A14" s="32" t="s">
        <v>279</v>
      </c>
      <c r="B14" s="32" t="s">
        <v>280</v>
      </c>
      <c r="C14" s="32" t="s">
        <v>281</v>
      </c>
      <c r="D14" s="32" t="s">
        <v>282</v>
      </c>
      <c r="E14" s="32" t="s">
        <v>283</v>
      </c>
      <c r="F14" s="32" t="s">
        <v>284</v>
      </c>
    </row>
    <row r="15" spans="1:6" ht="30" x14ac:dyDescent="0.25">
      <c r="A15" s="25" t="s">
        <v>285</v>
      </c>
      <c r="B15" s="25" t="s">
        <v>286</v>
      </c>
      <c r="C15" s="25" t="s">
        <v>287</v>
      </c>
      <c r="D15" s="25" t="s">
        <v>288</v>
      </c>
      <c r="E15" s="25" t="s">
        <v>289</v>
      </c>
      <c r="F15" s="25" t="s">
        <v>290</v>
      </c>
    </row>
    <row r="16" spans="1:6" ht="30" x14ac:dyDescent="0.25">
      <c r="A16" s="25" t="s">
        <v>291</v>
      </c>
      <c r="B16" s="25" t="s">
        <v>292</v>
      </c>
      <c r="C16" s="25" t="s">
        <v>293</v>
      </c>
      <c r="D16" s="25" t="s">
        <v>294</v>
      </c>
      <c r="E16" s="25" t="s">
        <v>295</v>
      </c>
      <c r="F16" s="25" t="s">
        <v>296</v>
      </c>
    </row>
    <row r="17" spans="1:6" x14ac:dyDescent="0.25">
      <c r="A17" s="25" t="s">
        <v>297</v>
      </c>
      <c r="B17" s="25" t="s">
        <v>298</v>
      </c>
      <c r="C17" s="25" t="s">
        <v>102</v>
      </c>
      <c r="D17" s="25" t="s">
        <v>299</v>
      </c>
      <c r="E17" s="25" t="s">
        <v>300</v>
      </c>
      <c r="F17" s="25" t="s">
        <v>301</v>
      </c>
    </row>
    <row r="18" spans="1:6" ht="60" x14ac:dyDescent="0.25">
      <c r="A18" s="25" t="s">
        <v>302</v>
      </c>
      <c r="B18" s="25" t="s">
        <v>303</v>
      </c>
      <c r="C18" s="25" t="s">
        <v>304</v>
      </c>
      <c r="D18" s="25" t="s">
        <v>299</v>
      </c>
      <c r="E18" s="25" t="s">
        <v>305</v>
      </c>
      <c r="F18" s="25" t="s">
        <v>306</v>
      </c>
    </row>
    <row r="20" spans="1:6" x14ac:dyDescent="0.25">
      <c r="A20" t="s">
        <v>307</v>
      </c>
    </row>
    <row r="22" spans="1:6" x14ac:dyDescent="0.25">
      <c r="A22" s="33" t="s">
        <v>308</v>
      </c>
    </row>
    <row r="25" spans="1:6" x14ac:dyDescent="0.25">
      <c r="A25" t="s">
        <v>321</v>
      </c>
    </row>
    <row r="26" spans="1:6" x14ac:dyDescent="0.25">
      <c r="A26" s="30" t="s">
        <v>309</v>
      </c>
      <c r="B26" s="30" t="s">
        <v>311</v>
      </c>
    </row>
    <row r="27" spans="1:6" x14ac:dyDescent="0.25">
      <c r="A27" s="30" t="s">
        <v>310</v>
      </c>
      <c r="B27" s="30" t="s">
        <v>312</v>
      </c>
    </row>
    <row r="28" spans="1:6" x14ac:dyDescent="0.25">
      <c r="A28" s="30" t="s">
        <v>313</v>
      </c>
      <c r="B28" s="30" t="s">
        <v>316</v>
      </c>
    </row>
    <row r="29" spans="1:6" x14ac:dyDescent="0.25">
      <c r="A29" s="30" t="s">
        <v>314</v>
      </c>
      <c r="B29" s="30" t="s">
        <v>317</v>
      </c>
    </row>
    <row r="30" spans="1:6" x14ac:dyDescent="0.25">
      <c r="A30" s="30" t="s">
        <v>318</v>
      </c>
      <c r="B30" s="30" t="s">
        <v>317</v>
      </c>
    </row>
    <row r="31" spans="1:6" x14ac:dyDescent="0.25">
      <c r="A31" s="30" t="s">
        <v>315</v>
      </c>
      <c r="B31" s="30" t="s">
        <v>316</v>
      </c>
    </row>
  </sheetData>
  <hyperlinks>
    <hyperlink ref="E2" r:id="rId1" tooltip="Horne Smelter" display="https://www.glencore.ca/en/horne?utm_source=chatgpt.com" xr:uid="{1086FE99-6C4F-410F-8B8F-7DF1457A4618}"/>
    <hyperlink ref="E3" r:id="rId2" tooltip="Nickel Pellets (Canada)" display="https://vale.com/documents/d/guest/nickel_pellets_can-2?utm_source=chatgpt.com" xr:uid="{6E8C70F1-07DA-405C-AF82-5110DA320AB5}"/>
    <hyperlink ref="E4" r:id="rId3" tooltip="Long Harbour" display="https://vale.com/long-harbour?utm_source=chatgpt.com" xr:uid="{C3F7D2A0-97CB-4B5B-B5B9-7A8FDBA291C0}"/>
    <hyperlink ref="E5" r:id="rId4" tooltip="Port Colborne" display="https://vale.com/port-colborne?utm_source=chatgpt.com" xr:uid="{1DBC78DE-CD4B-446E-BC65-F0B2C050EA41}"/>
    <hyperlink ref="E6" r:id="rId5" tooltip="At a glance" display="https://www.glencore.ca/en/sudburyino/who-we-are/at-a-glance?utm_source=chatgpt.com" xr:uid="{3BF05530-FCF6-4310-ABA8-BD8CEE302373}"/>
    <hyperlink ref="E7" r:id="rId6" tooltip="How Sherritt Refines Metals" display="https://s2.q4cdn.com/343762060/files/doc_downloads/How_Sherritt_Refines_Metals_2017.pdf?utm_source=chatgpt.com" xr:uid="{125B81E8-8610-4033-941A-7CF9D1900569}"/>
    <hyperlink ref="E8" r:id="rId7" tooltip="Trail Operations" display="https://www.teck.com/operations/canada/operations/trail-operations/?utm_source=chatgpt.com" xr:uid="{ED2CBCFD-221B-4DA5-8759-19C61BEC790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AE06-FF1F-461E-91A7-D3F0C31B223D}">
  <sheetPr>
    <outlinePr summaryBelow="0" summaryRight="0"/>
  </sheetPr>
  <dimension ref="A1:AL899"/>
  <sheetViews>
    <sheetView workbookViewId="0">
      <selection activeCell="D12" sqref="D12"/>
    </sheetView>
  </sheetViews>
  <sheetFormatPr baseColWidth="10" defaultColWidth="12.5703125" defaultRowHeight="15" customHeight="1" x14ac:dyDescent="0.25"/>
  <cols>
    <col min="1" max="1" width="22.140625" customWidth="1"/>
    <col min="2" max="2" width="41.42578125" bestFit="1" customWidth="1"/>
    <col min="3" max="3" width="41.42578125" customWidth="1"/>
    <col min="4" max="4" width="45.85546875" bestFit="1" customWidth="1"/>
    <col min="5" max="5" width="22.42578125" bestFit="1" customWidth="1"/>
    <col min="6" max="6" width="12.42578125" bestFit="1" customWidth="1"/>
    <col min="7" max="7" width="45.140625" bestFit="1" customWidth="1"/>
    <col min="8" max="8" width="18.7109375" customWidth="1"/>
    <col min="9" max="9" width="17.42578125" customWidth="1"/>
    <col min="10" max="10" width="35.42578125" customWidth="1"/>
    <col min="11" max="11" width="18.85546875" bestFit="1" customWidth="1"/>
    <col min="12" max="12" width="96.140625" customWidth="1"/>
    <col min="13" max="13" width="52.5703125" customWidth="1"/>
  </cols>
  <sheetData>
    <row r="1" spans="1:38" x14ac:dyDescent="0.25">
      <c r="A1" s="6" t="s">
        <v>11</v>
      </c>
      <c r="B1" s="6" t="s">
        <v>12</v>
      </c>
      <c r="C1" s="6" t="s">
        <v>237</v>
      </c>
      <c r="D1" s="6" t="s">
        <v>14</v>
      </c>
      <c r="E1" s="6" t="s">
        <v>13</v>
      </c>
      <c r="F1" s="6" t="s">
        <v>15</v>
      </c>
      <c r="G1" s="6" t="s">
        <v>238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x14ac:dyDescent="0.25">
      <c r="A2" s="8" t="s">
        <v>5</v>
      </c>
      <c r="B2" s="8" t="s">
        <v>0</v>
      </c>
      <c r="C2" s="8"/>
      <c r="D2" s="8" t="s">
        <v>34</v>
      </c>
      <c r="E2" s="8"/>
      <c r="F2" s="8" t="s">
        <v>35</v>
      </c>
      <c r="G2" s="8" t="s">
        <v>24</v>
      </c>
      <c r="H2" s="8" t="s">
        <v>27</v>
      </c>
      <c r="I2" s="8" t="s">
        <v>27</v>
      </c>
      <c r="J2" s="8" t="s">
        <v>36</v>
      </c>
      <c r="K2" s="8" t="s">
        <v>37</v>
      </c>
      <c r="L2" s="8" t="s">
        <v>38</v>
      </c>
      <c r="M2" s="8" t="s">
        <v>39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x14ac:dyDescent="0.25">
      <c r="A3" s="8" t="s">
        <v>5</v>
      </c>
      <c r="B3" s="8" t="s">
        <v>2</v>
      </c>
      <c r="C3" s="8"/>
      <c r="D3" s="8" t="s">
        <v>34</v>
      </c>
      <c r="E3" s="8"/>
      <c r="F3" s="8" t="s">
        <v>35</v>
      </c>
      <c r="G3" s="8" t="s">
        <v>24</v>
      </c>
      <c r="H3" s="8" t="s">
        <v>27</v>
      </c>
      <c r="I3" s="8" t="s">
        <v>27</v>
      </c>
      <c r="J3" s="8" t="s">
        <v>36</v>
      </c>
      <c r="K3" s="8" t="s">
        <v>37</v>
      </c>
      <c r="L3" s="8" t="s">
        <v>40</v>
      </c>
      <c r="M3" s="8" t="s">
        <v>39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 x14ac:dyDescent="0.25">
      <c r="A4" s="8" t="s">
        <v>5</v>
      </c>
      <c r="B4" s="8" t="s">
        <v>41</v>
      </c>
      <c r="C4" s="8"/>
      <c r="D4" s="8" t="s">
        <v>34</v>
      </c>
      <c r="E4" s="8"/>
      <c r="F4" s="8" t="s">
        <v>35</v>
      </c>
      <c r="G4" s="8" t="s">
        <v>24</v>
      </c>
      <c r="H4" s="8" t="s">
        <v>27</v>
      </c>
      <c r="I4" s="8" t="s">
        <v>27</v>
      </c>
      <c r="J4" s="8" t="s">
        <v>36</v>
      </c>
      <c r="K4" s="8" t="s">
        <v>37</v>
      </c>
      <c r="L4" s="8" t="s">
        <v>42</v>
      </c>
      <c r="M4" s="8" t="s">
        <v>39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x14ac:dyDescent="0.25">
      <c r="A5" s="9" t="s">
        <v>1</v>
      </c>
      <c r="B5" s="9" t="s">
        <v>2</v>
      </c>
      <c r="C5" s="9"/>
      <c r="D5" s="9"/>
      <c r="E5" s="9"/>
      <c r="F5" s="9"/>
      <c r="G5" s="9" t="s">
        <v>24</v>
      </c>
      <c r="H5" s="9"/>
      <c r="I5" s="9"/>
      <c r="J5" s="9" t="s">
        <v>26</v>
      </c>
      <c r="K5" s="9" t="s">
        <v>30</v>
      </c>
      <c r="L5" s="9"/>
      <c r="M5" s="9" t="s">
        <v>43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spans="1:38" x14ac:dyDescent="0.25">
      <c r="A6" s="7" t="s">
        <v>3</v>
      </c>
      <c r="B6" s="7" t="s">
        <v>0</v>
      </c>
      <c r="C6" s="7"/>
      <c r="D6" s="8" t="s">
        <v>34</v>
      </c>
      <c r="E6" s="7"/>
      <c r="F6" s="7" t="s">
        <v>23</v>
      </c>
      <c r="G6" s="7" t="s">
        <v>24</v>
      </c>
      <c r="H6" s="7" t="s">
        <v>27</v>
      </c>
      <c r="I6" s="7" t="s">
        <v>27</v>
      </c>
      <c r="J6" s="7" t="s">
        <v>26</v>
      </c>
      <c r="K6" s="7" t="s">
        <v>37</v>
      </c>
      <c r="L6" s="7" t="s">
        <v>44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</row>
    <row r="7" spans="1:38" x14ac:dyDescent="0.25">
      <c r="A7" s="7" t="s">
        <v>7</v>
      </c>
      <c r="B7" s="7" t="s">
        <v>0</v>
      </c>
      <c r="C7" s="7"/>
      <c r="D7" s="7" t="s">
        <v>50</v>
      </c>
      <c r="E7" s="7" t="s">
        <v>34</v>
      </c>
      <c r="F7" s="7" t="s">
        <v>23</v>
      </c>
      <c r="G7" s="7" t="s">
        <v>51</v>
      </c>
      <c r="H7" s="7">
        <v>0.1</v>
      </c>
      <c r="I7" s="7" t="s">
        <v>25</v>
      </c>
      <c r="J7" s="7" t="s">
        <v>26</v>
      </c>
      <c r="K7" s="7" t="s">
        <v>52</v>
      </c>
      <c r="L7" s="7" t="s">
        <v>53</v>
      </c>
      <c r="M7" s="7" t="s">
        <v>54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spans="1:38" x14ac:dyDescent="0.25">
      <c r="A8" s="7" t="s">
        <v>7</v>
      </c>
      <c r="B8" s="7" t="s">
        <v>0</v>
      </c>
      <c r="C8" s="7"/>
      <c r="D8" s="7" t="s">
        <v>50</v>
      </c>
      <c r="E8" s="7" t="s">
        <v>34</v>
      </c>
      <c r="F8" s="7" t="s">
        <v>23</v>
      </c>
      <c r="G8" s="7" t="s">
        <v>51</v>
      </c>
      <c r="H8" s="7">
        <v>0.25</v>
      </c>
      <c r="I8" s="7" t="s">
        <v>25</v>
      </c>
      <c r="J8" s="7" t="s">
        <v>26</v>
      </c>
      <c r="K8" s="7" t="s">
        <v>52</v>
      </c>
      <c r="L8" s="7" t="s">
        <v>55</v>
      </c>
      <c r="M8" s="7" t="s">
        <v>54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x14ac:dyDescent="0.25">
      <c r="A9" s="7" t="s">
        <v>7</v>
      </c>
      <c r="B9" s="7" t="s">
        <v>0</v>
      </c>
      <c r="C9" s="7"/>
      <c r="D9" s="7" t="s">
        <v>50</v>
      </c>
      <c r="E9" s="7" t="s">
        <v>34</v>
      </c>
      <c r="F9" s="7" t="s">
        <v>23</v>
      </c>
      <c r="G9" s="7" t="s">
        <v>51</v>
      </c>
      <c r="H9" s="7">
        <v>0.5</v>
      </c>
      <c r="I9" s="7" t="s">
        <v>25</v>
      </c>
      <c r="J9" s="7" t="s">
        <v>26</v>
      </c>
      <c r="K9" s="7" t="s">
        <v>52</v>
      </c>
      <c r="L9" s="7" t="s">
        <v>56</v>
      </c>
      <c r="M9" s="7" t="s">
        <v>54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x14ac:dyDescent="0.25">
      <c r="A10" s="7" t="s">
        <v>7</v>
      </c>
      <c r="B10" s="7" t="s">
        <v>0</v>
      </c>
      <c r="C10" s="7"/>
      <c r="D10" s="7" t="s">
        <v>50</v>
      </c>
      <c r="E10" s="7" t="s">
        <v>34</v>
      </c>
      <c r="F10" s="7" t="s">
        <v>23</v>
      </c>
      <c r="G10" s="7" t="s">
        <v>51</v>
      </c>
      <c r="H10" s="7">
        <v>1</v>
      </c>
      <c r="I10" s="7" t="s">
        <v>25</v>
      </c>
      <c r="J10" s="7" t="s">
        <v>26</v>
      </c>
      <c r="K10" s="7" t="s">
        <v>52</v>
      </c>
      <c r="L10" s="7" t="s">
        <v>57</v>
      </c>
      <c r="M10" s="7" t="s">
        <v>54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x14ac:dyDescent="0.25">
      <c r="A11" s="7" t="s">
        <v>7</v>
      </c>
      <c r="B11" s="7" t="s">
        <v>0</v>
      </c>
      <c r="C11" s="7"/>
      <c r="D11" s="7" t="s">
        <v>50</v>
      </c>
      <c r="E11" s="7" t="s">
        <v>34</v>
      </c>
      <c r="F11" s="7" t="s">
        <v>23</v>
      </c>
      <c r="G11" s="7" t="s">
        <v>51</v>
      </c>
      <c r="H11" s="7">
        <v>2</v>
      </c>
      <c r="I11" s="7" t="s">
        <v>25</v>
      </c>
      <c r="J11" s="7" t="s">
        <v>26</v>
      </c>
      <c r="K11" s="7" t="s">
        <v>52</v>
      </c>
      <c r="L11" s="7" t="s">
        <v>58</v>
      </c>
      <c r="M11" s="7" t="s">
        <v>54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x14ac:dyDescent="0.25">
      <c r="A12" s="7" t="s">
        <v>7</v>
      </c>
      <c r="B12" s="7" t="s">
        <v>0</v>
      </c>
      <c r="C12" s="7"/>
      <c r="D12" s="7" t="s">
        <v>50</v>
      </c>
      <c r="E12" s="7" t="s">
        <v>34</v>
      </c>
      <c r="F12" s="7" t="s">
        <v>23</v>
      </c>
      <c r="G12" s="7" t="s">
        <v>51</v>
      </c>
      <c r="H12" s="7">
        <v>3</v>
      </c>
      <c r="I12" s="7" t="s">
        <v>25</v>
      </c>
      <c r="J12" s="7" t="s">
        <v>26</v>
      </c>
      <c r="K12" s="7" t="s">
        <v>52</v>
      </c>
      <c r="L12" s="7" t="s">
        <v>59</v>
      </c>
      <c r="M12" s="7" t="s">
        <v>54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x14ac:dyDescent="0.25">
      <c r="A13" s="7" t="s">
        <v>7</v>
      </c>
      <c r="B13" s="7" t="s">
        <v>9</v>
      </c>
      <c r="C13" s="7"/>
      <c r="D13" s="7" t="s">
        <v>50</v>
      </c>
      <c r="E13" s="7" t="s">
        <v>34</v>
      </c>
      <c r="F13" s="7" t="s">
        <v>23</v>
      </c>
      <c r="G13" s="7" t="s">
        <v>51</v>
      </c>
      <c r="H13" s="7">
        <v>0.1</v>
      </c>
      <c r="I13" s="7" t="s">
        <v>25</v>
      </c>
      <c r="J13" s="7" t="s">
        <v>26</v>
      </c>
      <c r="K13" s="7" t="s">
        <v>52</v>
      </c>
      <c r="L13" s="7" t="s">
        <v>61</v>
      </c>
      <c r="M13" s="7" t="s">
        <v>54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x14ac:dyDescent="0.25">
      <c r="A14" s="7" t="s">
        <v>7</v>
      </c>
      <c r="B14" s="7" t="s">
        <v>9</v>
      </c>
      <c r="C14" s="7"/>
      <c r="D14" s="7" t="s">
        <v>50</v>
      </c>
      <c r="E14" s="7" t="s">
        <v>34</v>
      </c>
      <c r="F14" s="7" t="s">
        <v>23</v>
      </c>
      <c r="G14" s="7" t="s">
        <v>51</v>
      </c>
      <c r="H14" s="7">
        <v>0.25</v>
      </c>
      <c r="I14" s="7" t="s">
        <v>25</v>
      </c>
      <c r="J14" s="7" t="s">
        <v>26</v>
      </c>
      <c r="K14" s="7" t="s">
        <v>52</v>
      </c>
      <c r="L14" s="7" t="s">
        <v>62</v>
      </c>
      <c r="M14" s="7" t="s">
        <v>54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x14ac:dyDescent="0.25">
      <c r="A15" s="7" t="s">
        <v>7</v>
      </c>
      <c r="B15" s="7" t="s">
        <v>9</v>
      </c>
      <c r="C15" s="7"/>
      <c r="D15" s="7" t="s">
        <v>50</v>
      </c>
      <c r="E15" s="7" t="s">
        <v>34</v>
      </c>
      <c r="F15" s="7" t="s">
        <v>23</v>
      </c>
      <c r="G15" s="7" t="s">
        <v>51</v>
      </c>
      <c r="H15" s="7">
        <v>0.5</v>
      </c>
      <c r="I15" s="7" t="s">
        <v>25</v>
      </c>
      <c r="J15" s="7" t="s">
        <v>26</v>
      </c>
      <c r="K15" s="7" t="s">
        <v>52</v>
      </c>
      <c r="L15" s="7" t="s">
        <v>63</v>
      </c>
      <c r="M15" s="7" t="s">
        <v>54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x14ac:dyDescent="0.25">
      <c r="A16" s="7" t="s">
        <v>7</v>
      </c>
      <c r="B16" s="7" t="s">
        <v>9</v>
      </c>
      <c r="C16" s="7"/>
      <c r="D16" s="7" t="s">
        <v>50</v>
      </c>
      <c r="E16" s="7" t="s">
        <v>34</v>
      </c>
      <c r="F16" s="7" t="s">
        <v>23</v>
      </c>
      <c r="G16" s="7" t="s">
        <v>51</v>
      </c>
      <c r="H16" s="7">
        <v>1</v>
      </c>
      <c r="I16" s="7" t="s">
        <v>25</v>
      </c>
      <c r="J16" s="7" t="s">
        <v>26</v>
      </c>
      <c r="K16" s="7" t="s">
        <v>52</v>
      </c>
      <c r="L16" s="7" t="s">
        <v>64</v>
      </c>
      <c r="M16" s="7" t="s">
        <v>54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x14ac:dyDescent="0.25">
      <c r="A17" s="7" t="s">
        <v>7</v>
      </c>
      <c r="B17" s="7" t="s">
        <v>9</v>
      </c>
      <c r="C17" s="7"/>
      <c r="D17" s="7" t="s">
        <v>50</v>
      </c>
      <c r="E17" s="7" t="s">
        <v>34</v>
      </c>
      <c r="F17" s="7" t="s">
        <v>23</v>
      </c>
      <c r="G17" s="7" t="s">
        <v>51</v>
      </c>
      <c r="H17" s="7">
        <v>2</v>
      </c>
      <c r="I17" s="7" t="s">
        <v>25</v>
      </c>
      <c r="J17" s="7" t="s">
        <v>26</v>
      </c>
      <c r="K17" s="7" t="s">
        <v>52</v>
      </c>
      <c r="L17" s="7" t="s">
        <v>65</v>
      </c>
      <c r="M17" s="7" t="s">
        <v>54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</row>
    <row r="18" spans="1:38" x14ac:dyDescent="0.25">
      <c r="A18" s="7" t="s">
        <v>7</v>
      </c>
      <c r="B18" s="7" t="s">
        <v>9</v>
      </c>
      <c r="C18" s="7"/>
      <c r="D18" s="7" t="s">
        <v>50</v>
      </c>
      <c r="E18" s="7" t="s">
        <v>34</v>
      </c>
      <c r="F18" s="7" t="s">
        <v>23</v>
      </c>
      <c r="G18" s="7" t="s">
        <v>51</v>
      </c>
      <c r="H18" s="7">
        <v>3</v>
      </c>
      <c r="I18" s="7" t="s">
        <v>25</v>
      </c>
      <c r="J18" s="7" t="s">
        <v>26</v>
      </c>
      <c r="K18" s="7" t="s">
        <v>52</v>
      </c>
      <c r="L18" s="7" t="s">
        <v>66</v>
      </c>
      <c r="M18" s="7" t="s">
        <v>54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x14ac:dyDescent="0.25">
      <c r="A19" s="7" t="s">
        <v>10</v>
      </c>
      <c r="B19" s="7" t="s">
        <v>0</v>
      </c>
      <c r="C19" s="7"/>
      <c r="D19" s="7" t="s">
        <v>22</v>
      </c>
      <c r="E19" s="7"/>
      <c r="F19" s="7" t="s">
        <v>67</v>
      </c>
      <c r="G19" s="7" t="s">
        <v>24</v>
      </c>
      <c r="H19" s="7">
        <v>0.5</v>
      </c>
      <c r="I19" s="7" t="s">
        <v>25</v>
      </c>
      <c r="J19" s="7" t="s">
        <v>26</v>
      </c>
      <c r="K19" s="7" t="s">
        <v>69</v>
      </c>
      <c r="L19" s="7">
        <v>48</v>
      </c>
      <c r="M19" s="7" t="s">
        <v>70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</row>
    <row r="20" spans="1:38" x14ac:dyDescent="0.25">
      <c r="A20" s="7" t="s">
        <v>10</v>
      </c>
      <c r="B20" s="7" t="s">
        <v>0</v>
      </c>
      <c r="C20" s="7"/>
      <c r="D20" s="7" t="s">
        <v>22</v>
      </c>
      <c r="E20" s="7"/>
      <c r="F20" s="7" t="s">
        <v>67</v>
      </c>
      <c r="G20" s="7" t="s">
        <v>24</v>
      </c>
      <c r="H20" s="7">
        <v>1</v>
      </c>
      <c r="I20" s="7" t="s">
        <v>25</v>
      </c>
      <c r="J20" s="7" t="s">
        <v>26</v>
      </c>
      <c r="K20" s="7" t="s">
        <v>69</v>
      </c>
      <c r="L20" s="7">
        <v>22</v>
      </c>
      <c r="M20" s="7" t="s">
        <v>70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x14ac:dyDescent="0.25">
      <c r="A21" s="7" t="s">
        <v>10</v>
      </c>
      <c r="B21" s="7" t="s">
        <v>0</v>
      </c>
      <c r="C21" s="7"/>
      <c r="D21" s="7" t="s">
        <v>22</v>
      </c>
      <c r="E21" s="7"/>
      <c r="F21" s="7" t="s">
        <v>67</v>
      </c>
      <c r="G21" s="7" t="s">
        <v>24</v>
      </c>
      <c r="H21" s="7">
        <v>2</v>
      </c>
      <c r="I21" s="7" t="s">
        <v>25</v>
      </c>
      <c r="J21" s="7" t="s">
        <v>26</v>
      </c>
      <c r="K21" s="7" t="s">
        <v>69</v>
      </c>
      <c r="L21" s="7">
        <v>12</v>
      </c>
      <c r="M21" s="7" t="s">
        <v>70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</row>
    <row r="22" spans="1:38" x14ac:dyDescent="0.25">
      <c r="A22" s="7" t="s">
        <v>10</v>
      </c>
      <c r="B22" s="7" t="s">
        <v>0</v>
      </c>
      <c r="C22" s="7"/>
      <c r="D22" s="7" t="s">
        <v>22</v>
      </c>
      <c r="E22" s="7"/>
      <c r="F22" s="7" t="s">
        <v>67</v>
      </c>
      <c r="G22" s="7" t="s">
        <v>24</v>
      </c>
      <c r="H22" s="7">
        <v>3</v>
      </c>
      <c r="I22" s="7" t="s">
        <v>25</v>
      </c>
      <c r="J22" s="7" t="s">
        <v>26</v>
      </c>
      <c r="K22" s="7" t="s">
        <v>69</v>
      </c>
      <c r="L22" s="7">
        <v>8</v>
      </c>
      <c r="M22" s="7" t="s">
        <v>70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x14ac:dyDescent="0.25">
      <c r="A23" s="7" t="s">
        <v>10</v>
      </c>
      <c r="B23" s="7" t="s">
        <v>0</v>
      </c>
      <c r="C23" s="7"/>
      <c r="D23" s="7" t="s">
        <v>71</v>
      </c>
      <c r="E23" s="7"/>
      <c r="F23" s="7" t="s">
        <v>67</v>
      </c>
      <c r="G23" s="7" t="s">
        <v>24</v>
      </c>
      <c r="H23" s="7">
        <v>0.5</v>
      </c>
      <c r="I23" s="7" t="s">
        <v>25</v>
      </c>
      <c r="J23" s="7" t="s">
        <v>26</v>
      </c>
      <c r="K23" s="7" t="s">
        <v>69</v>
      </c>
      <c r="L23" s="7">
        <v>70</v>
      </c>
      <c r="M23" s="7" t="s">
        <v>70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x14ac:dyDescent="0.25">
      <c r="A24" s="7" t="s">
        <v>10</v>
      </c>
      <c r="B24" s="7" t="s">
        <v>0</v>
      </c>
      <c r="C24" s="7"/>
      <c r="D24" s="7" t="s">
        <v>71</v>
      </c>
      <c r="E24" s="7"/>
      <c r="F24" s="7" t="s">
        <v>67</v>
      </c>
      <c r="G24" s="7" t="s">
        <v>24</v>
      </c>
      <c r="H24" s="7">
        <v>1</v>
      </c>
      <c r="I24" s="7" t="s">
        <v>25</v>
      </c>
      <c r="J24" s="7" t="s">
        <v>26</v>
      </c>
      <c r="K24" s="7" t="s">
        <v>69</v>
      </c>
      <c r="L24" s="7">
        <v>35</v>
      </c>
      <c r="M24" s="7" t="s">
        <v>70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x14ac:dyDescent="0.25">
      <c r="A25" s="7" t="s">
        <v>10</v>
      </c>
      <c r="B25" s="7" t="s">
        <v>0</v>
      </c>
      <c r="C25" s="7"/>
      <c r="D25" s="7" t="s">
        <v>71</v>
      </c>
      <c r="E25" s="7"/>
      <c r="F25" s="7" t="s">
        <v>67</v>
      </c>
      <c r="G25" s="7" t="s">
        <v>24</v>
      </c>
      <c r="H25" s="7">
        <v>2</v>
      </c>
      <c r="I25" s="7" t="s">
        <v>25</v>
      </c>
      <c r="J25" s="7" t="s">
        <v>26</v>
      </c>
      <c r="K25" s="7" t="s">
        <v>69</v>
      </c>
      <c r="L25" s="7">
        <v>20</v>
      </c>
      <c r="M25" s="7" t="s">
        <v>70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x14ac:dyDescent="0.25">
      <c r="A26" s="7" t="s">
        <v>10</v>
      </c>
      <c r="B26" s="7" t="s">
        <v>0</v>
      </c>
      <c r="C26" s="7"/>
      <c r="D26" s="7" t="s">
        <v>71</v>
      </c>
      <c r="E26" s="7"/>
      <c r="F26" s="7" t="s">
        <v>67</v>
      </c>
      <c r="G26" s="7" t="s">
        <v>24</v>
      </c>
      <c r="H26" s="7">
        <v>3</v>
      </c>
      <c r="I26" s="7" t="s">
        <v>25</v>
      </c>
      <c r="J26" s="7" t="s">
        <v>26</v>
      </c>
      <c r="K26" s="7" t="s">
        <v>69</v>
      </c>
      <c r="L26" s="7">
        <v>12</v>
      </c>
      <c r="M26" s="7" t="s">
        <v>70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</row>
    <row r="27" spans="1:38" x14ac:dyDescent="0.25">
      <c r="A27" s="8" t="s">
        <v>6</v>
      </c>
      <c r="B27" s="8" t="s">
        <v>2</v>
      </c>
      <c r="C27" s="8"/>
      <c r="D27" s="8" t="s">
        <v>74</v>
      </c>
      <c r="E27" s="8"/>
      <c r="F27" s="8" t="s">
        <v>23</v>
      </c>
      <c r="G27" s="8" t="s">
        <v>24</v>
      </c>
      <c r="H27" s="8">
        <v>0.8</v>
      </c>
      <c r="I27" s="8" t="s">
        <v>75</v>
      </c>
      <c r="J27" s="8" t="s">
        <v>76</v>
      </c>
      <c r="K27" s="8" t="s">
        <v>77</v>
      </c>
      <c r="L27" s="8">
        <v>1400000</v>
      </c>
      <c r="M27" s="8" t="s">
        <v>78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</row>
    <row r="28" spans="1:38" x14ac:dyDescent="0.25">
      <c r="A28" s="8" t="s">
        <v>6</v>
      </c>
      <c r="B28" s="8" t="s">
        <v>2</v>
      </c>
      <c r="C28" s="8"/>
      <c r="D28" s="8" t="s">
        <v>74</v>
      </c>
      <c r="E28" s="8"/>
      <c r="F28" s="8" t="s">
        <v>23</v>
      </c>
      <c r="G28" s="8" t="s">
        <v>24</v>
      </c>
      <c r="H28" s="8">
        <v>1</v>
      </c>
      <c r="I28" s="8" t="s">
        <v>75</v>
      </c>
      <c r="J28" s="8" t="s">
        <v>76</v>
      </c>
      <c r="K28" s="8" t="s">
        <v>77</v>
      </c>
      <c r="L28" s="8">
        <v>70000</v>
      </c>
      <c r="M28" s="8" t="s">
        <v>78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</row>
    <row r="29" spans="1:38" x14ac:dyDescent="0.25">
      <c r="A29" s="8" t="s">
        <v>6</v>
      </c>
      <c r="B29" s="8" t="s">
        <v>2</v>
      </c>
      <c r="C29" s="8"/>
      <c r="D29" s="8" t="s">
        <v>74</v>
      </c>
      <c r="E29" s="8"/>
      <c r="F29" s="8" t="s">
        <v>23</v>
      </c>
      <c r="G29" s="8" t="s">
        <v>24</v>
      </c>
      <c r="H29" s="8">
        <v>2</v>
      </c>
      <c r="I29" s="8" t="s">
        <v>75</v>
      </c>
      <c r="J29" s="8" t="s">
        <v>76</v>
      </c>
      <c r="K29" s="8" t="s">
        <v>77</v>
      </c>
      <c r="L29" s="8">
        <v>40000</v>
      </c>
      <c r="M29" s="8" t="s">
        <v>78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</row>
    <row r="30" spans="1:38" x14ac:dyDescent="0.25">
      <c r="A30" s="8" t="s">
        <v>6</v>
      </c>
      <c r="B30" s="8" t="s">
        <v>2</v>
      </c>
      <c r="C30" s="8"/>
      <c r="D30" s="8" t="s">
        <v>74</v>
      </c>
      <c r="E30" s="8"/>
      <c r="F30" s="8" t="s">
        <v>23</v>
      </c>
      <c r="G30" s="8" t="s">
        <v>24</v>
      </c>
      <c r="H30" s="8">
        <v>3</v>
      </c>
      <c r="I30" s="8" t="s">
        <v>75</v>
      </c>
      <c r="J30" s="8" t="s">
        <v>76</v>
      </c>
      <c r="K30" s="8" t="s">
        <v>77</v>
      </c>
      <c r="L30" s="8">
        <v>250000</v>
      </c>
      <c r="M30" s="8" t="s">
        <v>78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</row>
    <row r="31" spans="1:38" x14ac:dyDescent="0.25">
      <c r="A31" s="8" t="s">
        <v>6</v>
      </c>
      <c r="B31" s="8" t="s">
        <v>2</v>
      </c>
      <c r="C31" s="8"/>
      <c r="D31" s="8" t="s">
        <v>74</v>
      </c>
      <c r="E31" s="8"/>
      <c r="F31" s="8" t="s">
        <v>23</v>
      </c>
      <c r="G31" s="8" t="s">
        <v>24</v>
      </c>
      <c r="H31" s="8">
        <v>4</v>
      </c>
      <c r="I31" s="8" t="s">
        <v>75</v>
      </c>
      <c r="J31" s="8" t="s">
        <v>76</v>
      </c>
      <c r="K31" s="8" t="s">
        <v>77</v>
      </c>
      <c r="L31" s="8">
        <v>120000</v>
      </c>
      <c r="M31" s="8" t="s">
        <v>78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</row>
    <row r="32" spans="1:38" x14ac:dyDescent="0.25">
      <c r="A32" s="8" t="s">
        <v>6</v>
      </c>
      <c r="B32" s="8" t="s">
        <v>2</v>
      </c>
      <c r="C32" s="8"/>
      <c r="D32" s="8" t="s">
        <v>74</v>
      </c>
      <c r="E32" s="8"/>
      <c r="F32" s="8" t="s">
        <v>23</v>
      </c>
      <c r="G32" s="8" t="s">
        <v>24</v>
      </c>
      <c r="H32" s="8">
        <v>5</v>
      </c>
      <c r="I32" s="8" t="s">
        <v>75</v>
      </c>
      <c r="J32" s="8" t="s">
        <v>76</v>
      </c>
      <c r="K32" s="8" t="s">
        <v>77</v>
      </c>
      <c r="L32" s="8">
        <v>100000</v>
      </c>
      <c r="M32" s="8" t="s">
        <v>78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</row>
    <row r="33" spans="1:38" x14ac:dyDescent="0.25">
      <c r="A33" s="8" t="s">
        <v>6</v>
      </c>
      <c r="B33" s="8" t="s">
        <v>2</v>
      </c>
      <c r="C33" s="8"/>
      <c r="D33" s="8" t="s">
        <v>74</v>
      </c>
      <c r="E33" s="8"/>
      <c r="F33" s="8" t="s">
        <v>23</v>
      </c>
      <c r="G33" s="8" t="s">
        <v>24</v>
      </c>
      <c r="H33" s="8">
        <v>0.8</v>
      </c>
      <c r="I33" s="8" t="s">
        <v>75</v>
      </c>
      <c r="J33" s="8" t="s">
        <v>49</v>
      </c>
      <c r="K33" s="8" t="s">
        <v>79</v>
      </c>
      <c r="L33" s="8">
        <v>1800000</v>
      </c>
      <c r="M33" s="8" t="s">
        <v>80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</row>
    <row r="34" spans="1:38" x14ac:dyDescent="0.25">
      <c r="A34" s="8" t="s">
        <v>6</v>
      </c>
      <c r="B34" s="8" t="s">
        <v>2</v>
      </c>
      <c r="C34" s="8"/>
      <c r="D34" s="8" t="s">
        <v>74</v>
      </c>
      <c r="E34" s="8"/>
      <c r="F34" s="8" t="s">
        <v>23</v>
      </c>
      <c r="G34" s="8" t="s">
        <v>24</v>
      </c>
      <c r="H34" s="8">
        <v>1</v>
      </c>
      <c r="I34" s="8" t="s">
        <v>75</v>
      </c>
      <c r="J34" s="8" t="s">
        <v>49</v>
      </c>
      <c r="K34" s="8" t="s">
        <v>79</v>
      </c>
      <c r="L34" s="8">
        <v>1000000</v>
      </c>
      <c r="M34" s="8" t="s">
        <v>80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</row>
    <row r="35" spans="1:38" x14ac:dyDescent="0.25">
      <c r="A35" s="8" t="s">
        <v>6</v>
      </c>
      <c r="B35" s="8" t="s">
        <v>2</v>
      </c>
      <c r="C35" s="8"/>
      <c r="D35" s="8" t="s">
        <v>74</v>
      </c>
      <c r="E35" s="8"/>
      <c r="F35" s="8" t="s">
        <v>23</v>
      </c>
      <c r="G35" s="8" t="s">
        <v>24</v>
      </c>
      <c r="H35" s="8">
        <v>2</v>
      </c>
      <c r="I35" s="8" t="s">
        <v>75</v>
      </c>
      <c r="J35" s="8" t="s">
        <v>49</v>
      </c>
      <c r="K35" s="8" t="s">
        <v>79</v>
      </c>
      <c r="L35" s="8">
        <v>50000</v>
      </c>
      <c r="M35" s="8" t="s">
        <v>80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</row>
    <row r="36" spans="1:38" x14ac:dyDescent="0.25">
      <c r="A36" s="8" t="s">
        <v>6</v>
      </c>
      <c r="B36" s="8" t="s">
        <v>2</v>
      </c>
      <c r="C36" s="8"/>
      <c r="D36" s="8" t="s">
        <v>74</v>
      </c>
      <c r="E36" s="8"/>
      <c r="F36" s="8" t="s">
        <v>23</v>
      </c>
      <c r="G36" s="8" t="s">
        <v>24</v>
      </c>
      <c r="H36" s="8">
        <v>3</v>
      </c>
      <c r="I36" s="8" t="s">
        <v>75</v>
      </c>
      <c r="J36" s="8" t="s">
        <v>49</v>
      </c>
      <c r="K36" s="8" t="s">
        <v>79</v>
      </c>
      <c r="L36" s="8">
        <v>300000</v>
      </c>
      <c r="M36" s="8" t="s">
        <v>80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</row>
    <row r="37" spans="1:38" x14ac:dyDescent="0.25">
      <c r="A37" s="8" t="s">
        <v>6</v>
      </c>
      <c r="B37" s="8" t="s">
        <v>2</v>
      </c>
      <c r="C37" s="8"/>
      <c r="D37" s="8" t="s">
        <v>74</v>
      </c>
      <c r="E37" s="8"/>
      <c r="F37" s="8" t="s">
        <v>23</v>
      </c>
      <c r="G37" s="8" t="s">
        <v>24</v>
      </c>
      <c r="H37" s="8">
        <v>4</v>
      </c>
      <c r="I37" s="8" t="s">
        <v>75</v>
      </c>
      <c r="J37" s="8" t="s">
        <v>49</v>
      </c>
      <c r="K37" s="8" t="s">
        <v>79</v>
      </c>
      <c r="L37" s="8">
        <v>250000</v>
      </c>
      <c r="M37" s="8" t="s">
        <v>80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</row>
    <row r="38" spans="1:38" x14ac:dyDescent="0.25">
      <c r="A38" s="8" t="s">
        <v>6</v>
      </c>
      <c r="B38" s="8" t="s">
        <v>2</v>
      </c>
      <c r="C38" s="8"/>
      <c r="D38" s="8" t="s">
        <v>74</v>
      </c>
      <c r="E38" s="8"/>
      <c r="F38" s="8" t="s">
        <v>23</v>
      </c>
      <c r="G38" s="8" t="s">
        <v>24</v>
      </c>
      <c r="H38" s="8">
        <v>5</v>
      </c>
      <c r="I38" s="8" t="s">
        <v>75</v>
      </c>
      <c r="J38" s="8" t="s">
        <v>49</v>
      </c>
      <c r="K38" s="8" t="s">
        <v>79</v>
      </c>
      <c r="L38" s="8">
        <v>200000</v>
      </c>
      <c r="M38" s="8" t="s">
        <v>80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</row>
    <row r="39" spans="1:38" x14ac:dyDescent="0.25">
      <c r="A39" s="7" t="s">
        <v>8</v>
      </c>
      <c r="B39" s="7" t="s">
        <v>9</v>
      </c>
      <c r="C39" s="7"/>
      <c r="D39" s="7" t="s">
        <v>22</v>
      </c>
      <c r="E39" s="7"/>
      <c r="F39" s="7" t="s">
        <v>23</v>
      </c>
      <c r="G39" s="7" t="s">
        <v>81</v>
      </c>
      <c r="H39" s="7" t="s">
        <v>27</v>
      </c>
      <c r="I39" s="7" t="s">
        <v>27</v>
      </c>
      <c r="J39" s="7" t="s">
        <v>82</v>
      </c>
      <c r="K39" s="7" t="s">
        <v>37</v>
      </c>
      <c r="L39" s="7" t="s">
        <v>83</v>
      </c>
      <c r="M39" s="7" t="s">
        <v>84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x14ac:dyDescent="0.25">
      <c r="A40" s="7" t="s">
        <v>85</v>
      </c>
      <c r="B40" s="7" t="s">
        <v>0</v>
      </c>
      <c r="C40" s="7"/>
      <c r="D40" s="7" t="s">
        <v>22</v>
      </c>
      <c r="E40" s="7"/>
      <c r="F40" s="7" t="s">
        <v>23</v>
      </c>
      <c r="G40" s="7" t="s">
        <v>24</v>
      </c>
      <c r="H40" s="7" t="s">
        <v>27</v>
      </c>
      <c r="I40" s="7" t="s">
        <v>27</v>
      </c>
      <c r="J40" s="7" t="s">
        <v>26</v>
      </c>
      <c r="K40" s="7" t="s">
        <v>37</v>
      </c>
      <c r="L40" s="7" t="s">
        <v>44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x14ac:dyDescent="0.25">
      <c r="A41" s="7" t="s">
        <v>85</v>
      </c>
      <c r="B41" s="7" t="s">
        <v>60</v>
      </c>
      <c r="C41" s="7"/>
      <c r="D41" s="7" t="s">
        <v>22</v>
      </c>
      <c r="E41" s="7"/>
      <c r="F41" s="7" t="s">
        <v>23</v>
      </c>
      <c r="G41" s="7" t="s">
        <v>24</v>
      </c>
      <c r="H41" s="7" t="s">
        <v>27</v>
      </c>
      <c r="I41" s="7" t="s">
        <v>27</v>
      </c>
      <c r="J41" s="7" t="s">
        <v>26</v>
      </c>
      <c r="K41" s="7" t="s">
        <v>37</v>
      </c>
      <c r="L41" s="7" t="s">
        <v>86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x14ac:dyDescent="0.25">
      <c r="A42" s="7" t="s">
        <v>85</v>
      </c>
      <c r="B42" s="7" t="s">
        <v>9</v>
      </c>
      <c r="C42" s="7"/>
      <c r="D42" s="7" t="s">
        <v>22</v>
      </c>
      <c r="E42" s="7"/>
      <c r="F42" s="7" t="s">
        <v>23</v>
      </c>
      <c r="G42" s="7" t="s">
        <v>24</v>
      </c>
      <c r="H42" s="7" t="s">
        <v>27</v>
      </c>
      <c r="I42" s="7" t="s">
        <v>27</v>
      </c>
      <c r="J42" s="7" t="s">
        <v>26</v>
      </c>
      <c r="K42" s="7" t="s">
        <v>37</v>
      </c>
      <c r="L42" s="7" t="s">
        <v>87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x14ac:dyDescent="0.25">
      <c r="A43" s="7" t="s">
        <v>85</v>
      </c>
      <c r="B43" s="7" t="s">
        <v>41</v>
      </c>
      <c r="C43" s="7"/>
      <c r="D43" s="7" t="s">
        <v>22</v>
      </c>
      <c r="E43" s="7"/>
      <c r="F43" s="7" t="s">
        <v>23</v>
      </c>
      <c r="G43" s="7" t="s">
        <v>24</v>
      </c>
      <c r="H43" s="7" t="s">
        <v>27</v>
      </c>
      <c r="I43" s="7" t="s">
        <v>27</v>
      </c>
      <c r="J43" s="7" t="s">
        <v>26</v>
      </c>
      <c r="K43" s="7" t="s">
        <v>37</v>
      </c>
      <c r="L43" s="7" t="s">
        <v>88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</row>
    <row r="45" spans="1:38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</row>
    <row r="46" spans="1:38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</row>
    <row r="47" spans="1:38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</row>
    <row r="48" spans="1:38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</row>
    <row r="49" spans="1:38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</row>
    <row r="50" spans="1:38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</row>
    <row r="51" spans="1:38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</row>
    <row r="52" spans="1:38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</row>
    <row r="53" spans="1:38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</row>
    <row r="54" spans="1:38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</row>
    <row r="55" spans="1:38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</row>
    <row r="56" spans="1:38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</row>
    <row r="57" spans="1:38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</row>
    <row r="58" spans="1:38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</row>
    <row r="59" spans="1:38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</row>
    <row r="60" spans="1:38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</row>
    <row r="61" spans="1:38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</row>
    <row r="62" spans="1:38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</row>
    <row r="63" spans="1:38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</row>
    <row r="64" spans="1:38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</row>
    <row r="65" spans="1:38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</row>
    <row r="66" spans="1:38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</row>
    <row r="67" spans="1:38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</row>
    <row r="68" spans="1:38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</row>
    <row r="69" spans="1:38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</row>
    <row r="70" spans="1:38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</row>
    <row r="71" spans="1:38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</row>
    <row r="72" spans="1:38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</row>
    <row r="73" spans="1:38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</row>
    <row r="74" spans="1:38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</row>
    <row r="75" spans="1:38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</row>
    <row r="76" spans="1:38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</row>
    <row r="77" spans="1:38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</row>
    <row r="78" spans="1:38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</row>
    <row r="79" spans="1:38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</row>
    <row r="80" spans="1:38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</row>
    <row r="81" spans="1:38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</row>
    <row r="82" spans="1:38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</row>
    <row r="83" spans="1:38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</row>
    <row r="84" spans="1:38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</row>
    <row r="85" spans="1:38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</row>
    <row r="86" spans="1:38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</row>
    <row r="87" spans="1:38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</row>
    <row r="88" spans="1:38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</row>
    <row r="89" spans="1:38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</row>
    <row r="90" spans="1:38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</row>
    <row r="91" spans="1:38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</row>
    <row r="92" spans="1:38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</row>
    <row r="93" spans="1:38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</row>
    <row r="94" spans="1:38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</row>
    <row r="95" spans="1:38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</row>
    <row r="96" spans="1:38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</row>
    <row r="97" spans="1:38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</row>
    <row r="98" spans="1:38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</row>
    <row r="99" spans="1:38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</row>
    <row r="100" spans="1:38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</row>
    <row r="101" spans="1:38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</row>
    <row r="102" spans="1:38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</row>
    <row r="103" spans="1:38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</row>
    <row r="104" spans="1:38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</row>
    <row r="105" spans="1:38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</row>
    <row r="106" spans="1:38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</row>
    <row r="107" spans="1:38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</row>
    <row r="108" spans="1:38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</row>
    <row r="109" spans="1:38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</row>
    <row r="110" spans="1:38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</row>
    <row r="111" spans="1:38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</row>
    <row r="112" spans="1:38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</row>
    <row r="113" spans="1:38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</row>
    <row r="114" spans="1:38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</row>
    <row r="115" spans="1:38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</row>
    <row r="116" spans="1:38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</row>
    <row r="117" spans="1:38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</row>
    <row r="118" spans="1:38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</row>
    <row r="119" spans="1:38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</row>
    <row r="120" spans="1:38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</row>
    <row r="121" spans="1:38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</row>
    <row r="122" spans="1:38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</row>
    <row r="123" spans="1:38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</row>
    <row r="124" spans="1:38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</row>
    <row r="125" spans="1:38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</row>
    <row r="126" spans="1:38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</row>
    <row r="127" spans="1:38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</row>
    <row r="128" spans="1:38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</row>
    <row r="129" spans="1:38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</row>
    <row r="130" spans="1:38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</row>
    <row r="131" spans="1:38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</row>
    <row r="132" spans="1:38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</row>
    <row r="133" spans="1:38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</row>
    <row r="134" spans="1:38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</row>
    <row r="135" spans="1:38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</row>
    <row r="136" spans="1:38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</row>
    <row r="137" spans="1:38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</row>
    <row r="138" spans="1:38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</row>
    <row r="139" spans="1:38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</row>
    <row r="140" spans="1:38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</row>
    <row r="141" spans="1:38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</row>
    <row r="142" spans="1:38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</row>
    <row r="143" spans="1:38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</row>
    <row r="144" spans="1:38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</row>
    <row r="145" spans="1:38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</row>
    <row r="146" spans="1:38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</row>
    <row r="147" spans="1:38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</row>
    <row r="148" spans="1:38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</row>
    <row r="149" spans="1:38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</row>
    <row r="150" spans="1:38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</row>
    <row r="151" spans="1:38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</row>
    <row r="152" spans="1:38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</row>
    <row r="153" spans="1:38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</row>
    <row r="154" spans="1:38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</row>
    <row r="155" spans="1:38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</row>
    <row r="156" spans="1:38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</row>
    <row r="157" spans="1:38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</row>
    <row r="158" spans="1:38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</row>
    <row r="159" spans="1:38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</row>
    <row r="160" spans="1:38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</row>
    <row r="161" spans="1:38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</row>
    <row r="162" spans="1:38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</row>
    <row r="163" spans="1:38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</row>
    <row r="164" spans="1:38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</row>
    <row r="165" spans="1:38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</row>
    <row r="166" spans="1:38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</row>
    <row r="167" spans="1:38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</row>
    <row r="168" spans="1:38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</row>
    <row r="169" spans="1:38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</row>
    <row r="170" spans="1:38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</row>
    <row r="171" spans="1:38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</row>
    <row r="172" spans="1:38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</row>
    <row r="173" spans="1:38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</row>
    <row r="174" spans="1:38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</row>
    <row r="175" spans="1:38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</row>
    <row r="176" spans="1:38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</row>
    <row r="177" spans="1:38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</row>
    <row r="178" spans="1:38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</row>
    <row r="179" spans="1:38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</row>
    <row r="180" spans="1:38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</row>
    <row r="181" spans="1:38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</row>
    <row r="182" spans="1:38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</row>
    <row r="183" spans="1:38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</row>
    <row r="184" spans="1:38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</row>
    <row r="185" spans="1:38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</row>
    <row r="186" spans="1:38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</row>
    <row r="187" spans="1:38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</row>
    <row r="188" spans="1:38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</row>
    <row r="189" spans="1:38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</row>
    <row r="190" spans="1:38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</row>
    <row r="191" spans="1:38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</row>
    <row r="192" spans="1:38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</row>
    <row r="193" spans="1:38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</row>
    <row r="194" spans="1:38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</row>
    <row r="195" spans="1:38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</row>
    <row r="196" spans="1:38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</row>
    <row r="197" spans="1:38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</row>
    <row r="198" spans="1:38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</row>
    <row r="199" spans="1:38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</row>
    <row r="200" spans="1:38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</row>
    <row r="201" spans="1:38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</row>
    <row r="202" spans="1:38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</row>
    <row r="203" spans="1:38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</row>
    <row r="204" spans="1:38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</row>
    <row r="205" spans="1:38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</row>
    <row r="206" spans="1:38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</row>
    <row r="207" spans="1:38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</row>
    <row r="208" spans="1:38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</row>
    <row r="209" spans="1:38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</row>
    <row r="210" spans="1:38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</row>
    <row r="211" spans="1:38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</row>
    <row r="212" spans="1:38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</row>
    <row r="213" spans="1:38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</row>
    <row r="214" spans="1:38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</row>
    <row r="215" spans="1:38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</row>
    <row r="216" spans="1:38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</row>
    <row r="217" spans="1:38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</row>
    <row r="218" spans="1:38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</row>
    <row r="219" spans="1:38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</row>
    <row r="220" spans="1:38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</row>
    <row r="221" spans="1:38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</row>
    <row r="222" spans="1:38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</row>
    <row r="223" spans="1:38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</row>
    <row r="224" spans="1:38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</row>
    <row r="225" spans="1:38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</row>
    <row r="226" spans="1:38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</row>
    <row r="227" spans="1:38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</row>
    <row r="228" spans="1:38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</row>
    <row r="229" spans="1:38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</row>
    <row r="230" spans="1:38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</row>
    <row r="231" spans="1:38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</row>
    <row r="232" spans="1:38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</row>
    <row r="233" spans="1:38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</row>
    <row r="234" spans="1:38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</row>
    <row r="235" spans="1:38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</row>
    <row r="236" spans="1:38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</row>
    <row r="237" spans="1:38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</row>
    <row r="238" spans="1:38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</row>
    <row r="239" spans="1:38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</row>
    <row r="240" spans="1:38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</row>
    <row r="241" spans="1:38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</row>
    <row r="242" spans="1:38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</row>
    <row r="243" spans="1:38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</row>
    <row r="244" spans="1:38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</row>
    <row r="245" spans="1:38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</row>
    <row r="246" spans="1:38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</row>
    <row r="247" spans="1:38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</row>
    <row r="248" spans="1:38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</row>
    <row r="249" spans="1:38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</row>
    <row r="250" spans="1:38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</row>
    <row r="251" spans="1:38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</row>
    <row r="252" spans="1:38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</row>
    <row r="253" spans="1:38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</row>
    <row r="254" spans="1:38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</row>
    <row r="255" spans="1:38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</row>
    <row r="256" spans="1:38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</row>
    <row r="257" spans="1:38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</row>
    <row r="258" spans="1:38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</row>
    <row r="259" spans="1:38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</row>
    <row r="260" spans="1:38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</row>
    <row r="261" spans="1:38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</row>
    <row r="262" spans="1:38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</row>
    <row r="263" spans="1:38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</row>
    <row r="264" spans="1:38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</row>
    <row r="265" spans="1:38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</row>
    <row r="266" spans="1:38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</row>
    <row r="267" spans="1:38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</row>
    <row r="268" spans="1:38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</row>
    <row r="269" spans="1:38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</row>
    <row r="270" spans="1:38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</row>
    <row r="271" spans="1:38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</row>
    <row r="272" spans="1:38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</row>
    <row r="273" spans="1:38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</row>
    <row r="274" spans="1:38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</row>
    <row r="275" spans="1:38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</row>
    <row r="276" spans="1:38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</row>
    <row r="277" spans="1:38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</row>
    <row r="278" spans="1:38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</row>
    <row r="279" spans="1:38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</row>
    <row r="280" spans="1:38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</row>
    <row r="281" spans="1:38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</row>
    <row r="282" spans="1:38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</row>
    <row r="283" spans="1:38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</row>
    <row r="284" spans="1:38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</row>
    <row r="285" spans="1:38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</row>
    <row r="286" spans="1:38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</row>
    <row r="287" spans="1:38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</row>
    <row r="288" spans="1:38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</row>
    <row r="289" spans="1:38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</row>
    <row r="290" spans="1:38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</row>
    <row r="291" spans="1:38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</row>
    <row r="292" spans="1:38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</row>
    <row r="293" spans="1:38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</row>
    <row r="294" spans="1:38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</row>
    <row r="295" spans="1:38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</row>
    <row r="296" spans="1:38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</row>
    <row r="297" spans="1:38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</row>
    <row r="298" spans="1:38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</row>
    <row r="299" spans="1:38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</row>
    <row r="300" spans="1:38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</row>
    <row r="301" spans="1:38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</row>
    <row r="302" spans="1:38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</row>
    <row r="303" spans="1:38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</row>
    <row r="304" spans="1:38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</row>
    <row r="305" spans="1:38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</row>
    <row r="306" spans="1:38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</row>
    <row r="307" spans="1:38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</row>
    <row r="308" spans="1:38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</row>
    <row r="309" spans="1:38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</row>
    <row r="310" spans="1:38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</row>
    <row r="311" spans="1:38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</row>
    <row r="312" spans="1:38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</row>
    <row r="313" spans="1:38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</row>
    <row r="314" spans="1:38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</row>
    <row r="315" spans="1:38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</row>
    <row r="316" spans="1:38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</row>
    <row r="317" spans="1:38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</row>
    <row r="318" spans="1:38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</row>
    <row r="319" spans="1:38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</row>
    <row r="320" spans="1:38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</row>
    <row r="321" spans="1:38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</row>
    <row r="322" spans="1:38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</row>
    <row r="323" spans="1:38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</row>
    <row r="324" spans="1:38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</row>
    <row r="325" spans="1:38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</row>
    <row r="326" spans="1:38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</row>
    <row r="327" spans="1:38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</row>
    <row r="328" spans="1:38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</row>
    <row r="329" spans="1:38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</row>
    <row r="330" spans="1:38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</row>
    <row r="331" spans="1:38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</row>
    <row r="332" spans="1:38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</row>
    <row r="333" spans="1:38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</row>
    <row r="334" spans="1:38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</row>
    <row r="335" spans="1:38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</row>
    <row r="336" spans="1:38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</row>
    <row r="337" spans="1:38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</row>
    <row r="338" spans="1:38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</row>
    <row r="339" spans="1:38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</row>
    <row r="340" spans="1:38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</row>
    <row r="341" spans="1:38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</row>
    <row r="342" spans="1:38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</row>
    <row r="343" spans="1:38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</row>
    <row r="344" spans="1:38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</row>
    <row r="345" spans="1:38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</row>
    <row r="346" spans="1:38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</row>
    <row r="347" spans="1:38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</row>
    <row r="348" spans="1:38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</row>
    <row r="349" spans="1:38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</row>
    <row r="350" spans="1:38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</row>
    <row r="351" spans="1:38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</row>
    <row r="352" spans="1:38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</row>
    <row r="353" spans="1:38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</row>
    <row r="354" spans="1:38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</row>
    <row r="355" spans="1:38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</row>
    <row r="356" spans="1:38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</row>
    <row r="357" spans="1:38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</row>
    <row r="358" spans="1:38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</row>
    <row r="359" spans="1:38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</row>
    <row r="360" spans="1:38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</row>
    <row r="361" spans="1:38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</row>
    <row r="362" spans="1:38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</row>
    <row r="363" spans="1:38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</row>
    <row r="364" spans="1:38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</row>
    <row r="365" spans="1:38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</row>
    <row r="366" spans="1:38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</row>
    <row r="367" spans="1:38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</row>
    <row r="368" spans="1:38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</row>
    <row r="369" spans="1:38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</row>
    <row r="370" spans="1:38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</row>
    <row r="371" spans="1:38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</row>
    <row r="372" spans="1:38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</row>
    <row r="373" spans="1:38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</row>
    <row r="374" spans="1:38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</row>
    <row r="375" spans="1:38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</row>
    <row r="376" spans="1:38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</row>
    <row r="377" spans="1:38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</row>
    <row r="378" spans="1:38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</row>
    <row r="379" spans="1:38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</row>
    <row r="380" spans="1:38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</row>
    <row r="381" spans="1:38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</row>
    <row r="382" spans="1:38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</row>
    <row r="383" spans="1:38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</row>
    <row r="384" spans="1:38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</row>
    <row r="385" spans="1:38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</row>
    <row r="386" spans="1:38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</row>
    <row r="387" spans="1:38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</row>
    <row r="388" spans="1:38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</row>
    <row r="389" spans="1:38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</row>
    <row r="390" spans="1:38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</row>
    <row r="391" spans="1:38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</row>
    <row r="392" spans="1:38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</row>
    <row r="393" spans="1:38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</row>
    <row r="394" spans="1:38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</row>
    <row r="395" spans="1:38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</row>
    <row r="396" spans="1:38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</row>
    <row r="397" spans="1:38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</row>
    <row r="398" spans="1:38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</row>
    <row r="399" spans="1:38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</row>
    <row r="400" spans="1:38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</row>
    <row r="401" spans="1:38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</row>
    <row r="402" spans="1:38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</row>
    <row r="403" spans="1:38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</row>
    <row r="404" spans="1:38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</row>
    <row r="405" spans="1:38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</row>
    <row r="406" spans="1:38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</row>
    <row r="407" spans="1:38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</row>
    <row r="408" spans="1:38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</row>
    <row r="409" spans="1:38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</row>
    <row r="410" spans="1:38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</row>
    <row r="411" spans="1:38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</row>
    <row r="412" spans="1:38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</row>
    <row r="413" spans="1:38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</row>
    <row r="414" spans="1:38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</row>
    <row r="415" spans="1:38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</row>
    <row r="416" spans="1:38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</row>
    <row r="417" spans="1:38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</row>
    <row r="418" spans="1:38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</row>
    <row r="419" spans="1:38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</row>
    <row r="420" spans="1:38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</row>
    <row r="421" spans="1:38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</row>
    <row r="422" spans="1:38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</row>
    <row r="423" spans="1:38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</row>
    <row r="424" spans="1:38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</row>
    <row r="425" spans="1:38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</row>
    <row r="426" spans="1:38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</row>
    <row r="427" spans="1:38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</row>
    <row r="428" spans="1:38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</row>
    <row r="429" spans="1:38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</row>
    <row r="430" spans="1:38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</row>
    <row r="431" spans="1:38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</row>
    <row r="432" spans="1:38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</row>
    <row r="433" spans="1:38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</row>
    <row r="434" spans="1:38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</row>
    <row r="435" spans="1:38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</row>
    <row r="436" spans="1:38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</row>
    <row r="437" spans="1:38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</row>
    <row r="438" spans="1:38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</row>
    <row r="439" spans="1:38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</row>
    <row r="440" spans="1:38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</row>
    <row r="441" spans="1:38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</row>
    <row r="442" spans="1:38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</row>
    <row r="443" spans="1:38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</row>
    <row r="444" spans="1:38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</row>
    <row r="445" spans="1:38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</row>
    <row r="446" spans="1:38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</row>
    <row r="447" spans="1:38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</row>
    <row r="448" spans="1:38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</row>
    <row r="449" spans="1:38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</row>
    <row r="450" spans="1:38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</row>
    <row r="451" spans="1:38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</row>
    <row r="452" spans="1:38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</row>
    <row r="453" spans="1:38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</row>
    <row r="454" spans="1:38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</row>
    <row r="455" spans="1:38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</row>
    <row r="456" spans="1:38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</row>
    <row r="457" spans="1:38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</row>
    <row r="458" spans="1:38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</row>
    <row r="459" spans="1:38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</row>
    <row r="460" spans="1:38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</row>
    <row r="461" spans="1:38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</row>
    <row r="462" spans="1:38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</row>
    <row r="463" spans="1:38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</row>
    <row r="464" spans="1:38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</row>
    <row r="465" spans="1:38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</row>
    <row r="466" spans="1:38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</row>
    <row r="467" spans="1:38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</row>
    <row r="468" spans="1:38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</row>
    <row r="469" spans="1:38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</row>
    <row r="470" spans="1:38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</row>
    <row r="471" spans="1:38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</row>
    <row r="472" spans="1:38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</row>
    <row r="473" spans="1:38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</row>
    <row r="474" spans="1:38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</row>
    <row r="475" spans="1:38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</row>
    <row r="476" spans="1:38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</row>
    <row r="477" spans="1:38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</row>
    <row r="478" spans="1:38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</row>
    <row r="479" spans="1:38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</row>
    <row r="480" spans="1:38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</row>
    <row r="481" spans="1:38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</row>
    <row r="482" spans="1:38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</row>
    <row r="483" spans="1:38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</row>
    <row r="484" spans="1:38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</row>
    <row r="485" spans="1:38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</row>
    <row r="486" spans="1:38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</row>
    <row r="487" spans="1:38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</row>
    <row r="488" spans="1:38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</row>
    <row r="489" spans="1:38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</row>
    <row r="490" spans="1:38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</row>
    <row r="491" spans="1:38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</row>
    <row r="492" spans="1:38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</row>
    <row r="493" spans="1:38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</row>
    <row r="494" spans="1:38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</row>
    <row r="495" spans="1:38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</row>
    <row r="496" spans="1:38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</row>
    <row r="497" spans="1:38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</row>
    <row r="498" spans="1:38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</row>
    <row r="499" spans="1:38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</row>
    <row r="500" spans="1:38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</row>
    <row r="501" spans="1:38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</row>
    <row r="502" spans="1:38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</row>
    <row r="503" spans="1:38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</row>
    <row r="504" spans="1:38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</row>
    <row r="505" spans="1:38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</row>
    <row r="506" spans="1:38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</row>
    <row r="507" spans="1:38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</row>
    <row r="508" spans="1:38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</row>
    <row r="509" spans="1:38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</row>
    <row r="510" spans="1:38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</row>
    <row r="511" spans="1:38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</row>
    <row r="512" spans="1:38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</row>
    <row r="513" spans="1:38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</row>
    <row r="514" spans="1:38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</row>
    <row r="515" spans="1:38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</row>
    <row r="516" spans="1:38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</row>
    <row r="517" spans="1:38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</row>
    <row r="518" spans="1:38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</row>
    <row r="519" spans="1:38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</row>
    <row r="520" spans="1:38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</row>
    <row r="521" spans="1:38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</row>
    <row r="522" spans="1:38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</row>
    <row r="523" spans="1:38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</row>
    <row r="524" spans="1:38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</row>
    <row r="525" spans="1:38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</row>
    <row r="526" spans="1:38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</row>
    <row r="527" spans="1:38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</row>
    <row r="528" spans="1:38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</row>
    <row r="529" spans="1:38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</row>
    <row r="530" spans="1:38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</row>
    <row r="531" spans="1:38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</row>
    <row r="532" spans="1:38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</row>
    <row r="533" spans="1:38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</row>
    <row r="534" spans="1:38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</row>
    <row r="535" spans="1:38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</row>
    <row r="536" spans="1:38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</row>
    <row r="537" spans="1:38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</row>
    <row r="538" spans="1:38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</row>
    <row r="539" spans="1:38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</row>
    <row r="540" spans="1:38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</row>
    <row r="541" spans="1:38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</row>
    <row r="542" spans="1:38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</row>
    <row r="543" spans="1:38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</row>
    <row r="544" spans="1:38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</row>
    <row r="545" spans="1:38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</row>
    <row r="546" spans="1:38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</row>
    <row r="547" spans="1:38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</row>
    <row r="548" spans="1:38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</row>
    <row r="549" spans="1:38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</row>
    <row r="550" spans="1:38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</row>
    <row r="551" spans="1:38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</row>
    <row r="552" spans="1:38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</row>
    <row r="553" spans="1:38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</row>
    <row r="554" spans="1:38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</row>
    <row r="555" spans="1:38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</row>
    <row r="556" spans="1:38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</row>
    <row r="557" spans="1:38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</row>
    <row r="558" spans="1:38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</row>
    <row r="559" spans="1:38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</row>
    <row r="560" spans="1:38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</row>
    <row r="561" spans="1:38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</row>
    <row r="562" spans="1:38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</row>
    <row r="563" spans="1:38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</row>
    <row r="564" spans="1:38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</row>
    <row r="565" spans="1:38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</row>
    <row r="566" spans="1:38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</row>
    <row r="567" spans="1:38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</row>
    <row r="568" spans="1:38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</row>
    <row r="569" spans="1:38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</row>
    <row r="570" spans="1:38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</row>
    <row r="571" spans="1:38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</row>
    <row r="572" spans="1:38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</row>
    <row r="573" spans="1:38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</row>
    <row r="574" spans="1:38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</row>
    <row r="575" spans="1:38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</row>
    <row r="576" spans="1:38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</row>
    <row r="577" spans="1:38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</row>
    <row r="578" spans="1:38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</row>
    <row r="579" spans="1:38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</row>
    <row r="580" spans="1:38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</row>
    <row r="581" spans="1:38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</row>
    <row r="582" spans="1:38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</row>
    <row r="583" spans="1:38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</row>
    <row r="584" spans="1:38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</row>
    <row r="585" spans="1:38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</row>
    <row r="586" spans="1:38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</row>
    <row r="587" spans="1:38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</row>
    <row r="588" spans="1:38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</row>
    <row r="589" spans="1:38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</row>
    <row r="590" spans="1:38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</row>
    <row r="591" spans="1:38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</row>
    <row r="592" spans="1:38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</row>
    <row r="593" spans="1:38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</row>
    <row r="594" spans="1:38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</row>
    <row r="595" spans="1:38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</row>
    <row r="596" spans="1:38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</row>
    <row r="597" spans="1:38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</row>
    <row r="598" spans="1:38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</row>
    <row r="599" spans="1:38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</row>
    <row r="600" spans="1:38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</row>
    <row r="601" spans="1:38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</row>
    <row r="602" spans="1:38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</row>
    <row r="603" spans="1:38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</row>
    <row r="604" spans="1:38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</row>
    <row r="605" spans="1:38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</row>
    <row r="606" spans="1:38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</row>
    <row r="607" spans="1:38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</row>
    <row r="608" spans="1:38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</row>
    <row r="609" spans="1:38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</row>
    <row r="610" spans="1:38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</row>
    <row r="611" spans="1:38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</row>
    <row r="612" spans="1:38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</row>
    <row r="613" spans="1:38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</row>
    <row r="614" spans="1:38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</row>
    <row r="615" spans="1:38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</row>
    <row r="616" spans="1:38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</row>
    <row r="617" spans="1:38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</row>
    <row r="618" spans="1:38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</row>
    <row r="619" spans="1:38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</row>
    <row r="620" spans="1:38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</row>
    <row r="621" spans="1:38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</row>
    <row r="622" spans="1:38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</row>
    <row r="623" spans="1:38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</row>
    <row r="624" spans="1:38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</row>
    <row r="625" spans="1:38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</row>
    <row r="626" spans="1:38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</row>
    <row r="627" spans="1:38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</row>
    <row r="628" spans="1:38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</row>
    <row r="629" spans="1:38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</row>
    <row r="630" spans="1:38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</row>
    <row r="631" spans="1:38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</row>
    <row r="632" spans="1:38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</row>
    <row r="633" spans="1:38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</row>
    <row r="634" spans="1:38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</row>
    <row r="635" spans="1:38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</row>
    <row r="636" spans="1:38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</row>
    <row r="637" spans="1:38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</row>
    <row r="638" spans="1:38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</row>
    <row r="639" spans="1:38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</row>
    <row r="640" spans="1:38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</row>
    <row r="641" spans="1:38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</row>
    <row r="642" spans="1:38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</row>
    <row r="643" spans="1:38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</row>
    <row r="644" spans="1:38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</row>
    <row r="645" spans="1:38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</row>
    <row r="646" spans="1:38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</row>
    <row r="647" spans="1:38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</row>
    <row r="648" spans="1:38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</row>
    <row r="649" spans="1:38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</row>
    <row r="650" spans="1:38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</row>
    <row r="651" spans="1:38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</row>
    <row r="652" spans="1:38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</row>
    <row r="653" spans="1:38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</row>
    <row r="654" spans="1:38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</row>
    <row r="655" spans="1:38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</row>
    <row r="656" spans="1:38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</row>
    <row r="657" spans="1:38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</row>
    <row r="658" spans="1:38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</row>
    <row r="659" spans="1:38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</row>
    <row r="660" spans="1:38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</row>
    <row r="661" spans="1:38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</row>
    <row r="662" spans="1:38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</row>
    <row r="663" spans="1:38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</row>
    <row r="664" spans="1:38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</row>
    <row r="665" spans="1:38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</row>
    <row r="666" spans="1:38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</row>
    <row r="667" spans="1:38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</row>
    <row r="668" spans="1:38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</row>
    <row r="669" spans="1:38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</row>
    <row r="670" spans="1:38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</row>
    <row r="671" spans="1:38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</row>
    <row r="672" spans="1:38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</row>
    <row r="673" spans="1:38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</row>
    <row r="674" spans="1:38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</row>
    <row r="675" spans="1:38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</row>
    <row r="676" spans="1:38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</row>
    <row r="677" spans="1:38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</row>
    <row r="678" spans="1:38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</row>
    <row r="679" spans="1:38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</row>
    <row r="680" spans="1:38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</row>
    <row r="681" spans="1:38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</row>
    <row r="682" spans="1:38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</row>
    <row r="683" spans="1:38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</row>
    <row r="684" spans="1:38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</row>
    <row r="685" spans="1:38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</row>
    <row r="686" spans="1:38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</row>
    <row r="687" spans="1:38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</row>
    <row r="688" spans="1:38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</row>
    <row r="689" spans="1:38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</row>
    <row r="690" spans="1:38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</row>
    <row r="691" spans="1:38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</row>
    <row r="692" spans="1:38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</row>
    <row r="693" spans="1:38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</row>
    <row r="694" spans="1:38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</row>
    <row r="695" spans="1:38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</row>
    <row r="696" spans="1:38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</row>
    <row r="697" spans="1:38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</row>
    <row r="698" spans="1:38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</row>
    <row r="699" spans="1:38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</row>
    <row r="700" spans="1:38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</row>
    <row r="701" spans="1:38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</row>
    <row r="702" spans="1:38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</row>
    <row r="703" spans="1:38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</row>
    <row r="704" spans="1:38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</row>
    <row r="705" spans="1:38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</row>
    <row r="706" spans="1:38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</row>
    <row r="707" spans="1:38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</row>
    <row r="708" spans="1:38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</row>
    <row r="709" spans="1:38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</row>
    <row r="710" spans="1:38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</row>
    <row r="711" spans="1:38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</row>
    <row r="712" spans="1:38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</row>
    <row r="713" spans="1:38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</row>
    <row r="714" spans="1:38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</row>
    <row r="715" spans="1:38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</row>
    <row r="716" spans="1:38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</row>
    <row r="717" spans="1:38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</row>
    <row r="718" spans="1:38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</row>
    <row r="719" spans="1:38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</row>
    <row r="720" spans="1:38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</row>
    <row r="721" spans="1:38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</row>
    <row r="722" spans="1:38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</row>
    <row r="723" spans="1:38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</row>
    <row r="724" spans="1:38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</row>
    <row r="725" spans="1:38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</row>
    <row r="726" spans="1:38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</row>
    <row r="727" spans="1:38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</row>
    <row r="728" spans="1:38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</row>
    <row r="729" spans="1:38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</row>
    <row r="730" spans="1:38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</row>
    <row r="731" spans="1:38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</row>
    <row r="732" spans="1:38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</row>
    <row r="733" spans="1:38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</row>
    <row r="734" spans="1:38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</row>
    <row r="735" spans="1:38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</row>
    <row r="736" spans="1:38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</row>
    <row r="737" spans="1:38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</row>
    <row r="738" spans="1:38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</row>
    <row r="739" spans="1:38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</row>
    <row r="740" spans="1:38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</row>
    <row r="741" spans="1:38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</row>
    <row r="742" spans="1:38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</row>
    <row r="743" spans="1:38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</row>
    <row r="744" spans="1:38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</row>
    <row r="745" spans="1:38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</row>
    <row r="746" spans="1:38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</row>
    <row r="747" spans="1:38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</row>
    <row r="748" spans="1:38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</row>
    <row r="749" spans="1:38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</row>
    <row r="750" spans="1:38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</row>
    <row r="751" spans="1:38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</row>
    <row r="752" spans="1:38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</row>
    <row r="753" spans="1:38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</row>
    <row r="754" spans="1:38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</row>
    <row r="755" spans="1:38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</row>
    <row r="756" spans="1:38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</row>
    <row r="757" spans="1:38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</row>
    <row r="758" spans="1:38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</row>
    <row r="759" spans="1:38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</row>
    <row r="760" spans="1:38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</row>
    <row r="761" spans="1:38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</row>
    <row r="762" spans="1:38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</row>
    <row r="763" spans="1:38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</row>
    <row r="764" spans="1:38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</row>
    <row r="765" spans="1:38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</row>
    <row r="766" spans="1:38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</row>
    <row r="767" spans="1:38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</row>
    <row r="768" spans="1:38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</row>
    <row r="769" spans="1:38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</row>
    <row r="770" spans="1:38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</row>
    <row r="771" spans="1:38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</row>
    <row r="772" spans="1:38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</row>
    <row r="773" spans="1:38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</row>
    <row r="774" spans="1:38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</row>
    <row r="775" spans="1:38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</row>
    <row r="776" spans="1:38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</row>
    <row r="777" spans="1:38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</row>
    <row r="778" spans="1:38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</row>
    <row r="779" spans="1:38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</row>
    <row r="780" spans="1:38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</row>
    <row r="781" spans="1:38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</row>
    <row r="782" spans="1:38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</row>
    <row r="783" spans="1:38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</row>
    <row r="784" spans="1:38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</row>
    <row r="785" spans="1:38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</row>
    <row r="786" spans="1:38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</row>
    <row r="787" spans="1:38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</row>
    <row r="788" spans="1:38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</row>
    <row r="789" spans="1:38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</row>
    <row r="790" spans="1:38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</row>
    <row r="791" spans="1:38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</row>
    <row r="792" spans="1:38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</row>
    <row r="793" spans="1:38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</row>
    <row r="794" spans="1:38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</row>
    <row r="795" spans="1:38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</row>
    <row r="796" spans="1:38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</row>
    <row r="797" spans="1:38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</row>
    <row r="798" spans="1:38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</row>
    <row r="799" spans="1:38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</row>
    <row r="800" spans="1:38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</row>
    <row r="801" spans="1:38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</row>
    <row r="802" spans="1:38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</row>
    <row r="803" spans="1:38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</row>
    <row r="804" spans="1:38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</row>
    <row r="805" spans="1:38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</row>
    <row r="806" spans="1:38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</row>
    <row r="807" spans="1:38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</row>
    <row r="808" spans="1:38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</row>
    <row r="809" spans="1:38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</row>
    <row r="810" spans="1:38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</row>
    <row r="811" spans="1:38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</row>
    <row r="812" spans="1:38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</row>
    <row r="813" spans="1:38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</row>
    <row r="814" spans="1:38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</row>
    <row r="815" spans="1:38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</row>
    <row r="816" spans="1:38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</row>
    <row r="817" spans="1:38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</row>
    <row r="818" spans="1:38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</row>
    <row r="819" spans="1:38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</row>
    <row r="820" spans="1:38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</row>
    <row r="821" spans="1:38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</row>
    <row r="822" spans="1:38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</row>
    <row r="823" spans="1:38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</row>
    <row r="824" spans="1:38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</row>
    <row r="825" spans="1:38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</row>
    <row r="826" spans="1:38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</row>
    <row r="827" spans="1:38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</row>
    <row r="828" spans="1:38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</row>
    <row r="829" spans="1:38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</row>
    <row r="830" spans="1:38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</row>
    <row r="831" spans="1:38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</row>
    <row r="832" spans="1:38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</row>
    <row r="833" spans="1:38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</row>
    <row r="834" spans="1:38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</row>
    <row r="835" spans="1:38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</row>
    <row r="836" spans="1:38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</row>
    <row r="837" spans="1:38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</row>
    <row r="838" spans="1:38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</row>
    <row r="839" spans="1:38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</row>
    <row r="840" spans="1:38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</row>
    <row r="841" spans="1:38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</row>
    <row r="842" spans="1:38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</row>
    <row r="843" spans="1:38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</row>
    <row r="844" spans="1:38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</row>
    <row r="845" spans="1:38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</row>
    <row r="846" spans="1:38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</row>
    <row r="847" spans="1:38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</row>
    <row r="848" spans="1:38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</row>
    <row r="849" spans="1:38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</row>
    <row r="850" spans="1:38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</row>
    <row r="851" spans="1:38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</row>
    <row r="852" spans="1:38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</row>
    <row r="853" spans="1:38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</row>
    <row r="854" spans="1:38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</row>
    <row r="855" spans="1:38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</row>
    <row r="856" spans="1:38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</row>
    <row r="857" spans="1:38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</row>
    <row r="858" spans="1:38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</row>
    <row r="859" spans="1:38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</row>
    <row r="860" spans="1:38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</row>
    <row r="861" spans="1:38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</row>
    <row r="862" spans="1:38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</row>
    <row r="863" spans="1:38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</row>
    <row r="864" spans="1:38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</row>
    <row r="865" spans="1:38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</row>
    <row r="866" spans="1:38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</row>
    <row r="867" spans="1:38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</row>
    <row r="868" spans="1:38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</row>
    <row r="869" spans="1:38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</row>
    <row r="870" spans="1:38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</row>
    <row r="871" spans="1:38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</row>
    <row r="872" spans="1:38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</row>
    <row r="873" spans="1:38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</row>
    <row r="874" spans="1:38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</row>
    <row r="875" spans="1:38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</row>
    <row r="876" spans="1:38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</row>
    <row r="877" spans="1:38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</row>
    <row r="878" spans="1:38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</row>
    <row r="879" spans="1:38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</row>
    <row r="880" spans="1:38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</row>
    <row r="881" spans="1:38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</row>
    <row r="882" spans="1:38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</row>
    <row r="883" spans="1:38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</row>
    <row r="884" spans="1:38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</row>
    <row r="885" spans="1:38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</row>
    <row r="886" spans="1:38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</row>
    <row r="887" spans="1:38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</row>
    <row r="888" spans="1:38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</row>
    <row r="889" spans="1:38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</row>
    <row r="890" spans="1:38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</row>
    <row r="891" spans="1:38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</row>
    <row r="892" spans="1:38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</row>
    <row r="893" spans="1:38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</row>
    <row r="894" spans="1:38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</row>
    <row r="895" spans="1:38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</row>
    <row r="896" spans="1:38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</row>
    <row r="897" spans="1:38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</row>
    <row r="898" spans="1:38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</row>
    <row r="899" spans="1:38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</row>
  </sheetData>
  <autoFilter ref="A1:AL43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2D25-E9E3-426F-AD5D-EE1C194A4214}">
  <dimension ref="A1:T28"/>
  <sheetViews>
    <sheetView tabSelected="1" topLeftCell="B1" zoomScale="85" zoomScaleNormal="85" workbookViewId="0">
      <selection activeCell="D27" sqref="D27"/>
    </sheetView>
  </sheetViews>
  <sheetFormatPr baseColWidth="10" defaultRowHeight="15" x14ac:dyDescent="0.25"/>
  <cols>
    <col min="1" max="1" width="23.5703125" bestFit="1" customWidth="1"/>
    <col min="2" max="2" width="81.85546875" bestFit="1" customWidth="1"/>
    <col min="21" max="21" width="11.140625" customWidth="1"/>
  </cols>
  <sheetData>
    <row r="1" spans="1:20" s="33" customFormat="1" x14ac:dyDescent="0.25">
      <c r="A1" s="33" t="s">
        <v>501</v>
      </c>
      <c r="D1" s="33" t="s">
        <v>502</v>
      </c>
      <c r="L1" s="33" t="s">
        <v>503</v>
      </c>
      <c r="T1" s="33" t="s">
        <v>511</v>
      </c>
    </row>
    <row r="28" spans="1:3" x14ac:dyDescent="0.25">
      <c r="A28" s="33"/>
      <c r="B28" s="33"/>
      <c r="C28" s="3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D04B-CAE3-4F4E-AF37-48A05B4439A6}">
  <dimension ref="A1"/>
  <sheetViews>
    <sheetView workbookViewId="0"/>
  </sheetViews>
  <sheetFormatPr baseColWidth="10" defaultRowHeight="15" x14ac:dyDescent="0.25"/>
  <sheetData>
    <row r="1" spans="1:1" x14ac:dyDescent="0.25">
      <c r="A1" s="48" t="s">
        <v>511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ACFE3-F1FB-46B2-A8D7-66D0290B9FA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92116-DFCD-4A03-97E3-C30EB711C1FF}">
  <dimension ref="A1"/>
  <sheetViews>
    <sheetView topLeftCell="A13" zoomScale="85" zoomScaleNormal="85" workbookViewId="0">
      <selection activeCell="G4" sqref="G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D43A5-30CA-4DC8-B790-AE63659E7AAA}">
  <dimension ref="A1"/>
  <sheetViews>
    <sheetView zoomScale="85" zoomScaleNormal="85" workbookViewId="0">
      <selection activeCell="F61" sqref="F6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22063-2DEB-4C55-8DFA-6C13451D8C85}">
  <dimension ref="A1"/>
  <sheetViews>
    <sheetView topLeftCell="A43" workbookViewId="0">
      <selection activeCell="R28" sqref="R2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B12"/>
  <sheetViews>
    <sheetView topLeftCell="C22" workbookViewId="0">
      <selection activeCell="B5" sqref="B5"/>
    </sheetView>
  </sheetViews>
  <sheetFormatPr baseColWidth="10" defaultColWidth="12.5703125" defaultRowHeight="15" customHeight="1" x14ac:dyDescent="0.25"/>
  <cols>
    <col min="1" max="1" width="15.5703125" bestFit="1" customWidth="1"/>
    <col min="2" max="2" width="16.42578125" bestFit="1" customWidth="1"/>
  </cols>
  <sheetData>
    <row r="1" spans="1:2" ht="15" customHeight="1" x14ac:dyDescent="0.25">
      <c r="A1" s="41" t="s">
        <v>322</v>
      </c>
      <c r="B1" s="41" t="s">
        <v>323</v>
      </c>
    </row>
    <row r="2" spans="1:2" ht="15" customHeight="1" x14ac:dyDescent="0.25">
      <c r="A2" s="42">
        <v>3</v>
      </c>
      <c r="B2" s="42">
        <v>30</v>
      </c>
    </row>
    <row r="3" spans="1:2" ht="15" customHeight="1" x14ac:dyDescent="0.25">
      <c r="A3" s="42">
        <v>2</v>
      </c>
      <c r="B3" s="42">
        <v>42</v>
      </c>
    </row>
    <row r="4" spans="1:2" ht="15" customHeight="1" x14ac:dyDescent="0.25">
      <c r="A4" s="42">
        <v>1</v>
      </c>
      <c r="B4" s="42">
        <v>70</v>
      </c>
    </row>
    <row r="5" spans="1:2" ht="15" customHeight="1" x14ac:dyDescent="0.25">
      <c r="A5" s="42">
        <v>0.5</v>
      </c>
      <c r="B5" s="42">
        <v>120</v>
      </c>
    </row>
    <row r="6" spans="1:2" ht="15" customHeight="1" x14ac:dyDescent="0.25">
      <c r="A6" s="42">
        <v>0.25</v>
      </c>
      <c r="B6" s="42">
        <v>220</v>
      </c>
    </row>
    <row r="7" spans="1:2" ht="15" customHeight="1" x14ac:dyDescent="0.25">
      <c r="A7" s="42">
        <v>0.1</v>
      </c>
      <c r="B7" s="42">
        <v>510</v>
      </c>
    </row>
    <row r="9" spans="1:2" ht="15" customHeight="1" x14ac:dyDescent="0.25">
      <c r="A9" s="18" t="s">
        <v>324</v>
      </c>
      <c r="B9" s="18" t="s">
        <v>20</v>
      </c>
    </row>
    <row r="10" spans="1:2" ht="15" customHeight="1" x14ac:dyDescent="0.25">
      <c r="A10" s="43" t="s">
        <v>325</v>
      </c>
      <c r="B10" s="18" t="s">
        <v>326</v>
      </c>
    </row>
    <row r="11" spans="1:2" ht="15" customHeight="1" x14ac:dyDescent="0.25">
      <c r="A11" s="43" t="s">
        <v>327</v>
      </c>
      <c r="B11" s="18" t="s">
        <v>328</v>
      </c>
    </row>
    <row r="12" spans="1:2" ht="15" customHeight="1" x14ac:dyDescent="0.25">
      <c r="A12" s="43" t="s">
        <v>329</v>
      </c>
      <c r="B12" s="18">
        <v>0.997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000"/>
  <sheetViews>
    <sheetView topLeftCell="A95" workbookViewId="0">
      <selection activeCell="B27" sqref="B27"/>
    </sheetView>
  </sheetViews>
  <sheetFormatPr baseColWidth="10" defaultColWidth="12.5703125" defaultRowHeight="15" customHeight="1" x14ac:dyDescent="0.25"/>
  <cols>
    <col min="1" max="26" width="8.5703125" customWidth="1"/>
  </cols>
  <sheetData>
    <row r="1" spans="1:4" ht="14.25" customHeight="1" x14ac:dyDescent="0.25">
      <c r="A1" s="19" t="s">
        <v>322</v>
      </c>
      <c r="B1" s="19" t="s">
        <v>323</v>
      </c>
      <c r="D1" s="39" t="s">
        <v>332</v>
      </c>
    </row>
    <row r="2" spans="1:4" ht="14.25" customHeight="1" x14ac:dyDescent="0.25">
      <c r="A2" s="40">
        <v>2</v>
      </c>
      <c r="B2" s="40">
        <v>43</v>
      </c>
    </row>
    <row r="3" spans="1:4" ht="14.25" customHeight="1" x14ac:dyDescent="0.25">
      <c r="A3" s="40">
        <v>1</v>
      </c>
      <c r="B3" s="40">
        <v>72</v>
      </c>
    </row>
    <row r="4" spans="1:4" ht="14.25" customHeight="1" x14ac:dyDescent="0.25">
      <c r="A4" s="40">
        <v>0.5</v>
      </c>
      <c r="B4" s="40">
        <v>131</v>
      </c>
    </row>
    <row r="5" spans="1:4" ht="14.25" customHeight="1" x14ac:dyDescent="0.25">
      <c r="A5" s="40">
        <v>0.25</v>
      </c>
      <c r="B5" s="40">
        <v>249</v>
      </c>
    </row>
    <row r="6" spans="1:4" ht="14.25" customHeight="1" x14ac:dyDescent="0.25">
      <c r="A6" s="40">
        <v>0.1</v>
      </c>
      <c r="B6" s="40">
        <v>602</v>
      </c>
    </row>
    <row r="7" spans="1:4" ht="14.25" customHeight="1" x14ac:dyDescent="0.25"/>
    <row r="8" spans="1:4" ht="14.25" customHeight="1" x14ac:dyDescent="0.25"/>
    <row r="9" spans="1:4" ht="14.25" customHeight="1" x14ac:dyDescent="0.25">
      <c r="A9" s="18" t="s">
        <v>324</v>
      </c>
      <c r="B9" s="18" t="s">
        <v>20</v>
      </c>
    </row>
    <row r="10" spans="1:4" ht="14.25" customHeight="1" x14ac:dyDescent="0.25">
      <c r="A10" s="43" t="s">
        <v>325</v>
      </c>
      <c r="B10" s="18" t="s">
        <v>330</v>
      </c>
    </row>
    <row r="11" spans="1:4" ht="14.25" customHeight="1" x14ac:dyDescent="0.25">
      <c r="A11" s="43" t="s">
        <v>327</v>
      </c>
      <c r="B11" s="18" t="s">
        <v>331</v>
      </c>
    </row>
    <row r="12" spans="1:4" ht="14.25" customHeight="1" x14ac:dyDescent="0.25">
      <c r="A12" s="43" t="s">
        <v>329</v>
      </c>
      <c r="B12" s="18">
        <v>0.996</v>
      </c>
    </row>
    <row r="13" spans="1:4" ht="14.25" customHeight="1" x14ac:dyDescent="0.25"/>
    <row r="14" spans="1:4" ht="14.25" customHeight="1" x14ac:dyDescent="0.25"/>
    <row r="15" spans="1:4" ht="14.25" customHeight="1" x14ac:dyDescent="0.25">
      <c r="A15" s="19" t="s">
        <v>333</v>
      </c>
      <c r="B15" s="19" t="s">
        <v>334</v>
      </c>
      <c r="D15" s="39" t="s">
        <v>335</v>
      </c>
    </row>
    <row r="16" spans="1:4" ht="14.25" customHeight="1" x14ac:dyDescent="0.25">
      <c r="A16" s="40">
        <v>2</v>
      </c>
      <c r="B16" s="40">
        <v>118</v>
      </c>
    </row>
    <row r="17" spans="1:2" ht="14.25" customHeight="1" x14ac:dyDescent="0.25">
      <c r="A17" s="40">
        <v>1</v>
      </c>
      <c r="B17" s="40">
        <v>154</v>
      </c>
    </row>
    <row r="18" spans="1:2" ht="14.25" customHeight="1" x14ac:dyDescent="0.25">
      <c r="A18" s="40">
        <v>0.5</v>
      </c>
      <c r="B18" s="40">
        <v>224</v>
      </c>
    </row>
    <row r="19" spans="1:2" ht="14.25" customHeight="1" x14ac:dyDescent="0.25">
      <c r="A19" s="40">
        <v>0.25</v>
      </c>
      <c r="B19" s="40">
        <v>366</v>
      </c>
    </row>
    <row r="20" spans="1:2" ht="14.25" customHeight="1" x14ac:dyDescent="0.25">
      <c r="A20" s="40">
        <v>0.1</v>
      </c>
      <c r="B20" s="40">
        <v>791</v>
      </c>
    </row>
    <row r="21" spans="1:2" ht="14.25" customHeight="1" x14ac:dyDescent="0.25"/>
    <row r="22" spans="1:2" ht="14.25" customHeight="1" x14ac:dyDescent="0.25"/>
    <row r="23" spans="1:2" ht="14.25" customHeight="1" x14ac:dyDescent="0.25">
      <c r="A23" s="18" t="s">
        <v>324</v>
      </c>
      <c r="B23" s="18" t="s">
        <v>20</v>
      </c>
    </row>
    <row r="24" spans="1:2" ht="14.25" customHeight="1" x14ac:dyDescent="0.25">
      <c r="A24" s="43" t="s">
        <v>325</v>
      </c>
      <c r="B24" s="18">
        <v>116.6</v>
      </c>
    </row>
    <row r="25" spans="1:2" ht="14.25" customHeight="1" x14ac:dyDescent="0.25">
      <c r="A25" s="43" t="s">
        <v>327</v>
      </c>
      <c r="B25" s="18">
        <v>0.45</v>
      </c>
    </row>
    <row r="26" spans="1:2" ht="14.25" customHeight="1" x14ac:dyDescent="0.25">
      <c r="A26" s="43" t="s">
        <v>329</v>
      </c>
      <c r="B26" s="18">
        <v>0.995</v>
      </c>
    </row>
    <row r="27" spans="1:2" ht="14.25" customHeight="1" x14ac:dyDescent="0.25"/>
    <row r="28" spans="1:2" ht="14.25" customHeight="1" x14ac:dyDescent="0.25"/>
    <row r="29" spans="1:2" ht="14.25" customHeight="1" x14ac:dyDescent="0.25"/>
    <row r="30" spans="1:2" ht="14.25" customHeight="1" x14ac:dyDescent="0.25"/>
    <row r="31" spans="1:2" ht="14.25" customHeight="1" x14ac:dyDescent="0.25"/>
    <row r="32" spans="1: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0"/>
  <sheetViews>
    <sheetView topLeftCell="V1" zoomScaleNormal="100" workbookViewId="0">
      <selection activeCell="D12" sqref="D12"/>
    </sheetView>
  </sheetViews>
  <sheetFormatPr baseColWidth="10" defaultColWidth="12.5703125" defaultRowHeight="15" customHeight="1" x14ac:dyDescent="0.25"/>
  <cols>
    <col min="2" max="2" width="7.85546875" customWidth="1"/>
    <col min="3" max="3" width="16.140625" customWidth="1"/>
    <col min="4" max="4" width="24.5703125" bestFit="1" customWidth="1"/>
    <col min="5" max="6" width="32" customWidth="1"/>
    <col min="7" max="7" width="20.140625" customWidth="1"/>
    <col min="8" max="8" width="27.5703125" customWidth="1"/>
    <col min="9" max="9" width="17.85546875" customWidth="1"/>
    <col min="10" max="19" width="8.5703125" customWidth="1"/>
    <col min="20" max="20" width="11.85546875" bestFit="1" customWidth="1"/>
    <col min="21" max="36" width="8.5703125" customWidth="1"/>
  </cols>
  <sheetData>
    <row r="1" spans="1:23" ht="14.25" customHeight="1" x14ac:dyDescent="0.25">
      <c r="A1" s="33" t="s">
        <v>11</v>
      </c>
      <c r="B1" s="34" t="s">
        <v>12</v>
      </c>
      <c r="C1" s="34" t="s">
        <v>337</v>
      </c>
      <c r="D1" s="34" t="s">
        <v>338</v>
      </c>
      <c r="E1" s="34" t="s">
        <v>339</v>
      </c>
      <c r="F1" s="34" t="s">
        <v>341</v>
      </c>
      <c r="G1" s="34" t="s">
        <v>340</v>
      </c>
      <c r="H1" s="34"/>
      <c r="I1" s="34"/>
    </row>
    <row r="2" spans="1:23" ht="14.25" customHeight="1" x14ac:dyDescent="0.25">
      <c r="A2" s="46" t="s">
        <v>4</v>
      </c>
      <c r="B2" t="s">
        <v>117</v>
      </c>
      <c r="C2">
        <v>0.5</v>
      </c>
      <c r="D2" s="45">
        <v>51525.762692961005</v>
      </c>
      <c r="E2" s="45">
        <v>48098.941282416999</v>
      </c>
      <c r="F2" s="45">
        <f>D2+E2</f>
        <v>99624.703975378012</v>
      </c>
      <c r="G2">
        <v>0.51719865291339251</v>
      </c>
    </row>
    <row r="3" spans="1:23" ht="14.25" customHeight="1" x14ac:dyDescent="0.25">
      <c r="A3" s="46" t="s">
        <v>4</v>
      </c>
      <c r="B3" t="s">
        <v>117</v>
      </c>
      <c r="C3">
        <v>1</v>
      </c>
      <c r="D3" s="45">
        <v>25197.898937198999</v>
      </c>
      <c r="E3" s="45">
        <v>23522.470242635005</v>
      </c>
      <c r="F3" s="45">
        <f t="shared" ref="F3:F15" si="0">D3+E3</f>
        <v>48720.369179834001</v>
      </c>
      <c r="G3">
        <v>0.5171943349647018</v>
      </c>
    </row>
    <row r="4" spans="1:23" ht="14.25" customHeight="1" x14ac:dyDescent="0.25">
      <c r="A4" s="46" t="s">
        <v>4</v>
      </c>
      <c r="B4" t="s">
        <v>117</v>
      </c>
      <c r="C4">
        <v>1.5</v>
      </c>
      <c r="D4" s="45">
        <v>16581.257785747999</v>
      </c>
      <c r="E4" s="45">
        <v>15478.724419362999</v>
      </c>
      <c r="F4" s="45">
        <f t="shared" si="0"/>
        <v>32059.982205110999</v>
      </c>
      <c r="G4">
        <v>0.51719485306216473</v>
      </c>
      <c r="N4" t="s">
        <v>336</v>
      </c>
      <c r="O4" t="s">
        <v>108</v>
      </c>
    </row>
    <row r="5" spans="1:23" ht="14.25" customHeight="1" x14ac:dyDescent="0.25">
      <c r="A5" s="46" t="s">
        <v>4</v>
      </c>
      <c r="B5" t="s">
        <v>117</v>
      </c>
      <c r="C5">
        <v>2</v>
      </c>
      <c r="D5" s="45">
        <v>12321.997307187001</v>
      </c>
      <c r="E5" s="45">
        <v>11503.273965259001</v>
      </c>
      <c r="F5" s="45">
        <f t="shared" si="0"/>
        <v>23825.271272446</v>
      </c>
      <c r="G5">
        <v>0.51718182623328324</v>
      </c>
      <c r="N5">
        <v>1</v>
      </c>
      <c r="O5">
        <v>1055.0558530000001</v>
      </c>
      <c r="R5" t="s">
        <v>12</v>
      </c>
      <c r="S5" t="s">
        <v>337</v>
      </c>
      <c r="T5" t="s">
        <v>338</v>
      </c>
      <c r="U5" t="s">
        <v>339</v>
      </c>
      <c r="W5" t="s">
        <v>340</v>
      </c>
    </row>
    <row r="6" spans="1:23" ht="14.25" customHeight="1" x14ac:dyDescent="0.25">
      <c r="A6" s="46" t="s">
        <v>4</v>
      </c>
      <c r="B6" t="s">
        <v>117</v>
      </c>
      <c r="C6">
        <v>2.0499999999999998</v>
      </c>
      <c r="D6" s="45">
        <v>10710.927019655999</v>
      </c>
      <c r="E6" s="45">
        <v>9998.7643188810016</v>
      </c>
      <c r="F6" s="45">
        <f t="shared" si="0"/>
        <v>20709.691338536999</v>
      </c>
      <c r="G6">
        <v>0.51719394773039884</v>
      </c>
      <c r="R6" t="s">
        <v>117</v>
      </c>
      <c r="S6">
        <v>0.5</v>
      </c>
      <c r="T6">
        <f>48.837*O5</f>
        <v>51525.762692961005</v>
      </c>
      <c r="U6">
        <f>45.589*O5</f>
        <v>48098.941282416999</v>
      </c>
      <c r="W6">
        <f>T6/(T6+U6)</f>
        <v>0.51719865291339251</v>
      </c>
    </row>
    <row r="7" spans="1:23" ht="14.25" customHeight="1" x14ac:dyDescent="0.25">
      <c r="A7" s="46" t="s">
        <v>4</v>
      </c>
      <c r="B7" t="s">
        <v>117</v>
      </c>
      <c r="C7">
        <v>2.5</v>
      </c>
      <c r="D7" s="45">
        <v>9787.7531482809991</v>
      </c>
      <c r="E7" s="45">
        <v>9136.7836869800012</v>
      </c>
      <c r="F7" s="45">
        <f t="shared" si="0"/>
        <v>18924.536835261002</v>
      </c>
      <c r="G7">
        <v>0.51719908568879958</v>
      </c>
      <c r="R7" t="s">
        <v>117</v>
      </c>
      <c r="S7">
        <v>1</v>
      </c>
      <c r="T7">
        <f>23.883*O5</f>
        <v>25197.898937198999</v>
      </c>
      <c r="U7">
        <f>22.295*O5</f>
        <v>23522.470242635005</v>
      </c>
      <c r="W7">
        <f t="shared" ref="W7:W19" si="1">T7/(T7+U7)</f>
        <v>0.5171943349647018</v>
      </c>
    </row>
    <row r="8" spans="1:23" ht="14.25" customHeight="1" x14ac:dyDescent="0.25">
      <c r="A8" s="46" t="s">
        <v>4</v>
      </c>
      <c r="B8" t="s">
        <v>117</v>
      </c>
      <c r="C8">
        <v>3</v>
      </c>
      <c r="D8" s="45">
        <v>8109.1592861580002</v>
      </c>
      <c r="E8" s="45">
        <v>7570.0257452750002</v>
      </c>
      <c r="F8" s="45">
        <f t="shared" si="0"/>
        <v>15679.185031433</v>
      </c>
      <c r="G8">
        <v>0.51719265190767783</v>
      </c>
      <c r="R8" t="s">
        <v>117</v>
      </c>
      <c r="S8">
        <v>1.5</v>
      </c>
      <c r="T8">
        <f>15.716*O5</f>
        <v>16581.257785747999</v>
      </c>
      <c r="U8">
        <f>14.671*O5</f>
        <v>15478.724419362999</v>
      </c>
      <c r="W8">
        <f t="shared" si="1"/>
        <v>0.51719485306216473</v>
      </c>
    </row>
    <row r="9" spans="1:23" ht="14.25" customHeight="1" x14ac:dyDescent="0.25">
      <c r="A9" s="46" t="s">
        <v>4</v>
      </c>
      <c r="B9" t="s">
        <v>320</v>
      </c>
      <c r="C9">
        <v>0.18</v>
      </c>
      <c r="D9" s="45">
        <v>19486.881604909999</v>
      </c>
      <c r="E9" s="45">
        <v>33537.060399310998</v>
      </c>
      <c r="F9" s="45">
        <f t="shared" si="0"/>
        <v>53023.942004220997</v>
      </c>
      <c r="G9">
        <v>0.36751099349344368</v>
      </c>
      <c r="R9" t="s">
        <v>117</v>
      </c>
      <c r="S9">
        <v>2</v>
      </c>
      <c r="T9">
        <f>11.679*O5</f>
        <v>12321.997307187001</v>
      </c>
      <c r="U9">
        <f>10.903*O5</f>
        <v>11503.273965259001</v>
      </c>
      <c r="W9">
        <f t="shared" si="1"/>
        <v>0.51718182623328324</v>
      </c>
    </row>
    <row r="10" spans="1:23" ht="14.25" customHeight="1" x14ac:dyDescent="0.25">
      <c r="A10" s="46" t="s">
        <v>4</v>
      </c>
      <c r="B10" t="s">
        <v>320</v>
      </c>
      <c r="C10">
        <v>0.5</v>
      </c>
      <c r="D10" s="45">
        <v>7778.9268041690011</v>
      </c>
      <c r="E10" s="45">
        <v>13388.65877457</v>
      </c>
      <c r="F10" s="45">
        <f t="shared" si="0"/>
        <v>21167.585578739003</v>
      </c>
      <c r="G10">
        <v>0.36749239894332852</v>
      </c>
      <c r="R10" t="s">
        <v>117</v>
      </c>
      <c r="S10">
        <v>2.0499999999999998</v>
      </c>
      <c r="T10">
        <f>10.152*O5</f>
        <v>10710.927019655999</v>
      </c>
      <c r="U10">
        <f>9.477*O5</f>
        <v>9998.7643188810016</v>
      </c>
      <c r="W10">
        <f t="shared" si="1"/>
        <v>0.51719394773039884</v>
      </c>
    </row>
    <row r="11" spans="1:23" ht="14.25" customHeight="1" x14ac:dyDescent="0.25">
      <c r="A11" s="46" t="s">
        <v>4</v>
      </c>
      <c r="B11" t="s">
        <v>320</v>
      </c>
      <c r="C11">
        <v>1</v>
      </c>
      <c r="D11" s="45">
        <v>5228.8568074680006</v>
      </c>
      <c r="E11" s="45">
        <v>8999.6264260900007</v>
      </c>
      <c r="F11" s="45">
        <f t="shared" si="0"/>
        <v>14228.483233558001</v>
      </c>
      <c r="G11">
        <v>0.36749221414800537</v>
      </c>
      <c r="R11" t="s">
        <v>117</v>
      </c>
      <c r="S11">
        <v>2.5</v>
      </c>
      <c r="T11">
        <f>9.277*O5</f>
        <v>9787.7531482809991</v>
      </c>
      <c r="U11">
        <f>8.66*O5</f>
        <v>9136.7836869800012</v>
      </c>
      <c r="W11">
        <f t="shared" si="1"/>
        <v>0.51719908568879958</v>
      </c>
    </row>
    <row r="12" spans="1:23" ht="14.25" customHeight="1" x14ac:dyDescent="0.25">
      <c r="A12" s="46" t="s">
        <v>4</v>
      </c>
      <c r="B12" t="s">
        <v>320</v>
      </c>
      <c r="C12">
        <v>1.5</v>
      </c>
      <c r="D12" s="45">
        <v>4145.3144464369998</v>
      </c>
      <c r="E12" s="45">
        <v>7134.2876779859998</v>
      </c>
      <c r="F12" s="45">
        <f t="shared" si="0"/>
        <v>11279.602124423</v>
      </c>
      <c r="G12">
        <v>0.36750537835562624</v>
      </c>
      <c r="R12" t="s">
        <v>117</v>
      </c>
      <c r="S12">
        <v>3</v>
      </c>
      <c r="T12">
        <f>7.686*O5</f>
        <v>8109.1592861580002</v>
      </c>
      <c r="U12">
        <f>7.175*O5</f>
        <v>7570.0257452750002</v>
      </c>
      <c r="W12">
        <f t="shared" si="1"/>
        <v>0.51719265190767783</v>
      </c>
    </row>
    <row r="13" spans="1:23" ht="14.25" customHeight="1" x14ac:dyDescent="0.25">
      <c r="A13" s="46" t="s">
        <v>4</v>
      </c>
      <c r="B13" t="s">
        <v>320</v>
      </c>
      <c r="C13">
        <v>2</v>
      </c>
      <c r="D13" s="45">
        <v>3515.4461021960001</v>
      </c>
      <c r="E13" s="45">
        <v>6049.6902611020005</v>
      </c>
      <c r="F13" s="45">
        <f t="shared" si="0"/>
        <v>9565.136363298001</v>
      </c>
      <c r="G13">
        <v>0.36752702404588572</v>
      </c>
      <c r="R13" t="s">
        <v>320</v>
      </c>
      <c r="S13">
        <v>0.18</v>
      </c>
      <c r="T13">
        <f>18.47*O5</f>
        <v>19486.881604909999</v>
      </c>
      <c r="U13">
        <f>31.787*O5</f>
        <v>33537.060399310998</v>
      </c>
      <c r="W13">
        <f t="shared" si="1"/>
        <v>0.36751099349344368</v>
      </c>
    </row>
    <row r="14" spans="1:23" ht="14.25" customHeight="1" x14ac:dyDescent="0.25">
      <c r="A14" s="46" t="s">
        <v>4</v>
      </c>
      <c r="B14" t="s">
        <v>320</v>
      </c>
      <c r="C14">
        <v>2.5</v>
      </c>
      <c r="D14" s="45">
        <v>3093.4237609960001</v>
      </c>
      <c r="E14" s="45">
        <v>5323.8118342380003</v>
      </c>
      <c r="F14" s="45">
        <f t="shared" si="0"/>
        <v>8417.2355952340004</v>
      </c>
      <c r="G14">
        <v>0.36751065429932311</v>
      </c>
      <c r="R14" t="s">
        <v>320</v>
      </c>
      <c r="S14">
        <v>0.5</v>
      </c>
      <c r="T14">
        <f>7.373*O5</f>
        <v>7778.9268041690011</v>
      </c>
      <c r="U14">
        <f>12.69*O5</f>
        <v>13388.65877457</v>
      </c>
      <c r="W14">
        <f t="shared" si="1"/>
        <v>0.36749239894332852</v>
      </c>
    </row>
    <row r="15" spans="1:23" ht="14.25" customHeight="1" x14ac:dyDescent="0.25">
      <c r="A15" s="46" t="s">
        <v>4</v>
      </c>
      <c r="B15" t="s">
        <v>320</v>
      </c>
      <c r="C15">
        <v>3</v>
      </c>
      <c r="D15" s="45">
        <v>2786.4025077730003</v>
      </c>
      <c r="E15" s="45">
        <v>4795.228851885</v>
      </c>
      <c r="F15" s="45">
        <f t="shared" si="0"/>
        <v>7581.6313596580003</v>
      </c>
      <c r="G15">
        <v>0.36752017812413029</v>
      </c>
      <c r="R15" t="s">
        <v>320</v>
      </c>
      <c r="S15">
        <v>1</v>
      </c>
      <c r="T15">
        <f>4.956*O5</f>
        <v>5228.8568074680006</v>
      </c>
      <c r="U15">
        <f>8.53*O5</f>
        <v>8999.6264260900007</v>
      </c>
      <c r="W15">
        <f t="shared" si="1"/>
        <v>0.36749221414800537</v>
      </c>
    </row>
    <row r="16" spans="1:23" ht="14.25" customHeight="1" x14ac:dyDescent="0.25">
      <c r="R16" t="s">
        <v>320</v>
      </c>
      <c r="S16">
        <v>1.5</v>
      </c>
      <c r="T16">
        <f>3.929*O5</f>
        <v>4145.3144464369998</v>
      </c>
      <c r="U16">
        <f>6.762*O5</f>
        <v>7134.2876779859998</v>
      </c>
      <c r="W16">
        <f t="shared" si="1"/>
        <v>0.36750537835562624</v>
      </c>
    </row>
    <row r="17" spans="2:23" ht="14.25" customHeight="1" x14ac:dyDescent="0.25">
      <c r="B17" s="44"/>
      <c r="C17" s="44"/>
      <c r="D17" s="44"/>
      <c r="E17" s="44"/>
      <c r="F17" s="44"/>
      <c r="R17" t="s">
        <v>320</v>
      </c>
      <c r="S17">
        <v>2</v>
      </c>
      <c r="T17">
        <f>3.332*O5</f>
        <v>3515.4461021960001</v>
      </c>
      <c r="U17">
        <f>5.734*O5</f>
        <v>6049.6902611020005</v>
      </c>
      <c r="W17">
        <f t="shared" si="1"/>
        <v>0.36752702404588572</v>
      </c>
    </row>
    <row r="18" spans="2:23" ht="14.25" customHeight="1" x14ac:dyDescent="0.25">
      <c r="B18" s="37"/>
      <c r="C18" s="37"/>
      <c r="D18" s="37"/>
      <c r="E18" s="37"/>
      <c r="F18" s="37"/>
      <c r="R18" t="s">
        <v>320</v>
      </c>
      <c r="S18">
        <v>2.5</v>
      </c>
      <c r="T18">
        <f>2.932*O5</f>
        <v>3093.4237609960001</v>
      </c>
      <c r="U18">
        <f>5.046*O5</f>
        <v>5323.8118342380003</v>
      </c>
      <c r="W18">
        <f t="shared" si="1"/>
        <v>0.36751065429932311</v>
      </c>
    </row>
    <row r="19" spans="2:23" ht="14.25" customHeight="1" x14ac:dyDescent="0.25">
      <c r="B19" s="37"/>
      <c r="C19" s="37"/>
      <c r="D19" s="37"/>
      <c r="E19" s="37"/>
      <c r="F19" s="37"/>
      <c r="R19" t="s">
        <v>320</v>
      </c>
      <c r="S19">
        <v>3</v>
      </c>
      <c r="T19">
        <f>2.641*O5</f>
        <v>2786.4025077730003</v>
      </c>
      <c r="U19">
        <f>4.545*O5</f>
        <v>4795.228851885</v>
      </c>
      <c r="W19">
        <f t="shared" si="1"/>
        <v>0.36752017812413029</v>
      </c>
    </row>
    <row r="20" spans="2:23" ht="14.25" customHeight="1" x14ac:dyDescent="0.25"/>
    <row r="21" spans="2:23" ht="14.25" customHeight="1" x14ac:dyDescent="0.25"/>
    <row r="22" spans="2:23" ht="14.25" customHeight="1" x14ac:dyDescent="0.25"/>
    <row r="23" spans="2:23" ht="14.25" customHeight="1" x14ac:dyDescent="0.25"/>
    <row r="24" spans="2:23" ht="14.25" customHeight="1" x14ac:dyDescent="0.25"/>
    <row r="25" spans="2:23" ht="14.25" customHeight="1" x14ac:dyDescent="0.25"/>
    <row r="26" spans="2:23" ht="14.25" customHeight="1" x14ac:dyDescent="0.25"/>
    <row r="27" spans="2:23" ht="14.25" customHeight="1" x14ac:dyDescent="0.25"/>
    <row r="28" spans="2:23" ht="14.25" customHeight="1" x14ac:dyDescent="0.25"/>
    <row r="29" spans="2:23" ht="14.25" customHeight="1" x14ac:dyDescent="0.25"/>
    <row r="30" spans="2:23" ht="14.25" customHeight="1" x14ac:dyDescent="0.25"/>
    <row r="31" spans="2:23" ht="14.25" customHeight="1" x14ac:dyDescent="0.25"/>
    <row r="32" spans="2:2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9661B-A80C-4CA5-8B4E-E679EC90E33C}">
  <dimension ref="A1:F20"/>
  <sheetViews>
    <sheetView workbookViewId="0">
      <selection activeCell="C18" sqref="C18"/>
    </sheetView>
  </sheetViews>
  <sheetFormatPr baseColWidth="10" defaultColWidth="8.7109375" defaultRowHeight="15" x14ac:dyDescent="0.25"/>
  <cols>
    <col min="1" max="1" width="23.140625" bestFit="1" customWidth="1"/>
    <col min="2" max="2" width="23" bestFit="1" customWidth="1"/>
    <col min="3" max="3" width="80.42578125" bestFit="1" customWidth="1"/>
    <col min="4" max="4" width="14.28515625" bestFit="1" customWidth="1"/>
    <col min="5" max="5" width="42.5703125" bestFit="1" customWidth="1"/>
  </cols>
  <sheetData>
    <row r="1" spans="1:6" x14ac:dyDescent="0.25">
      <c r="A1" s="22" t="s">
        <v>171</v>
      </c>
      <c r="B1" s="22" t="s">
        <v>119</v>
      </c>
      <c r="C1" s="22" t="s">
        <v>120</v>
      </c>
      <c r="D1" s="22" t="s">
        <v>19</v>
      </c>
      <c r="E1" s="22" t="s">
        <v>121</v>
      </c>
    </row>
    <row r="2" spans="1:6" x14ac:dyDescent="0.25">
      <c r="A2" s="23" t="s">
        <v>172</v>
      </c>
      <c r="B2" s="23" t="s">
        <v>31</v>
      </c>
      <c r="C2" s="24" t="s">
        <v>173</v>
      </c>
      <c r="D2" s="24" t="s">
        <v>174</v>
      </c>
      <c r="E2" s="24" t="s">
        <v>175</v>
      </c>
      <c r="F2" t="s">
        <v>176</v>
      </c>
    </row>
    <row r="3" spans="1:6" x14ac:dyDescent="0.25">
      <c r="A3" s="24"/>
      <c r="B3" s="23" t="s">
        <v>68</v>
      </c>
      <c r="C3" s="24" t="s">
        <v>177</v>
      </c>
      <c r="D3" s="24" t="s">
        <v>178</v>
      </c>
      <c r="E3" s="24" t="s">
        <v>179</v>
      </c>
    </row>
    <row r="4" spans="1:6" x14ac:dyDescent="0.25">
      <c r="A4" s="24"/>
      <c r="B4" s="23" t="s">
        <v>180</v>
      </c>
      <c r="C4" s="24" t="s">
        <v>181</v>
      </c>
      <c r="D4" s="24" t="s">
        <v>178</v>
      </c>
      <c r="E4" s="24" t="s">
        <v>182</v>
      </c>
    </row>
    <row r="5" spans="1:6" x14ac:dyDescent="0.25">
      <c r="A5" s="24"/>
      <c r="B5" s="23" t="s">
        <v>183</v>
      </c>
      <c r="C5" s="24" t="s">
        <v>184</v>
      </c>
      <c r="D5" s="24" t="s">
        <v>178</v>
      </c>
      <c r="E5" s="24" t="s">
        <v>185</v>
      </c>
      <c r="F5" t="s">
        <v>186</v>
      </c>
    </row>
    <row r="6" spans="1:6" x14ac:dyDescent="0.25">
      <c r="A6" s="24"/>
      <c r="B6" s="23" t="s">
        <v>187</v>
      </c>
      <c r="C6" s="24" t="s">
        <v>188</v>
      </c>
      <c r="D6" s="24" t="s">
        <v>189</v>
      </c>
      <c r="E6" s="24" t="s">
        <v>190</v>
      </c>
    </row>
    <row r="7" spans="1:6" x14ac:dyDescent="0.25">
      <c r="A7" s="24"/>
      <c r="B7" s="24" t="s">
        <v>191</v>
      </c>
      <c r="C7" s="24" t="s">
        <v>192</v>
      </c>
      <c r="D7" s="24" t="s">
        <v>189</v>
      </c>
      <c r="E7" s="24" t="s">
        <v>193</v>
      </c>
      <c r="F7" t="s">
        <v>194</v>
      </c>
    </row>
    <row r="8" spans="1:6" x14ac:dyDescent="0.25">
      <c r="A8" s="24"/>
      <c r="B8" s="24" t="s">
        <v>195</v>
      </c>
      <c r="C8" s="24" t="s">
        <v>196</v>
      </c>
      <c r="D8" s="24" t="s">
        <v>189</v>
      </c>
      <c r="E8" s="24" t="s">
        <v>197</v>
      </c>
    </row>
    <row r="9" spans="1:6" x14ac:dyDescent="0.25">
      <c r="A9" s="24"/>
      <c r="B9" s="24" t="s">
        <v>198</v>
      </c>
      <c r="C9" s="24" t="s">
        <v>196</v>
      </c>
      <c r="D9" s="24" t="s">
        <v>189</v>
      </c>
      <c r="E9" s="24" t="s">
        <v>199</v>
      </c>
    </row>
    <row r="10" spans="1:6" x14ac:dyDescent="0.25">
      <c r="A10" s="24"/>
      <c r="B10" s="23" t="s">
        <v>200</v>
      </c>
      <c r="C10" s="24" t="s">
        <v>201</v>
      </c>
      <c r="D10" s="24" t="s">
        <v>189</v>
      </c>
      <c r="E10" s="24" t="s">
        <v>202</v>
      </c>
      <c r="F10" t="s">
        <v>203</v>
      </c>
    </row>
    <row r="11" spans="1:6" x14ac:dyDescent="0.25">
      <c r="A11" s="24"/>
      <c r="B11" s="23" t="s">
        <v>131</v>
      </c>
      <c r="C11" s="24" t="s">
        <v>204</v>
      </c>
      <c r="D11" s="24" t="s">
        <v>189</v>
      </c>
      <c r="E11" s="24" t="s">
        <v>205</v>
      </c>
    </row>
    <row r="12" spans="1:6" x14ac:dyDescent="0.25">
      <c r="A12" s="24"/>
      <c r="B12" s="23" t="s">
        <v>206</v>
      </c>
      <c r="C12" s="24" t="s">
        <v>207</v>
      </c>
      <c r="D12" s="24" t="s">
        <v>208</v>
      </c>
      <c r="E12" s="24" t="s">
        <v>209</v>
      </c>
    </row>
    <row r="13" spans="1:6" x14ac:dyDescent="0.25">
      <c r="A13" s="24"/>
      <c r="B13" s="23" t="s">
        <v>210</v>
      </c>
      <c r="C13" s="24" t="s">
        <v>211</v>
      </c>
      <c r="D13" s="24" t="s">
        <v>212</v>
      </c>
      <c r="E13" s="24" t="s">
        <v>213</v>
      </c>
    </row>
    <row r="14" spans="1:6" x14ac:dyDescent="0.25">
      <c r="A14" s="24"/>
      <c r="B14" s="23" t="s">
        <v>214</v>
      </c>
      <c r="C14" s="24" t="s">
        <v>215</v>
      </c>
      <c r="D14" s="24" t="s">
        <v>216</v>
      </c>
      <c r="E14" s="24" t="s">
        <v>217</v>
      </c>
    </row>
    <row r="15" spans="1:6" x14ac:dyDescent="0.25">
      <c r="A15" s="24"/>
      <c r="B15" s="23" t="s">
        <v>218</v>
      </c>
      <c r="C15" s="24" t="s">
        <v>219</v>
      </c>
      <c r="D15" s="24" t="s">
        <v>220</v>
      </c>
      <c r="E15" s="24" t="s">
        <v>221</v>
      </c>
      <c r="F15" t="s">
        <v>222</v>
      </c>
    </row>
    <row r="16" spans="1:6" x14ac:dyDescent="0.25">
      <c r="A16" s="23" t="s">
        <v>223</v>
      </c>
      <c r="B16" s="23" t="s">
        <v>31</v>
      </c>
      <c r="C16" s="24" t="s">
        <v>224</v>
      </c>
      <c r="D16" s="24" t="s">
        <v>174</v>
      </c>
      <c r="E16" s="24" t="s">
        <v>225</v>
      </c>
    </row>
    <row r="17" spans="1:5" x14ac:dyDescent="0.25">
      <c r="A17" s="24"/>
      <c r="B17" s="23" t="s">
        <v>68</v>
      </c>
      <c r="C17" s="24" t="s">
        <v>226</v>
      </c>
      <c r="D17" s="24" t="s">
        <v>178</v>
      </c>
      <c r="E17" s="24" t="s">
        <v>227</v>
      </c>
    </row>
    <row r="18" spans="1:5" x14ac:dyDescent="0.25">
      <c r="A18" s="24"/>
      <c r="B18" s="23" t="s">
        <v>228</v>
      </c>
      <c r="C18" s="24" t="s">
        <v>229</v>
      </c>
      <c r="D18" s="24" t="s">
        <v>178</v>
      </c>
      <c r="E18" s="24" t="s">
        <v>230</v>
      </c>
    </row>
    <row r="19" spans="1:5" x14ac:dyDescent="0.25">
      <c r="A19" s="24"/>
      <c r="B19" s="23" t="s">
        <v>73</v>
      </c>
      <c r="C19" s="24" t="s">
        <v>231</v>
      </c>
      <c r="D19" s="24" t="s">
        <v>189</v>
      </c>
      <c r="E19" s="24" t="s">
        <v>232</v>
      </c>
    </row>
    <row r="20" spans="1:5" x14ac:dyDescent="0.25">
      <c r="A20" s="23" t="s">
        <v>233</v>
      </c>
      <c r="B20" s="23" t="s">
        <v>234</v>
      </c>
      <c r="C20" s="24" t="s">
        <v>235</v>
      </c>
      <c r="D20" s="24" t="s">
        <v>212</v>
      </c>
      <c r="E20" s="24" t="s">
        <v>236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CD29-D155-4568-A981-C722F3BFCB2D}">
  <dimension ref="A1:E18"/>
  <sheetViews>
    <sheetView topLeftCell="A10" workbookViewId="0">
      <selection sqref="A1:XFD1048576"/>
    </sheetView>
  </sheetViews>
  <sheetFormatPr baseColWidth="10" defaultRowHeight="15" x14ac:dyDescent="0.25"/>
  <cols>
    <col min="1" max="1" width="11.42578125" bestFit="1" customWidth="1"/>
    <col min="3" max="3" width="10.7109375" bestFit="1" customWidth="1"/>
    <col min="4" max="4" width="9.5703125" bestFit="1" customWidth="1"/>
    <col min="5" max="5" width="11" bestFit="1" customWidth="1"/>
  </cols>
  <sheetData>
    <row r="1" spans="1:5" ht="30" x14ac:dyDescent="0.25">
      <c r="A1" s="18" t="s">
        <v>118</v>
      </c>
      <c r="B1" s="18" t="s">
        <v>119</v>
      </c>
      <c r="C1" s="19" t="s">
        <v>120</v>
      </c>
      <c r="D1" s="18" t="s">
        <v>19</v>
      </c>
      <c r="E1" s="18" t="s">
        <v>121</v>
      </c>
    </row>
    <row r="2" spans="1:5" ht="60" x14ac:dyDescent="0.25">
      <c r="A2" s="18" t="s">
        <v>122</v>
      </c>
      <c r="B2" s="20" t="s">
        <v>123</v>
      </c>
      <c r="C2" s="21" t="s">
        <v>124</v>
      </c>
      <c r="D2" s="20" t="s">
        <v>125</v>
      </c>
      <c r="E2" s="20" t="s">
        <v>126</v>
      </c>
    </row>
    <row r="3" spans="1:5" ht="45" x14ac:dyDescent="0.25">
      <c r="A3" s="17"/>
      <c r="B3" s="20" t="s">
        <v>127</v>
      </c>
      <c r="C3" s="21" t="s">
        <v>128</v>
      </c>
      <c r="D3" s="20" t="s">
        <v>129</v>
      </c>
      <c r="E3" s="20" t="s">
        <v>130</v>
      </c>
    </row>
    <row r="4" spans="1:5" ht="30" x14ac:dyDescent="0.25">
      <c r="A4" s="17"/>
      <c r="B4" s="20" t="s">
        <v>131</v>
      </c>
      <c r="C4" s="21" t="s">
        <v>132</v>
      </c>
      <c r="D4" s="20" t="s">
        <v>133</v>
      </c>
      <c r="E4" s="20" t="s">
        <v>134</v>
      </c>
    </row>
    <row r="5" spans="1:5" ht="45" x14ac:dyDescent="0.25">
      <c r="A5" s="18" t="s">
        <v>135</v>
      </c>
      <c r="B5" s="20" t="s">
        <v>136</v>
      </c>
      <c r="C5" s="21" t="s">
        <v>137</v>
      </c>
      <c r="D5" s="20" t="s">
        <v>125</v>
      </c>
      <c r="E5" s="20" t="s">
        <v>138</v>
      </c>
    </row>
    <row r="6" spans="1:5" ht="45" x14ac:dyDescent="0.25">
      <c r="A6" s="17"/>
      <c r="B6" s="20" t="s">
        <v>139</v>
      </c>
      <c r="C6" s="21" t="s">
        <v>140</v>
      </c>
      <c r="D6" s="20" t="s">
        <v>133</v>
      </c>
      <c r="E6" s="20" t="s">
        <v>141</v>
      </c>
    </row>
    <row r="7" spans="1:5" x14ac:dyDescent="0.25">
      <c r="A7" s="17"/>
      <c r="B7" s="20" t="s">
        <v>28</v>
      </c>
      <c r="C7" s="21">
        <v>0.01</v>
      </c>
      <c r="D7" s="20" t="s">
        <v>133</v>
      </c>
      <c r="E7" s="20" t="s">
        <v>142</v>
      </c>
    </row>
    <row r="8" spans="1:5" ht="75" x14ac:dyDescent="0.25">
      <c r="A8" s="18" t="s">
        <v>143</v>
      </c>
      <c r="B8" s="20" t="s">
        <v>144</v>
      </c>
      <c r="C8" s="21" t="s">
        <v>145</v>
      </c>
      <c r="D8" s="20" t="s">
        <v>125</v>
      </c>
      <c r="E8" s="20" t="s">
        <v>146</v>
      </c>
    </row>
    <row r="9" spans="1:5" ht="30" x14ac:dyDescent="0.25">
      <c r="A9" s="17"/>
      <c r="B9" s="20" t="s">
        <v>147</v>
      </c>
      <c r="C9" s="21">
        <v>0.1</v>
      </c>
      <c r="D9" s="20" t="s">
        <v>133</v>
      </c>
      <c r="E9" s="20" t="s">
        <v>148</v>
      </c>
    </row>
    <row r="10" spans="1:5" ht="30" x14ac:dyDescent="0.25">
      <c r="A10" s="17"/>
      <c r="B10" s="20" t="s">
        <v>149</v>
      </c>
      <c r="C10" s="21">
        <v>1.4999999999999999E-2</v>
      </c>
      <c r="D10" s="20" t="s">
        <v>133</v>
      </c>
      <c r="E10" s="20" t="s">
        <v>150</v>
      </c>
    </row>
    <row r="11" spans="1:5" ht="60" x14ac:dyDescent="0.25">
      <c r="A11" s="18" t="s">
        <v>151</v>
      </c>
      <c r="B11" s="20" t="s">
        <v>152</v>
      </c>
      <c r="C11" s="21">
        <v>0.02</v>
      </c>
      <c r="D11" s="20" t="s">
        <v>133</v>
      </c>
      <c r="E11" s="20" t="s">
        <v>153</v>
      </c>
    </row>
    <row r="12" spans="1:5" ht="45" x14ac:dyDescent="0.25">
      <c r="A12" s="17"/>
      <c r="B12" s="20" t="s">
        <v>154</v>
      </c>
      <c r="C12" s="21">
        <v>0.03</v>
      </c>
      <c r="D12" s="20" t="s">
        <v>133</v>
      </c>
      <c r="E12" s="20" t="s">
        <v>155</v>
      </c>
    </row>
    <row r="13" spans="1:5" ht="45" x14ac:dyDescent="0.25">
      <c r="A13" s="17"/>
      <c r="B13" s="20" t="s">
        <v>156</v>
      </c>
      <c r="C13" s="21" t="s">
        <v>157</v>
      </c>
      <c r="D13" s="20" t="s">
        <v>129</v>
      </c>
      <c r="E13" s="20" t="s">
        <v>158</v>
      </c>
    </row>
    <row r="14" spans="1:5" ht="45" x14ac:dyDescent="0.25">
      <c r="A14" s="18" t="s">
        <v>159</v>
      </c>
      <c r="B14" s="20" t="s">
        <v>160</v>
      </c>
      <c r="C14" s="21">
        <v>0.12</v>
      </c>
      <c r="D14" s="20" t="s">
        <v>133</v>
      </c>
      <c r="E14" s="20" t="s">
        <v>161</v>
      </c>
    </row>
    <row r="15" spans="1:5" ht="30" x14ac:dyDescent="0.25">
      <c r="A15" s="17"/>
      <c r="B15" s="20" t="s">
        <v>162</v>
      </c>
      <c r="C15" s="21">
        <v>0.02</v>
      </c>
      <c r="D15" s="20" t="s">
        <v>133</v>
      </c>
      <c r="E15" s="20" t="s">
        <v>163</v>
      </c>
    </row>
    <row r="16" spans="1:5" ht="60" x14ac:dyDescent="0.25">
      <c r="A16" s="17"/>
      <c r="B16" s="20" t="s">
        <v>164</v>
      </c>
      <c r="C16" s="21">
        <v>1.5</v>
      </c>
      <c r="D16" s="20" t="s">
        <v>125</v>
      </c>
      <c r="E16" s="20" t="s">
        <v>165</v>
      </c>
    </row>
    <row r="17" spans="1:5" ht="60" x14ac:dyDescent="0.25">
      <c r="A17" s="18" t="s">
        <v>166</v>
      </c>
      <c r="B17" s="20">
        <v>98.7</v>
      </c>
      <c r="C17" s="21" t="s">
        <v>125</v>
      </c>
      <c r="D17" s="20" t="s">
        <v>167</v>
      </c>
      <c r="E17" s="17"/>
    </row>
    <row r="18" spans="1:5" ht="90" x14ac:dyDescent="0.25">
      <c r="A18" s="18" t="s">
        <v>168</v>
      </c>
      <c r="B18" s="20">
        <v>12</v>
      </c>
      <c r="C18" s="21" t="s">
        <v>169</v>
      </c>
      <c r="D18" s="20" t="s">
        <v>170</v>
      </c>
      <c r="E18" s="1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topLeftCell="A7" workbookViewId="0"/>
  </sheetViews>
  <sheetFormatPr baseColWidth="10" defaultColWidth="12.5703125" defaultRowHeight="15" customHeight="1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22"/>
  <sheetViews>
    <sheetView workbookViewId="0">
      <selection activeCell="D19" sqref="D19"/>
    </sheetView>
  </sheetViews>
  <sheetFormatPr baseColWidth="10" defaultColWidth="12.5703125" defaultRowHeight="15" customHeight="1" x14ac:dyDescent="0.25"/>
  <cols>
    <col min="1" max="1" width="21.85546875" bestFit="1" customWidth="1"/>
  </cols>
  <sheetData>
    <row r="1" spans="1:4" ht="15" customHeight="1" x14ac:dyDescent="0.25">
      <c r="B1" s="11" t="s">
        <v>29</v>
      </c>
      <c r="C1" s="11" t="s">
        <v>31</v>
      </c>
      <c r="D1" s="11" t="s">
        <v>33</v>
      </c>
    </row>
    <row r="3" spans="1:4" ht="15" customHeight="1" x14ac:dyDescent="0.25">
      <c r="A3" s="5" t="s">
        <v>89</v>
      </c>
      <c r="B3" s="12">
        <v>0.14099999999999999</v>
      </c>
      <c r="C3" s="13">
        <v>0.06</v>
      </c>
      <c r="D3" s="14"/>
    </row>
    <row r="4" spans="1:4" ht="15" customHeight="1" x14ac:dyDescent="0.25">
      <c r="A4" s="5" t="s">
        <v>90</v>
      </c>
      <c r="B4" s="13">
        <v>6.6000000000000003E-2</v>
      </c>
      <c r="C4" s="13">
        <v>0.14899999999999999</v>
      </c>
      <c r="D4" s="14"/>
    </row>
    <row r="5" spans="1:4" ht="15" customHeight="1" x14ac:dyDescent="0.25">
      <c r="A5" s="5" t="s">
        <v>91</v>
      </c>
      <c r="B5" s="13">
        <v>0.1</v>
      </c>
      <c r="C5" s="13">
        <v>0.1</v>
      </c>
      <c r="D5" s="14"/>
    </row>
    <row r="6" spans="1:4" ht="15" customHeight="1" x14ac:dyDescent="0.25">
      <c r="A6" s="5" t="s">
        <v>92</v>
      </c>
      <c r="B6" s="13">
        <v>0.2</v>
      </c>
      <c r="C6" s="13">
        <v>0.2</v>
      </c>
      <c r="D6" s="14"/>
    </row>
    <row r="7" spans="1:4" ht="15" customHeight="1" x14ac:dyDescent="0.25">
      <c r="A7" s="5" t="s">
        <v>32</v>
      </c>
      <c r="B7" s="13">
        <v>0</v>
      </c>
      <c r="C7" s="13">
        <v>0.2</v>
      </c>
      <c r="D7" s="14"/>
    </row>
    <row r="8" spans="1:4" ht="15" customHeight="1" x14ac:dyDescent="0.25">
      <c r="A8" s="5" t="s">
        <v>93</v>
      </c>
      <c r="B8" s="14"/>
      <c r="C8" s="14"/>
      <c r="D8" s="13">
        <v>0.245</v>
      </c>
    </row>
    <row r="9" spans="1:4" ht="15" customHeight="1" x14ac:dyDescent="0.25">
      <c r="B9" s="14"/>
      <c r="C9" s="14"/>
      <c r="D9" s="14"/>
    </row>
    <row r="10" spans="1:4" ht="15" customHeight="1" x14ac:dyDescent="0.25">
      <c r="A10" s="5" t="s">
        <v>94</v>
      </c>
      <c r="B10" s="13">
        <v>117</v>
      </c>
      <c r="C10" s="13">
        <v>25</v>
      </c>
      <c r="D10" s="13">
        <v>2</v>
      </c>
    </row>
    <row r="11" spans="1:4" ht="15" customHeight="1" x14ac:dyDescent="0.25">
      <c r="A11" s="5" t="s">
        <v>95</v>
      </c>
      <c r="B11" s="13">
        <v>27</v>
      </c>
      <c r="C11" s="13">
        <v>2</v>
      </c>
      <c r="D11" s="13">
        <v>0.1</v>
      </c>
    </row>
    <row r="12" spans="1:4" ht="15" customHeight="1" x14ac:dyDescent="0.25">
      <c r="A12" s="5" t="s">
        <v>96</v>
      </c>
      <c r="B12" s="13">
        <v>406</v>
      </c>
      <c r="C12" s="13">
        <v>22</v>
      </c>
      <c r="D12" s="13">
        <v>1</v>
      </c>
    </row>
    <row r="13" spans="1:4" ht="15" customHeight="1" x14ac:dyDescent="0.25">
      <c r="A13" s="5" t="s">
        <v>97</v>
      </c>
      <c r="B13" s="13">
        <v>21</v>
      </c>
      <c r="C13" s="13">
        <v>16</v>
      </c>
      <c r="D13" s="13">
        <v>1</v>
      </c>
    </row>
    <row r="14" spans="1:4" ht="15" customHeight="1" x14ac:dyDescent="0.25">
      <c r="A14" s="5" t="s">
        <v>98</v>
      </c>
      <c r="B14" s="13">
        <v>339</v>
      </c>
      <c r="C14" s="13">
        <v>11</v>
      </c>
      <c r="D14" s="13">
        <v>1</v>
      </c>
    </row>
    <row r="15" spans="1:4" ht="15" customHeight="1" x14ac:dyDescent="0.25">
      <c r="A15" s="5" t="s">
        <v>99</v>
      </c>
      <c r="B15" s="13">
        <v>263</v>
      </c>
      <c r="C15" s="13">
        <v>9</v>
      </c>
      <c r="D15" s="13">
        <v>1</v>
      </c>
    </row>
    <row r="16" spans="1:4" ht="15" customHeight="1" x14ac:dyDescent="0.25">
      <c r="A16" s="5" t="s">
        <v>100</v>
      </c>
      <c r="B16" s="13">
        <v>208</v>
      </c>
      <c r="C16" s="13">
        <v>7</v>
      </c>
      <c r="D16" s="13">
        <v>1</v>
      </c>
    </row>
    <row r="17" spans="1:4" ht="15" customHeight="1" x14ac:dyDescent="0.25">
      <c r="A17" s="5" t="s">
        <v>101</v>
      </c>
      <c r="B17" s="13">
        <v>321</v>
      </c>
      <c r="C17" s="13">
        <v>10</v>
      </c>
      <c r="D17" s="13">
        <v>1</v>
      </c>
    </row>
    <row r="18" spans="1:4" ht="15" customHeight="1" x14ac:dyDescent="0.25">
      <c r="B18" s="14"/>
      <c r="C18" s="14"/>
      <c r="D18" s="14"/>
    </row>
    <row r="19" spans="1:4" ht="15" customHeight="1" x14ac:dyDescent="0.25">
      <c r="A19" s="5" t="s">
        <v>102</v>
      </c>
      <c r="B19" s="13">
        <v>0</v>
      </c>
      <c r="C19" s="13">
        <v>15.3</v>
      </c>
      <c r="D19" s="14"/>
    </row>
    <row r="20" spans="1:4" ht="15" customHeight="1" x14ac:dyDescent="0.25">
      <c r="A20" s="5" t="s">
        <v>103</v>
      </c>
      <c r="B20" s="13">
        <v>5.7</v>
      </c>
      <c r="C20" s="13">
        <v>7.2</v>
      </c>
      <c r="D20" s="14"/>
    </row>
    <row r="21" spans="1:4" ht="15" customHeight="1" x14ac:dyDescent="0.25">
      <c r="A21" s="5" t="s">
        <v>104</v>
      </c>
      <c r="B21" s="14"/>
      <c r="C21" s="14"/>
      <c r="D21" s="13">
        <v>2</v>
      </c>
    </row>
    <row r="22" spans="1:4" ht="15" customHeight="1" x14ac:dyDescent="0.25">
      <c r="B22" s="14"/>
      <c r="C22" s="14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2"/>
  <sheetViews>
    <sheetView workbookViewId="0"/>
  </sheetViews>
  <sheetFormatPr baseColWidth="10" defaultColWidth="12.5703125" defaultRowHeight="15" customHeight="1" x14ac:dyDescent="0.25"/>
  <sheetData>
    <row r="1" spans="1:7" ht="15" customHeight="1" x14ac:dyDescent="0.25">
      <c r="A1" s="1" t="s">
        <v>105</v>
      </c>
    </row>
    <row r="12" spans="1:7" ht="15" customHeight="1" x14ac:dyDescent="0.25">
      <c r="G12" s="1" t="s">
        <v>105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G1:I17"/>
  <sheetViews>
    <sheetView workbookViewId="0"/>
  </sheetViews>
  <sheetFormatPr baseColWidth="10" defaultColWidth="12.5703125" defaultRowHeight="15" customHeight="1" x14ac:dyDescent="0.25"/>
  <sheetData>
    <row r="1" spans="7:9" ht="15" customHeight="1" x14ac:dyDescent="0.25">
      <c r="G1" s="5" t="s">
        <v>106</v>
      </c>
    </row>
    <row r="4" spans="7:9" ht="15" customHeight="1" x14ac:dyDescent="0.25">
      <c r="H4" s="15" t="s">
        <v>107</v>
      </c>
      <c r="I4" s="15" t="s">
        <v>19</v>
      </c>
    </row>
    <row r="5" spans="7:9" ht="15" customHeight="1" x14ac:dyDescent="0.25">
      <c r="G5" s="5" t="s">
        <v>45</v>
      </c>
      <c r="H5" s="5">
        <v>2453</v>
      </c>
      <c r="I5" s="5" t="s">
        <v>108</v>
      </c>
    </row>
    <row r="6" spans="7:9" ht="15" customHeight="1" x14ac:dyDescent="0.25">
      <c r="G6" s="5" t="s">
        <v>46</v>
      </c>
      <c r="H6" s="5">
        <v>11444</v>
      </c>
      <c r="I6" s="5" t="s">
        <v>108</v>
      </c>
    </row>
    <row r="7" spans="7:9" ht="15" customHeight="1" x14ac:dyDescent="0.25">
      <c r="G7" s="5" t="s">
        <v>109</v>
      </c>
      <c r="H7" s="5">
        <v>444</v>
      </c>
      <c r="I7" s="5" t="s">
        <v>108</v>
      </c>
    </row>
    <row r="8" spans="7:9" ht="15" customHeight="1" x14ac:dyDescent="0.25">
      <c r="G8" s="5" t="s">
        <v>110</v>
      </c>
      <c r="H8" s="5">
        <v>1969</v>
      </c>
      <c r="I8" s="5" t="s">
        <v>108</v>
      </c>
    </row>
    <row r="9" spans="7:9" ht="15" customHeight="1" x14ac:dyDescent="0.25">
      <c r="G9" s="5" t="s">
        <v>47</v>
      </c>
      <c r="H9" s="5">
        <v>579</v>
      </c>
      <c r="I9" s="5" t="s">
        <v>108</v>
      </c>
    </row>
    <row r="10" spans="7:9" ht="15" customHeight="1" x14ac:dyDescent="0.25">
      <c r="G10" s="5" t="s">
        <v>111</v>
      </c>
      <c r="H10" s="5">
        <v>1372</v>
      </c>
      <c r="I10" s="5" t="s">
        <v>108</v>
      </c>
    </row>
    <row r="11" spans="7:9" ht="15" customHeight="1" x14ac:dyDescent="0.25">
      <c r="G11" s="5" t="s">
        <v>112</v>
      </c>
      <c r="H11" s="5">
        <v>583</v>
      </c>
      <c r="I11" s="5" t="s">
        <v>108</v>
      </c>
    </row>
    <row r="12" spans="7:9" ht="15" customHeight="1" x14ac:dyDescent="0.25">
      <c r="G12" s="5" t="s">
        <v>113</v>
      </c>
      <c r="H12" s="5">
        <v>506</v>
      </c>
      <c r="I12" s="5" t="s">
        <v>108</v>
      </c>
    </row>
    <row r="13" spans="7:9" ht="15" customHeight="1" x14ac:dyDescent="0.25">
      <c r="G13" s="5" t="s">
        <v>114</v>
      </c>
      <c r="H13" s="1">
        <f>SUM(H5:H12)</f>
        <v>19350</v>
      </c>
      <c r="I13" s="5" t="s">
        <v>108</v>
      </c>
    </row>
    <row r="14" spans="7:9" ht="15" customHeight="1" x14ac:dyDescent="0.25">
      <c r="G14" s="5" t="s">
        <v>115</v>
      </c>
    </row>
    <row r="15" spans="7:9" ht="15" customHeight="1" x14ac:dyDescent="0.25">
      <c r="G15" s="5" t="s">
        <v>116</v>
      </c>
    </row>
    <row r="16" spans="7:9" ht="15" customHeight="1" x14ac:dyDescent="0.25">
      <c r="G16" s="5" t="s">
        <v>48</v>
      </c>
    </row>
    <row r="17" spans="7:7" ht="15" customHeight="1" x14ac:dyDescent="0.25">
      <c r="G17" s="5" t="s">
        <v>72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topLeftCell="A34" zoomScale="205" zoomScaleNormal="205" workbookViewId="0"/>
  </sheetViews>
  <sheetFormatPr baseColWidth="10" defaultColWidth="12.5703125" defaultRowHeight="15" customHeight="1" x14ac:dyDescent="0.2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000"/>
  <sheetViews>
    <sheetView workbookViewId="0"/>
  </sheetViews>
  <sheetFormatPr baseColWidth="10" defaultColWidth="12.5703125" defaultRowHeight="15" customHeight="1" x14ac:dyDescent="0.25"/>
  <cols>
    <col min="1" max="26" width="8.570312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000"/>
  <sheetViews>
    <sheetView workbookViewId="0"/>
  </sheetViews>
  <sheetFormatPr baseColWidth="10" defaultColWidth="12.5703125" defaultRowHeight="15" customHeight="1" x14ac:dyDescent="0.25"/>
  <cols>
    <col min="1" max="26" width="8.570312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1000"/>
  <sheetViews>
    <sheetView workbookViewId="0"/>
  </sheetViews>
  <sheetFormatPr baseColWidth="10" defaultColWidth="12.5703125" defaultRowHeight="15" customHeight="1" x14ac:dyDescent="0.25"/>
  <cols>
    <col min="1" max="26" width="8.570312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"/>
  <sheetViews>
    <sheetView workbookViewId="0"/>
  </sheetViews>
  <sheetFormatPr baseColWidth="10" defaultColWidth="12.5703125" defaultRowHeight="15" customHeight="1" x14ac:dyDescent="0.25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000"/>
  <sheetViews>
    <sheetView workbookViewId="0">
      <selection activeCell="R7" sqref="R7"/>
    </sheetView>
  </sheetViews>
  <sheetFormatPr baseColWidth="10" defaultColWidth="12.5703125" defaultRowHeight="15" customHeight="1" x14ac:dyDescent="0.25"/>
  <cols>
    <col min="1" max="1" width="15.140625" customWidth="1"/>
    <col min="2" max="2" width="11.85546875" bestFit="1" customWidth="1"/>
    <col min="3" max="3" width="22.42578125" bestFit="1" customWidth="1"/>
    <col min="4" max="4" width="14.28515625" bestFit="1" customWidth="1"/>
    <col min="5" max="5" width="12.42578125" bestFit="1" customWidth="1"/>
    <col min="6" max="6" width="15.140625" bestFit="1" customWidth="1"/>
    <col min="7" max="7" width="24.42578125" bestFit="1" customWidth="1"/>
    <col min="8" max="8" width="23.85546875" bestFit="1" customWidth="1"/>
    <col min="9" max="9" width="14.140625" bestFit="1" customWidth="1"/>
    <col min="10" max="10" width="9.28515625" bestFit="1" customWidth="1"/>
    <col min="11" max="11" width="28.140625" bestFit="1" customWidth="1"/>
    <col min="12" max="12" width="11.28515625" bestFit="1" customWidth="1"/>
    <col min="13" max="13" width="6.42578125" bestFit="1" customWidth="1"/>
    <col min="14" max="14" width="17.85546875" bestFit="1" customWidth="1"/>
    <col min="15" max="15" width="1.5703125" bestFit="1" customWidth="1"/>
    <col min="16" max="27" width="8.5703125" customWidth="1"/>
  </cols>
  <sheetData>
    <row r="1" spans="1:15" s="33" customFormat="1" ht="14.25" customHeight="1" x14ac:dyDescent="0.25">
      <c r="A1" s="33" t="s">
        <v>342</v>
      </c>
      <c r="B1" s="33" t="s">
        <v>493</v>
      </c>
      <c r="C1" s="33" t="s">
        <v>343</v>
      </c>
      <c r="D1" s="33" t="s">
        <v>344</v>
      </c>
      <c r="E1" s="33" t="s">
        <v>345</v>
      </c>
      <c r="F1" s="33" t="s">
        <v>346</v>
      </c>
      <c r="G1" s="33" t="s">
        <v>347</v>
      </c>
      <c r="H1" s="33" t="s">
        <v>348</v>
      </c>
      <c r="I1" s="33" t="s">
        <v>349</v>
      </c>
      <c r="J1" s="33" t="s">
        <v>350</v>
      </c>
      <c r="K1" s="33" t="s">
        <v>351</v>
      </c>
      <c r="L1" s="33" t="s">
        <v>352</v>
      </c>
      <c r="M1" s="33" t="s">
        <v>353</v>
      </c>
      <c r="N1" s="33" t="s">
        <v>354</v>
      </c>
    </row>
    <row r="2" spans="1:15" ht="14.25" customHeight="1" x14ac:dyDescent="0.25">
      <c r="A2" t="s">
        <v>355</v>
      </c>
      <c r="B2" s="47" t="s">
        <v>67</v>
      </c>
      <c r="C2" t="s">
        <v>356</v>
      </c>
      <c r="D2" t="s">
        <v>319</v>
      </c>
      <c r="E2" t="s">
        <v>357</v>
      </c>
      <c r="F2" t="s">
        <v>358</v>
      </c>
      <c r="G2" t="s">
        <v>359</v>
      </c>
      <c r="H2">
        <v>199</v>
      </c>
      <c r="I2">
        <v>141</v>
      </c>
      <c r="J2">
        <v>18</v>
      </c>
      <c r="K2">
        <v>2.5</v>
      </c>
      <c r="L2">
        <v>1.9</v>
      </c>
      <c r="M2">
        <v>18</v>
      </c>
      <c r="N2" t="s">
        <v>360</v>
      </c>
    </row>
    <row r="3" spans="1:15" ht="14.25" customHeight="1" x14ac:dyDescent="0.25">
      <c r="A3" t="s">
        <v>361</v>
      </c>
      <c r="B3" s="47" t="s">
        <v>67</v>
      </c>
      <c r="C3" t="s">
        <v>356</v>
      </c>
      <c r="D3" t="s">
        <v>319</v>
      </c>
      <c r="E3" t="s">
        <v>357</v>
      </c>
      <c r="F3" t="s">
        <v>358</v>
      </c>
      <c r="G3" t="s">
        <v>362</v>
      </c>
      <c r="H3">
        <v>43</v>
      </c>
      <c r="I3">
        <v>14</v>
      </c>
      <c r="J3">
        <v>14</v>
      </c>
      <c r="K3">
        <v>0.6</v>
      </c>
      <c r="L3">
        <v>0.4</v>
      </c>
      <c r="M3">
        <v>5</v>
      </c>
      <c r="N3" t="s">
        <v>363</v>
      </c>
    </row>
    <row r="4" spans="1:15" ht="14.25" customHeight="1" x14ac:dyDescent="0.25">
      <c r="A4" t="s">
        <v>364</v>
      </c>
      <c r="B4" s="47" t="s">
        <v>67</v>
      </c>
      <c r="C4" t="s">
        <v>356</v>
      </c>
      <c r="D4" t="s">
        <v>319</v>
      </c>
      <c r="E4" t="s">
        <v>357</v>
      </c>
      <c r="F4" t="s">
        <v>358</v>
      </c>
      <c r="G4" t="s">
        <v>365</v>
      </c>
      <c r="H4">
        <v>31</v>
      </c>
      <c r="I4">
        <v>6</v>
      </c>
      <c r="J4">
        <v>14</v>
      </c>
      <c r="K4">
        <v>1.5</v>
      </c>
      <c r="L4">
        <v>0.6</v>
      </c>
      <c r="M4">
        <v>6</v>
      </c>
      <c r="N4" t="s">
        <v>363</v>
      </c>
    </row>
    <row r="5" spans="1:15" ht="14.25" customHeight="1" x14ac:dyDescent="0.25">
      <c r="A5" t="s">
        <v>366</v>
      </c>
      <c r="B5" s="47" t="s">
        <v>67</v>
      </c>
      <c r="C5" t="s">
        <v>356</v>
      </c>
      <c r="D5" t="s">
        <v>319</v>
      </c>
      <c r="E5" t="s">
        <v>367</v>
      </c>
      <c r="F5" t="s">
        <v>358</v>
      </c>
      <c r="G5" t="s">
        <v>368</v>
      </c>
      <c r="H5">
        <v>80</v>
      </c>
      <c r="J5">
        <v>1</v>
      </c>
      <c r="M5" t="s">
        <v>27</v>
      </c>
      <c r="N5" t="s">
        <v>369</v>
      </c>
    </row>
    <row r="6" spans="1:15" ht="14.25" customHeight="1" x14ac:dyDescent="0.25">
      <c r="A6" t="s">
        <v>370</v>
      </c>
      <c r="B6" s="47" t="s">
        <v>67</v>
      </c>
      <c r="C6" t="s">
        <v>371</v>
      </c>
      <c r="D6" t="s">
        <v>372</v>
      </c>
      <c r="E6" t="s">
        <v>373</v>
      </c>
      <c r="F6" t="s">
        <v>374</v>
      </c>
      <c r="G6" t="s">
        <v>375</v>
      </c>
      <c r="H6">
        <v>53</v>
      </c>
      <c r="I6">
        <v>4</v>
      </c>
      <c r="J6">
        <v>6</v>
      </c>
      <c r="M6" t="s">
        <v>27</v>
      </c>
      <c r="N6" t="s">
        <v>376</v>
      </c>
    </row>
    <row r="7" spans="1:15" ht="14.25" customHeight="1" x14ac:dyDescent="0.25">
      <c r="A7" t="s">
        <v>377</v>
      </c>
      <c r="B7" s="47" t="s">
        <v>67</v>
      </c>
      <c r="C7" t="s">
        <v>378</v>
      </c>
      <c r="D7" t="s">
        <v>372</v>
      </c>
      <c r="E7" t="s">
        <v>373</v>
      </c>
      <c r="F7" t="s">
        <v>379</v>
      </c>
      <c r="G7" t="s">
        <v>380</v>
      </c>
      <c r="H7">
        <v>49</v>
      </c>
      <c r="I7">
        <v>7</v>
      </c>
      <c r="J7">
        <v>6</v>
      </c>
      <c r="M7" t="s">
        <v>27</v>
      </c>
      <c r="N7" t="s">
        <v>381</v>
      </c>
    </row>
    <row r="8" spans="1:15" ht="14.25" customHeight="1" x14ac:dyDescent="0.25">
      <c r="A8" t="s">
        <v>382</v>
      </c>
      <c r="B8" s="47" t="s">
        <v>67</v>
      </c>
      <c r="C8" t="s">
        <v>378</v>
      </c>
      <c r="D8" t="s">
        <v>383</v>
      </c>
      <c r="E8" t="s">
        <v>367</v>
      </c>
      <c r="F8" t="s">
        <v>384</v>
      </c>
      <c r="G8" t="s">
        <v>385</v>
      </c>
      <c r="H8">
        <v>81</v>
      </c>
      <c r="I8">
        <v>34</v>
      </c>
      <c r="J8">
        <v>6</v>
      </c>
      <c r="K8">
        <v>1.1000000000000001</v>
      </c>
      <c r="M8">
        <v>1</v>
      </c>
      <c r="N8" t="s">
        <v>386</v>
      </c>
    </row>
    <row r="9" spans="1:15" ht="14.25" customHeight="1" x14ac:dyDescent="0.25">
      <c r="A9" t="s">
        <v>387</v>
      </c>
      <c r="B9" s="47" t="s">
        <v>67</v>
      </c>
      <c r="C9" t="s">
        <v>388</v>
      </c>
      <c r="D9" t="s">
        <v>372</v>
      </c>
      <c r="E9" t="s">
        <v>357</v>
      </c>
      <c r="F9" t="s">
        <v>379</v>
      </c>
      <c r="G9" t="s">
        <v>389</v>
      </c>
      <c r="N9" t="s">
        <v>27</v>
      </c>
      <c r="O9" t="s">
        <v>27</v>
      </c>
    </row>
    <row r="10" spans="1:15" ht="14.25" customHeight="1" x14ac:dyDescent="0.25">
      <c r="A10" t="s">
        <v>390</v>
      </c>
      <c r="B10" s="47" t="s">
        <v>67</v>
      </c>
      <c r="C10" t="s">
        <v>391</v>
      </c>
      <c r="D10" t="s">
        <v>383</v>
      </c>
      <c r="E10" t="s">
        <v>373</v>
      </c>
      <c r="F10" t="s">
        <v>379</v>
      </c>
      <c r="G10" t="s">
        <v>392</v>
      </c>
      <c r="H10">
        <v>64</v>
      </c>
      <c r="I10">
        <v>25</v>
      </c>
      <c r="J10">
        <v>6</v>
      </c>
      <c r="K10">
        <v>0.5</v>
      </c>
      <c r="L10">
        <v>0.2</v>
      </c>
      <c r="M10">
        <v>6</v>
      </c>
      <c r="N10" t="s">
        <v>393</v>
      </c>
    </row>
    <row r="11" spans="1:15" ht="14.25" customHeight="1" x14ac:dyDescent="0.25">
      <c r="A11" t="s">
        <v>394</v>
      </c>
      <c r="B11" s="47" t="s">
        <v>67</v>
      </c>
      <c r="C11" t="s">
        <v>395</v>
      </c>
      <c r="D11" t="s">
        <v>396</v>
      </c>
      <c r="E11" t="s">
        <v>367</v>
      </c>
      <c r="F11" t="s">
        <v>397</v>
      </c>
      <c r="G11" t="s">
        <v>398</v>
      </c>
      <c r="H11">
        <v>107</v>
      </c>
      <c r="I11">
        <v>23</v>
      </c>
      <c r="J11">
        <v>17</v>
      </c>
      <c r="K11">
        <v>2.8</v>
      </c>
      <c r="L11">
        <v>0.6</v>
      </c>
      <c r="M11">
        <v>17</v>
      </c>
      <c r="N11" t="s">
        <v>399</v>
      </c>
    </row>
    <row r="12" spans="1:15" ht="14.25" customHeight="1" x14ac:dyDescent="0.25">
      <c r="A12" t="s">
        <v>400</v>
      </c>
      <c r="B12" s="47" t="s">
        <v>67</v>
      </c>
      <c r="C12" t="s">
        <v>371</v>
      </c>
      <c r="D12" t="s">
        <v>372</v>
      </c>
      <c r="E12" t="s">
        <v>357</v>
      </c>
      <c r="F12" t="s">
        <v>379</v>
      </c>
      <c r="G12" t="s">
        <v>401</v>
      </c>
      <c r="H12">
        <v>124</v>
      </c>
      <c r="I12">
        <v>13</v>
      </c>
      <c r="J12" t="s">
        <v>27</v>
      </c>
      <c r="M12" t="s">
        <v>27</v>
      </c>
      <c r="N12" t="s">
        <v>402</v>
      </c>
    </row>
    <row r="13" spans="1:15" ht="14.25" customHeight="1" x14ac:dyDescent="0.25">
      <c r="A13" t="s">
        <v>403</v>
      </c>
      <c r="B13" s="47" t="s">
        <v>67</v>
      </c>
      <c r="C13" t="s">
        <v>395</v>
      </c>
      <c r="D13" t="s">
        <v>404</v>
      </c>
      <c r="E13" t="s">
        <v>367</v>
      </c>
      <c r="F13" t="s">
        <v>379</v>
      </c>
      <c r="G13" t="s">
        <v>405</v>
      </c>
      <c r="N13" t="s">
        <v>27</v>
      </c>
      <c r="O13" t="s">
        <v>27</v>
      </c>
    </row>
    <row r="14" spans="1:15" ht="14.25" customHeight="1" x14ac:dyDescent="0.25">
      <c r="A14" t="s">
        <v>406</v>
      </c>
      <c r="B14" s="47" t="s">
        <v>67</v>
      </c>
      <c r="C14" t="s">
        <v>378</v>
      </c>
      <c r="D14" t="s">
        <v>407</v>
      </c>
      <c r="E14" t="s">
        <v>357</v>
      </c>
      <c r="F14" t="s">
        <v>379</v>
      </c>
      <c r="G14" t="s">
        <v>408</v>
      </c>
      <c r="H14">
        <v>60</v>
      </c>
      <c r="I14">
        <v>5</v>
      </c>
      <c r="J14">
        <v>5</v>
      </c>
      <c r="M14" t="s">
        <v>27</v>
      </c>
      <c r="N14" t="s">
        <v>409</v>
      </c>
    </row>
    <row r="15" spans="1:15" ht="14.25" customHeight="1" x14ac:dyDescent="0.25">
      <c r="A15" t="s">
        <v>410</v>
      </c>
      <c r="B15" s="47" t="s">
        <v>67</v>
      </c>
      <c r="C15" t="s">
        <v>411</v>
      </c>
      <c r="D15" t="s">
        <v>407</v>
      </c>
      <c r="E15" t="s">
        <v>373</v>
      </c>
      <c r="F15" t="s">
        <v>379</v>
      </c>
      <c r="G15" t="s">
        <v>412</v>
      </c>
      <c r="H15">
        <v>120</v>
      </c>
      <c r="I15">
        <v>35</v>
      </c>
      <c r="J15">
        <v>7</v>
      </c>
      <c r="M15" t="s">
        <v>27</v>
      </c>
      <c r="N15" t="s">
        <v>393</v>
      </c>
    </row>
    <row r="16" spans="1:15" ht="14.25" customHeight="1" x14ac:dyDescent="0.25">
      <c r="A16" t="s">
        <v>413</v>
      </c>
      <c r="B16" s="47" t="s">
        <v>67</v>
      </c>
      <c r="C16" t="s">
        <v>411</v>
      </c>
      <c r="D16" t="s">
        <v>414</v>
      </c>
      <c r="E16" t="s">
        <v>367</v>
      </c>
      <c r="F16" t="s">
        <v>379</v>
      </c>
      <c r="G16" t="s">
        <v>415</v>
      </c>
      <c r="H16">
        <v>55</v>
      </c>
      <c r="I16">
        <v>7</v>
      </c>
      <c r="J16">
        <v>7</v>
      </c>
      <c r="M16" t="s">
        <v>27</v>
      </c>
      <c r="N16" t="s">
        <v>393</v>
      </c>
    </row>
    <row r="17" spans="1:14" ht="14.25" customHeight="1" x14ac:dyDescent="0.25">
      <c r="A17" t="s">
        <v>416</v>
      </c>
      <c r="B17" s="47" t="s">
        <v>67</v>
      </c>
      <c r="C17" t="s">
        <v>411</v>
      </c>
      <c r="D17" t="s">
        <v>417</v>
      </c>
      <c r="E17" t="s">
        <v>367</v>
      </c>
      <c r="F17" t="s">
        <v>379</v>
      </c>
      <c r="G17" t="s">
        <v>418</v>
      </c>
      <c r="H17">
        <v>62</v>
      </c>
      <c r="I17">
        <v>12</v>
      </c>
      <c r="J17">
        <v>7</v>
      </c>
      <c r="M17" t="s">
        <v>27</v>
      </c>
      <c r="N17" t="s">
        <v>393</v>
      </c>
    </row>
    <row r="18" spans="1:14" ht="14.25" customHeight="1" x14ac:dyDescent="0.25">
      <c r="A18" t="s">
        <v>419</v>
      </c>
      <c r="B18" s="47" t="s">
        <v>494</v>
      </c>
      <c r="C18" t="s">
        <v>420</v>
      </c>
      <c r="D18" t="s">
        <v>320</v>
      </c>
      <c r="E18" t="s">
        <v>373</v>
      </c>
      <c r="F18" t="s">
        <v>421</v>
      </c>
      <c r="G18" t="s">
        <v>422</v>
      </c>
      <c r="H18">
        <v>15</v>
      </c>
      <c r="I18">
        <v>3</v>
      </c>
      <c r="J18">
        <v>10</v>
      </c>
      <c r="M18" t="s">
        <v>27</v>
      </c>
      <c r="N18" t="s">
        <v>423</v>
      </c>
    </row>
    <row r="19" spans="1:14" ht="14.25" customHeight="1" x14ac:dyDescent="0.25">
      <c r="A19" t="s">
        <v>424</v>
      </c>
      <c r="B19" s="47" t="s">
        <v>494</v>
      </c>
      <c r="C19" t="s">
        <v>420</v>
      </c>
      <c r="D19" t="s">
        <v>320</v>
      </c>
      <c r="E19" t="s">
        <v>357</v>
      </c>
      <c r="F19" t="s">
        <v>358</v>
      </c>
      <c r="G19" t="s">
        <v>425</v>
      </c>
      <c r="H19">
        <v>28</v>
      </c>
      <c r="I19">
        <v>7</v>
      </c>
      <c r="J19">
        <v>11</v>
      </c>
      <c r="K19">
        <v>0.4</v>
      </c>
      <c r="L19">
        <v>0.2</v>
      </c>
      <c r="M19">
        <v>4</v>
      </c>
      <c r="N19" t="s">
        <v>423</v>
      </c>
    </row>
    <row r="20" spans="1:14" ht="14.25" customHeight="1" x14ac:dyDescent="0.25">
      <c r="A20" t="s">
        <v>426</v>
      </c>
      <c r="B20" s="47" t="s">
        <v>494</v>
      </c>
      <c r="C20" t="s">
        <v>420</v>
      </c>
      <c r="D20" t="s">
        <v>320</v>
      </c>
      <c r="E20" t="s">
        <v>373</v>
      </c>
      <c r="F20" t="s">
        <v>427</v>
      </c>
      <c r="G20" t="s">
        <v>428</v>
      </c>
      <c r="H20">
        <v>12</v>
      </c>
      <c r="I20">
        <v>2</v>
      </c>
      <c r="J20">
        <v>11</v>
      </c>
      <c r="K20">
        <v>0.7</v>
      </c>
      <c r="L20">
        <v>0.8</v>
      </c>
      <c r="M20">
        <v>4</v>
      </c>
      <c r="N20" t="s">
        <v>423</v>
      </c>
    </row>
    <row r="21" spans="1:14" ht="14.25" customHeight="1" x14ac:dyDescent="0.25">
      <c r="A21" t="s">
        <v>429</v>
      </c>
      <c r="B21" s="47" t="s">
        <v>494</v>
      </c>
      <c r="C21" t="s">
        <v>430</v>
      </c>
      <c r="D21" t="s">
        <v>320</v>
      </c>
      <c r="E21" t="s">
        <v>373</v>
      </c>
      <c r="F21" t="s">
        <v>358</v>
      </c>
      <c r="G21" t="s">
        <v>431</v>
      </c>
      <c r="H21">
        <v>31</v>
      </c>
      <c r="I21">
        <v>7</v>
      </c>
      <c r="J21">
        <v>7</v>
      </c>
      <c r="K21">
        <v>0.3</v>
      </c>
      <c r="L21">
        <v>0.1</v>
      </c>
      <c r="M21">
        <v>5</v>
      </c>
      <c r="N21" t="s">
        <v>432</v>
      </c>
    </row>
    <row r="22" spans="1:14" ht="14.25" customHeight="1" x14ac:dyDescent="0.25">
      <c r="A22" t="s">
        <v>433</v>
      </c>
      <c r="B22" s="47" t="s">
        <v>494</v>
      </c>
      <c r="C22" t="s">
        <v>430</v>
      </c>
      <c r="D22" t="s">
        <v>320</v>
      </c>
      <c r="E22" t="s">
        <v>357</v>
      </c>
      <c r="F22" t="s">
        <v>358</v>
      </c>
      <c r="G22" t="s">
        <v>434</v>
      </c>
      <c r="H22">
        <v>34</v>
      </c>
      <c r="I22">
        <v>2</v>
      </c>
      <c r="J22">
        <v>5</v>
      </c>
      <c r="K22">
        <v>0.5</v>
      </c>
      <c r="L22">
        <v>0.2</v>
      </c>
      <c r="M22">
        <v>4</v>
      </c>
      <c r="N22" t="s">
        <v>432</v>
      </c>
    </row>
    <row r="23" spans="1:14" ht="14.25" customHeight="1" x14ac:dyDescent="0.25">
      <c r="A23" t="s">
        <v>435</v>
      </c>
      <c r="B23" s="47" t="s">
        <v>494</v>
      </c>
      <c r="C23" t="s">
        <v>395</v>
      </c>
      <c r="D23" t="s">
        <v>320</v>
      </c>
      <c r="E23" t="s">
        <v>373</v>
      </c>
      <c r="F23" t="s">
        <v>358</v>
      </c>
      <c r="G23" t="s">
        <v>436</v>
      </c>
      <c r="H23">
        <v>31</v>
      </c>
      <c r="I23">
        <v>13</v>
      </c>
      <c r="J23">
        <v>12</v>
      </c>
      <c r="K23">
        <v>0.7</v>
      </c>
      <c r="L23">
        <v>0.3</v>
      </c>
      <c r="M23">
        <v>12</v>
      </c>
      <c r="N23" t="s">
        <v>437</v>
      </c>
    </row>
    <row r="24" spans="1:14" ht="14.25" customHeight="1" x14ac:dyDescent="0.25">
      <c r="A24" t="s">
        <v>438</v>
      </c>
      <c r="B24" s="47" t="s">
        <v>494</v>
      </c>
      <c r="C24" t="s">
        <v>439</v>
      </c>
      <c r="D24" t="s">
        <v>320</v>
      </c>
      <c r="E24" t="s">
        <v>373</v>
      </c>
      <c r="F24" t="s">
        <v>358</v>
      </c>
      <c r="G24" t="s">
        <v>440</v>
      </c>
      <c r="H24">
        <v>13</v>
      </c>
      <c r="I24">
        <v>1</v>
      </c>
      <c r="J24">
        <v>3</v>
      </c>
      <c r="K24">
        <v>1.5</v>
      </c>
      <c r="M24">
        <v>1</v>
      </c>
      <c r="N24" t="s">
        <v>441</v>
      </c>
    </row>
    <row r="25" spans="1:14" ht="14.25" customHeight="1" x14ac:dyDescent="0.25">
      <c r="A25" t="s">
        <v>442</v>
      </c>
      <c r="B25" s="47" t="s">
        <v>494</v>
      </c>
      <c r="C25" t="s">
        <v>443</v>
      </c>
      <c r="D25" t="s">
        <v>444</v>
      </c>
      <c r="E25" t="s">
        <v>373</v>
      </c>
      <c r="F25" t="s">
        <v>358</v>
      </c>
      <c r="G25" t="s">
        <v>445</v>
      </c>
      <c r="H25">
        <v>20</v>
      </c>
      <c r="I25">
        <v>1</v>
      </c>
      <c r="J25">
        <v>10</v>
      </c>
      <c r="K25">
        <v>1.4</v>
      </c>
      <c r="L25">
        <v>1.1000000000000001</v>
      </c>
      <c r="M25">
        <v>10</v>
      </c>
      <c r="N25" t="s">
        <v>423</v>
      </c>
    </row>
    <row r="26" spans="1:14" ht="14.25" customHeight="1" x14ac:dyDescent="0.25">
      <c r="A26" t="s">
        <v>446</v>
      </c>
      <c r="B26" s="47" t="s">
        <v>494</v>
      </c>
      <c r="C26" t="s">
        <v>430</v>
      </c>
      <c r="D26" t="s">
        <v>444</v>
      </c>
      <c r="E26" t="s">
        <v>373</v>
      </c>
      <c r="F26" t="s">
        <v>358</v>
      </c>
      <c r="G26" t="s">
        <v>447</v>
      </c>
      <c r="H26">
        <v>27</v>
      </c>
      <c r="I26">
        <v>10</v>
      </c>
      <c r="J26">
        <v>8</v>
      </c>
      <c r="K26">
        <v>0.4</v>
      </c>
      <c r="L26">
        <v>0.1</v>
      </c>
      <c r="M26">
        <v>8</v>
      </c>
      <c r="N26" t="s">
        <v>432</v>
      </c>
    </row>
    <row r="27" spans="1:14" ht="14.25" customHeight="1" x14ac:dyDescent="0.25">
      <c r="A27" t="s">
        <v>448</v>
      </c>
      <c r="B27" s="47" t="s">
        <v>494</v>
      </c>
      <c r="C27" t="s">
        <v>439</v>
      </c>
      <c r="D27" t="s">
        <v>444</v>
      </c>
      <c r="E27" t="s">
        <v>373</v>
      </c>
      <c r="F27" t="s">
        <v>421</v>
      </c>
      <c r="G27" t="s">
        <v>449</v>
      </c>
      <c r="H27">
        <v>46</v>
      </c>
      <c r="I27">
        <v>1</v>
      </c>
      <c r="J27">
        <v>3</v>
      </c>
      <c r="K27">
        <v>1.2</v>
      </c>
      <c r="L27">
        <v>0.2</v>
      </c>
      <c r="M27">
        <v>2</v>
      </c>
      <c r="N27" t="s">
        <v>450</v>
      </c>
    </row>
    <row r="28" spans="1:14" ht="14.25" customHeight="1" x14ac:dyDescent="0.25">
      <c r="A28" t="s">
        <v>451</v>
      </c>
      <c r="B28" s="47" t="s">
        <v>494</v>
      </c>
      <c r="C28" t="s">
        <v>420</v>
      </c>
      <c r="D28" t="s">
        <v>444</v>
      </c>
      <c r="E28" t="s">
        <v>373</v>
      </c>
      <c r="F28" t="s">
        <v>421</v>
      </c>
      <c r="G28" t="s">
        <v>452</v>
      </c>
      <c r="H28">
        <v>20</v>
      </c>
      <c r="I28">
        <v>8</v>
      </c>
      <c r="J28">
        <v>11</v>
      </c>
      <c r="K28">
        <v>0.9</v>
      </c>
      <c r="L28">
        <v>0.6</v>
      </c>
      <c r="M28">
        <v>7</v>
      </c>
      <c r="N28" t="s">
        <v>423</v>
      </c>
    </row>
    <row r="29" spans="1:14" ht="14.25" customHeight="1" x14ac:dyDescent="0.25">
      <c r="A29" t="s">
        <v>453</v>
      </c>
      <c r="B29" s="47" t="s">
        <v>494</v>
      </c>
      <c r="C29" t="s">
        <v>439</v>
      </c>
      <c r="D29" t="s">
        <v>454</v>
      </c>
      <c r="E29" t="s">
        <v>357</v>
      </c>
      <c r="F29" t="s">
        <v>379</v>
      </c>
      <c r="G29" t="s">
        <v>455</v>
      </c>
      <c r="H29">
        <v>25</v>
      </c>
      <c r="I29">
        <v>3</v>
      </c>
      <c r="J29">
        <v>12</v>
      </c>
      <c r="K29">
        <v>1.9</v>
      </c>
      <c r="L29">
        <v>2.2000000000000002</v>
      </c>
      <c r="M29">
        <v>9</v>
      </c>
      <c r="N29" t="s">
        <v>456</v>
      </c>
    </row>
    <row r="30" spans="1:14" ht="14.25" customHeight="1" x14ac:dyDescent="0.25">
      <c r="A30" t="s">
        <v>457</v>
      </c>
      <c r="B30" s="47" t="s">
        <v>494</v>
      </c>
      <c r="C30" t="s">
        <v>439</v>
      </c>
      <c r="D30" t="s">
        <v>458</v>
      </c>
      <c r="E30" t="s">
        <v>357</v>
      </c>
      <c r="F30" t="s">
        <v>459</v>
      </c>
      <c r="G30" t="s">
        <v>460</v>
      </c>
      <c r="H30">
        <v>34</v>
      </c>
      <c r="I30">
        <v>6</v>
      </c>
      <c r="J30">
        <v>12</v>
      </c>
      <c r="K30">
        <v>0.8</v>
      </c>
      <c r="L30">
        <v>0.3</v>
      </c>
      <c r="M30">
        <v>9</v>
      </c>
      <c r="N30" t="s">
        <v>461</v>
      </c>
    </row>
    <row r="31" spans="1:14" ht="14.25" customHeight="1" x14ac:dyDescent="0.25">
      <c r="A31" t="s">
        <v>462</v>
      </c>
      <c r="B31" s="47" t="s">
        <v>494</v>
      </c>
      <c r="C31" t="s">
        <v>439</v>
      </c>
      <c r="D31" t="s">
        <v>458</v>
      </c>
      <c r="E31" t="s">
        <v>367</v>
      </c>
      <c r="F31" t="s">
        <v>384</v>
      </c>
      <c r="G31" t="s">
        <v>463</v>
      </c>
      <c r="H31">
        <v>39</v>
      </c>
      <c r="I31">
        <v>4</v>
      </c>
      <c r="J31">
        <v>12</v>
      </c>
      <c r="M31" t="s">
        <v>27</v>
      </c>
      <c r="N31" t="s">
        <v>461</v>
      </c>
    </row>
    <row r="32" spans="1:14" ht="14.25" customHeight="1" x14ac:dyDescent="0.25">
      <c r="A32" t="s">
        <v>464</v>
      </c>
      <c r="B32" s="47" t="s">
        <v>495</v>
      </c>
      <c r="C32" t="s">
        <v>411</v>
      </c>
      <c r="D32" t="s">
        <v>372</v>
      </c>
      <c r="E32" t="s">
        <v>373</v>
      </c>
      <c r="F32" t="s">
        <v>427</v>
      </c>
      <c r="G32" t="s">
        <v>465</v>
      </c>
      <c r="H32">
        <v>100</v>
      </c>
      <c r="I32">
        <v>40</v>
      </c>
      <c r="J32">
        <v>7</v>
      </c>
      <c r="K32">
        <v>2.2999999999999998</v>
      </c>
      <c r="L32">
        <v>0.8</v>
      </c>
      <c r="M32">
        <v>4</v>
      </c>
      <c r="N32" t="s">
        <v>466</v>
      </c>
    </row>
    <row r="33" spans="1:14" ht="14.25" customHeight="1" x14ac:dyDescent="0.25">
      <c r="A33" t="s">
        <v>467</v>
      </c>
      <c r="B33" s="47" t="s">
        <v>496</v>
      </c>
      <c r="C33" t="s">
        <v>468</v>
      </c>
      <c r="D33" t="s">
        <v>469</v>
      </c>
      <c r="E33" t="s">
        <v>367</v>
      </c>
      <c r="F33" t="s">
        <v>379</v>
      </c>
      <c r="G33" t="s">
        <v>470</v>
      </c>
      <c r="H33">
        <v>53</v>
      </c>
      <c r="I33">
        <v>3</v>
      </c>
      <c r="J33">
        <v>2</v>
      </c>
      <c r="M33" t="s">
        <v>27</v>
      </c>
      <c r="N33" t="s">
        <v>471</v>
      </c>
    </row>
    <row r="34" spans="1:14" ht="14.25" customHeight="1" x14ac:dyDescent="0.25">
      <c r="A34" t="s">
        <v>472</v>
      </c>
      <c r="B34" s="47" t="s">
        <v>496</v>
      </c>
      <c r="C34" t="s">
        <v>468</v>
      </c>
      <c r="D34" t="s">
        <v>469</v>
      </c>
      <c r="E34" t="s">
        <v>367</v>
      </c>
      <c r="F34" t="s">
        <v>379</v>
      </c>
      <c r="G34" t="s">
        <v>473</v>
      </c>
      <c r="H34">
        <v>29</v>
      </c>
      <c r="I34">
        <v>4</v>
      </c>
      <c r="J34">
        <v>2</v>
      </c>
      <c r="M34" t="s">
        <v>27</v>
      </c>
      <c r="N34" t="s">
        <v>471</v>
      </c>
    </row>
    <row r="35" spans="1:14" ht="14.25" customHeight="1" x14ac:dyDescent="0.25">
      <c r="A35" t="s">
        <v>474</v>
      </c>
      <c r="B35" s="47" t="s">
        <v>496</v>
      </c>
      <c r="C35" t="s">
        <v>475</v>
      </c>
      <c r="D35" t="s">
        <v>476</v>
      </c>
      <c r="E35" t="s">
        <v>373</v>
      </c>
      <c r="F35" t="s">
        <v>358</v>
      </c>
      <c r="G35" t="s">
        <v>477</v>
      </c>
      <c r="J35">
        <v>1</v>
      </c>
      <c r="M35" t="s">
        <v>27</v>
      </c>
      <c r="N35" t="s">
        <v>27</v>
      </c>
    </row>
    <row r="36" spans="1:14" ht="14.25" customHeight="1" x14ac:dyDescent="0.25">
      <c r="A36" t="s">
        <v>478</v>
      </c>
      <c r="B36" s="47" t="s">
        <v>499</v>
      </c>
      <c r="C36" t="s">
        <v>479</v>
      </c>
      <c r="D36" t="s">
        <v>480</v>
      </c>
      <c r="E36" t="s">
        <v>367</v>
      </c>
      <c r="F36" t="s">
        <v>379</v>
      </c>
      <c r="G36" t="s">
        <v>481</v>
      </c>
      <c r="H36">
        <v>71</v>
      </c>
      <c r="I36">
        <v>6</v>
      </c>
      <c r="J36">
        <v>7</v>
      </c>
      <c r="K36">
        <v>0.6</v>
      </c>
      <c r="L36">
        <v>0.1</v>
      </c>
      <c r="M36">
        <v>6</v>
      </c>
      <c r="N36" t="s">
        <v>432</v>
      </c>
    </row>
    <row r="37" spans="1:14" ht="14.25" customHeight="1" x14ac:dyDescent="0.25">
      <c r="A37" t="s">
        <v>482</v>
      </c>
      <c r="B37" s="47" t="s">
        <v>500</v>
      </c>
      <c r="C37" t="s">
        <v>479</v>
      </c>
      <c r="D37" t="s">
        <v>483</v>
      </c>
      <c r="E37" t="s">
        <v>373</v>
      </c>
      <c r="F37" t="s">
        <v>379</v>
      </c>
      <c r="G37" t="s">
        <v>484</v>
      </c>
      <c r="H37">
        <v>44</v>
      </c>
      <c r="I37">
        <v>12</v>
      </c>
      <c r="J37">
        <v>7</v>
      </c>
      <c r="K37">
        <v>0.5</v>
      </c>
      <c r="L37">
        <v>0.1</v>
      </c>
      <c r="M37">
        <v>5</v>
      </c>
      <c r="N37" t="s">
        <v>432</v>
      </c>
    </row>
    <row r="38" spans="1:14" ht="14.25" customHeight="1" x14ac:dyDescent="0.25">
      <c r="A38" t="s">
        <v>485</v>
      </c>
      <c r="B38" s="47" t="s">
        <v>498</v>
      </c>
      <c r="C38" t="s">
        <v>479</v>
      </c>
      <c r="D38" t="s">
        <v>486</v>
      </c>
      <c r="E38" t="s">
        <v>367</v>
      </c>
      <c r="F38" t="s">
        <v>379</v>
      </c>
      <c r="G38" t="s">
        <v>487</v>
      </c>
      <c r="H38">
        <v>75</v>
      </c>
      <c r="I38">
        <v>7</v>
      </c>
      <c r="J38">
        <v>6</v>
      </c>
      <c r="K38">
        <v>1</v>
      </c>
      <c r="L38">
        <v>1</v>
      </c>
      <c r="M38">
        <v>6</v>
      </c>
      <c r="N38" t="s">
        <v>432</v>
      </c>
    </row>
    <row r="39" spans="1:14" ht="14.25" customHeight="1" x14ac:dyDescent="0.25">
      <c r="A39" t="s">
        <v>488</v>
      </c>
      <c r="B39" s="47" t="s">
        <v>497</v>
      </c>
      <c r="C39" t="s">
        <v>489</v>
      </c>
      <c r="D39" t="s">
        <v>372</v>
      </c>
      <c r="E39" t="s">
        <v>373</v>
      </c>
      <c r="F39" t="s">
        <v>490</v>
      </c>
      <c r="G39" t="s">
        <v>491</v>
      </c>
      <c r="H39">
        <v>112</v>
      </c>
      <c r="I39">
        <v>7</v>
      </c>
      <c r="J39">
        <v>5</v>
      </c>
      <c r="M39" t="s">
        <v>27</v>
      </c>
      <c r="N39" t="s">
        <v>492</v>
      </c>
    </row>
    <row r="40" spans="1:14" ht="14.25" customHeight="1" x14ac:dyDescent="0.25"/>
    <row r="41" spans="1:14" ht="14.25" customHeight="1" x14ac:dyDescent="0.25"/>
    <row r="42" spans="1:14" ht="14.25" customHeight="1" x14ac:dyDescent="0.25"/>
    <row r="43" spans="1:14" ht="14.25" customHeight="1" x14ac:dyDescent="0.25"/>
    <row r="44" spans="1:14" ht="14.25" customHeight="1" x14ac:dyDescent="0.25"/>
    <row r="45" spans="1:14" ht="14.25" customHeight="1" x14ac:dyDescent="0.25"/>
    <row r="46" spans="1:14" ht="14.25" customHeight="1" x14ac:dyDescent="0.25"/>
    <row r="47" spans="1:14" ht="14.25" customHeight="1" x14ac:dyDescent="0.25"/>
    <row r="48" spans="1:14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O1" xr:uid="{00000000-0001-0000-0F00-000000000000}"/>
  <pageMargins left="0.7" right="0.7" top="0.75" bottom="0.75" header="0" footer="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1000"/>
  <sheetViews>
    <sheetView workbookViewId="0"/>
  </sheetViews>
  <sheetFormatPr baseColWidth="10" defaultColWidth="12.5703125" defaultRowHeight="15" customHeight="1" x14ac:dyDescent="0.25"/>
  <cols>
    <col min="1" max="26" width="8.570312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25</vt:i4>
      </vt:variant>
    </vt:vector>
  </HeadingPairs>
  <TitlesOfParts>
    <vt:vector size="25" baseType="lpstr">
      <vt:lpstr>README</vt:lpstr>
      <vt:lpstr>Arch_refinery</vt:lpstr>
      <vt:lpstr>PARAM_VALUE</vt:lpstr>
      <vt:lpstr>Flowsheet_Au</vt:lpstr>
      <vt:lpstr>Flowsheet_Fe</vt:lpstr>
      <vt:lpstr>Flowsheet_U</vt:lpstr>
      <vt:lpstr>Flowsheet_Cu</vt:lpstr>
      <vt:lpstr>Flowsheet_Ni</vt:lpstr>
      <vt:lpstr>Flowsheet_sulfide</vt:lpstr>
      <vt:lpstr>NorgateHaque2010</vt:lpstr>
      <vt:lpstr>NorgateJahanshahi2010</vt:lpstr>
      <vt:lpstr>Argon</vt:lpstr>
      <vt:lpstr>Parker2016_U</vt:lpstr>
      <vt:lpstr>Roy2025_Ni</vt:lpstr>
      <vt:lpstr>Islam2025</vt:lpstr>
      <vt:lpstr>Bradley2025</vt:lpstr>
      <vt:lpstr>Roy2025</vt:lpstr>
      <vt:lpstr>Lu2023</vt:lpstr>
      <vt:lpstr>Meissner2021</vt:lpstr>
      <vt:lpstr>Calvo2022</vt:lpstr>
      <vt:lpstr>Vandervoet2019</vt:lpstr>
      <vt:lpstr>Kuipers2018</vt:lpstr>
      <vt:lpstr>Parker2016</vt:lpstr>
      <vt:lpstr>Calvo2016</vt:lpstr>
      <vt:lpstr>Koppelaar2016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2024-10-31T14:53:48Z</dcterms:created>
  <dcterms:modified xsi:type="dcterms:W3CDTF">2025-12-16T08:26:06Z</dcterms:modified>
</cp:coreProperties>
</file>