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queryTables/queryTable1.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drawings/drawing1.xml" ContentType="application/vnd.openxmlformats-officedocument.drawing+xml"/>
  <Override PartName="/xl/tables/table1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xml" ContentType="application/vnd.openxmlformats-officedocument.drawing+xml"/>
  <Override PartName="/xl/tables/table16.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margueritefauroux/Desktop/PDM/"/>
    </mc:Choice>
  </mc:AlternateContent>
  <xr:revisionPtr revIDLastSave="0" documentId="8_{E132D9D7-17D2-FA49-9E7B-9555383E6E86}" xr6:coauthVersionLast="47" xr6:coauthVersionMax="47" xr10:uidLastSave="{00000000-0000-0000-0000-000000000000}"/>
  <bookViews>
    <workbookView xWindow="0" yWindow="500" windowWidth="27780" windowHeight="17500" firstSheet="5" activeTab="19" xr2:uid="{00000000-000D-0000-FFFF-FFFF00000000}"/>
  </bookViews>
  <sheets>
    <sheet name="lit_rev_dem" sheetId="52" r:id="rId1"/>
    <sheet name="lit_rev_pLCA" sheetId="50" r:id="rId2"/>
    <sheet name="proj_dem" sheetId="7" r:id="rId3"/>
    <sheet name="metals_ei" sheetId="9" r:id="rId4"/>
    <sheet name="matrix_alu" sheetId="19" r:id="rId5"/>
    <sheet name="matrix_cop" sheetId="21" r:id="rId6"/>
    <sheet name="regions" sheetId="24" r:id="rId7"/>
    <sheet name="calculs_scenarios" sheetId="38" r:id="rId8"/>
    <sheet name="cu_dem" sheetId="45" r:id="rId9"/>
    <sheet name="data_cu" sheetId="44" r:id="rId10"/>
    <sheet name="cu_prod" sheetId="48" r:id="rId11"/>
    <sheet name="ni_dem" sheetId="47" r:id="rId12"/>
    <sheet name="data_ni" sheetId="46" r:id="rId13"/>
    <sheet name="ni_prod" sheetId="49" r:id="rId14"/>
    <sheet name="data_alu_IAI" sheetId="35" r:id="rId15"/>
    <sheet name="data_alu_remind" sheetId="67" r:id="rId16"/>
    <sheet name="alu_prod" sheetId="53" r:id="rId17"/>
    <sheet name="lcia_cum_NZE_ei39" sheetId="29" r:id="rId18"/>
    <sheet name="matrix_nickel" sheetId="22" r:id="rId19"/>
    <sheet name="calculs_cop_grade" sheetId="4" r:id="rId20"/>
  </sheets>
  <definedNames>
    <definedName name="_xlnm._FilterDatabase" localSheetId="16" hidden="1">alu_prod!$A$1:$C$42</definedName>
    <definedName name="_xlnm._FilterDatabase" localSheetId="10" hidden="1">'cu_prod'!$A$1:$I$67</definedName>
    <definedName name="_xlnm._FilterDatabase" localSheetId="14" hidden="1">data_alu_IAI!$A$1:$M$316</definedName>
    <definedName name="_xlnm._FilterDatabase" localSheetId="12" hidden="1">data_ni!$A$1:$L$623</definedName>
    <definedName name="_xlnm._FilterDatabase" localSheetId="4" hidden="1">matrix_alu!$A$1:$A$51</definedName>
    <definedName name="_xlnm._FilterDatabase" localSheetId="6" hidden="1">'regions'!$A$1:$B$95</definedName>
    <definedName name="all_data" localSheetId="14">data_alu_IAI!$A$1:$U$316</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36" roundtripDataChecksum="nS/DNHY48jJ7vwxc7MjBevWwMd+oeQwAOA46lnamXfU="/>
    </ext>
  </extLst>
</workbook>
</file>

<file path=xl/calcChain.xml><?xml version="1.0" encoding="utf-8"?>
<calcChain xmlns="http://schemas.openxmlformats.org/spreadsheetml/2006/main">
  <c r="F165" i="7" l="1"/>
  <c r="G165" i="7"/>
  <c r="I165" i="7"/>
  <c r="J165" i="7"/>
  <c r="K165" i="7"/>
  <c r="L165" i="7"/>
  <c r="N165" i="7"/>
  <c r="O165" i="7"/>
  <c r="P165" i="7"/>
  <c r="Q165" i="7"/>
  <c r="S165" i="7"/>
  <c r="T165" i="7"/>
  <c r="U165" i="7"/>
  <c r="V165" i="7"/>
  <c r="X165" i="7"/>
  <c r="Y165" i="7"/>
  <c r="Z165" i="7"/>
  <c r="AA165" i="7"/>
  <c r="AC165" i="7"/>
  <c r="AD165" i="7"/>
  <c r="AE165" i="7"/>
  <c r="AF165" i="7"/>
  <c r="G2" i="7" l="1"/>
  <c r="J52" i="48" l="1"/>
  <c r="J2" i="48"/>
  <c r="J6" i="48"/>
  <c r="J8" i="48"/>
  <c r="J53" i="48"/>
  <c r="J12" i="48"/>
  <c r="J7" i="48"/>
  <c r="J5" i="48"/>
  <c r="J11" i="48"/>
  <c r="J35" i="48"/>
  <c r="J3" i="48"/>
  <c r="J9" i="48"/>
  <c r="J54" i="48"/>
  <c r="J10" i="48"/>
  <c r="J26" i="48"/>
  <c r="J20" i="48"/>
  <c r="J14" i="48"/>
  <c r="J25" i="48"/>
  <c r="J15" i="48"/>
  <c r="J19" i="48"/>
  <c r="J22" i="48"/>
  <c r="J32" i="48"/>
  <c r="J13" i="48"/>
  <c r="J24" i="48"/>
  <c r="J28" i="48"/>
  <c r="J30" i="48"/>
  <c r="J55" i="48"/>
  <c r="J33" i="48"/>
  <c r="J39" i="48"/>
  <c r="J41" i="48"/>
  <c r="J4" i="48"/>
  <c r="I51" i="48"/>
  <c r="I3" i="48"/>
  <c r="I4" i="48"/>
  <c r="I5" i="48"/>
  <c r="I6" i="48"/>
  <c r="I7" i="48"/>
  <c r="I8" i="48"/>
  <c r="I9" i="48"/>
  <c r="I10" i="48"/>
  <c r="I11" i="48"/>
  <c r="I12" i="48"/>
  <c r="I13" i="48"/>
  <c r="I14" i="48"/>
  <c r="I15" i="48"/>
  <c r="I16" i="48"/>
  <c r="I17" i="48"/>
  <c r="I18" i="48"/>
  <c r="I19" i="48"/>
  <c r="I20" i="48"/>
  <c r="I21" i="48"/>
  <c r="I22" i="48"/>
  <c r="I23" i="48"/>
  <c r="I24" i="48"/>
  <c r="I25" i="48"/>
  <c r="I26" i="48"/>
  <c r="I27" i="48"/>
  <c r="I28" i="48"/>
  <c r="I29" i="48"/>
  <c r="I30" i="48"/>
  <c r="I31" i="48"/>
  <c r="I32" i="48"/>
  <c r="I33" i="48"/>
  <c r="I34" i="48"/>
  <c r="I35" i="48"/>
  <c r="I36" i="48"/>
  <c r="I37" i="48"/>
  <c r="I38" i="48"/>
  <c r="I39" i="48"/>
  <c r="I40" i="48"/>
  <c r="I41" i="48"/>
  <c r="I42" i="48"/>
  <c r="I43" i="48"/>
  <c r="I44" i="48"/>
  <c r="I45" i="48"/>
  <c r="I46" i="48"/>
  <c r="I47" i="48"/>
  <c r="I48" i="48"/>
  <c r="I49" i="48"/>
  <c r="I50" i="48"/>
  <c r="I2" i="48"/>
  <c r="J111" i="38"/>
  <c r="K111" i="38"/>
  <c r="L111" i="38"/>
  <c r="M111" i="38"/>
  <c r="N111" i="38"/>
  <c r="S111" i="38"/>
  <c r="T111" i="38"/>
  <c r="U111" i="38"/>
  <c r="V111" i="38"/>
  <c r="AA111" i="38"/>
  <c r="AB111" i="38"/>
  <c r="AC111" i="38"/>
  <c r="AD111" i="38"/>
  <c r="AI111" i="38"/>
  <c r="AJ111" i="38"/>
  <c r="AK111" i="38"/>
  <c r="I111" i="38"/>
  <c r="K110" i="38"/>
  <c r="L110" i="38"/>
  <c r="M110" i="38"/>
  <c r="N110" i="38"/>
  <c r="O110" i="38"/>
  <c r="O111" i="38" s="1"/>
  <c r="P110" i="38"/>
  <c r="P111" i="38" s="1"/>
  <c r="Q110" i="38"/>
  <c r="Q111" i="38" s="1"/>
  <c r="R110" i="38"/>
  <c r="R111" i="38" s="1"/>
  <c r="S110" i="38"/>
  <c r="T110" i="38"/>
  <c r="U110" i="38"/>
  <c r="V110" i="38"/>
  <c r="W110" i="38"/>
  <c r="W111" i="38" s="1"/>
  <c r="X110" i="38"/>
  <c r="X111" i="38" s="1"/>
  <c r="Y110" i="38"/>
  <c r="Y111" i="38" s="1"/>
  <c r="Z110" i="38"/>
  <c r="Z111" i="38" s="1"/>
  <c r="AA110" i="38"/>
  <c r="AB110" i="38"/>
  <c r="AC110" i="38"/>
  <c r="AD110" i="38"/>
  <c r="AE110" i="38"/>
  <c r="AE111" i="38" s="1"/>
  <c r="AF110" i="38"/>
  <c r="AF111" i="38" s="1"/>
  <c r="AG110" i="38"/>
  <c r="AG111" i="38" s="1"/>
  <c r="AH110" i="38"/>
  <c r="AH111" i="38" s="1"/>
  <c r="AI110" i="38"/>
  <c r="AJ110" i="38"/>
  <c r="J110" i="38"/>
  <c r="I97" i="38"/>
  <c r="I98" i="38"/>
  <c r="I99" i="38"/>
  <c r="I100" i="38"/>
  <c r="I96" i="38"/>
  <c r="J96" i="38" s="1"/>
  <c r="K32" i="38"/>
  <c r="N32" i="38"/>
  <c r="Q32" i="38"/>
  <c r="T32" i="38"/>
  <c r="W32" i="38"/>
  <c r="Z32" i="38"/>
  <c r="K33" i="38"/>
  <c r="N33" i="38"/>
  <c r="Q33" i="38"/>
  <c r="T33" i="38"/>
  <c r="W33" i="38"/>
  <c r="Z33" i="38"/>
  <c r="K34" i="38"/>
  <c r="N34" i="38"/>
  <c r="Q34" i="38"/>
  <c r="T34" i="38"/>
  <c r="W34" i="38"/>
  <c r="Z34" i="38"/>
  <c r="K35" i="38"/>
  <c r="N35" i="38"/>
  <c r="Q35" i="38"/>
  <c r="T35" i="38"/>
  <c r="W35" i="38"/>
  <c r="Z35" i="38"/>
  <c r="K36" i="38"/>
  <c r="N36" i="38"/>
  <c r="Q36" i="38"/>
  <c r="T36" i="38"/>
  <c r="W36" i="38"/>
  <c r="Z36" i="38"/>
  <c r="K37" i="38"/>
  <c r="N37" i="38"/>
  <c r="Q37" i="38"/>
  <c r="T37" i="38"/>
  <c r="W37" i="38"/>
  <c r="Z37" i="38"/>
  <c r="K38" i="38"/>
  <c r="N38" i="38"/>
  <c r="Q38" i="38"/>
  <c r="T38" i="38"/>
  <c r="W38" i="38"/>
  <c r="Z38" i="38"/>
  <c r="K39" i="38"/>
  <c r="N39" i="38"/>
  <c r="Q39" i="38"/>
  <c r="T39" i="38"/>
  <c r="W39" i="38"/>
  <c r="Z39" i="38"/>
  <c r="K40" i="38"/>
  <c r="N40" i="38"/>
  <c r="Q40" i="38"/>
  <c r="T40" i="38"/>
  <c r="W40" i="38"/>
  <c r="Z40" i="38"/>
  <c r="K41" i="38"/>
  <c r="N41" i="38"/>
  <c r="Q41" i="38"/>
  <c r="T41" i="38"/>
  <c r="W41" i="38"/>
  <c r="Z41" i="38"/>
  <c r="H41" i="38"/>
  <c r="H40" i="38"/>
  <c r="H39" i="38"/>
  <c r="H38" i="38"/>
  <c r="H37" i="38"/>
  <c r="H36" i="38"/>
  <c r="H35" i="38"/>
  <c r="H34" i="38"/>
  <c r="H33" i="38"/>
  <c r="H32" i="38"/>
  <c r="Q2" i="38"/>
  <c r="T2" i="38"/>
  <c r="W2" i="38"/>
  <c r="Z2" i="38"/>
  <c r="Q3" i="38"/>
  <c r="T3" i="38"/>
  <c r="W3" i="38"/>
  <c r="Z3" i="38"/>
  <c r="Q4" i="38"/>
  <c r="T4" i="38"/>
  <c r="W4" i="38"/>
  <c r="Z4" i="38"/>
  <c r="Q5" i="38"/>
  <c r="T5" i="38"/>
  <c r="W5" i="38"/>
  <c r="Z5" i="38"/>
  <c r="Q6" i="38"/>
  <c r="T6" i="38"/>
  <c r="W6" i="38"/>
  <c r="Z6" i="38"/>
  <c r="Q7" i="38"/>
  <c r="T7" i="38"/>
  <c r="W7" i="38"/>
  <c r="Z7" i="38"/>
  <c r="Q8" i="38"/>
  <c r="T8" i="38"/>
  <c r="W8" i="38"/>
  <c r="Z8" i="38"/>
  <c r="Q9" i="38"/>
  <c r="T9" i="38"/>
  <c r="W9" i="38"/>
  <c r="Z9" i="38"/>
  <c r="Q10" i="38"/>
  <c r="T10" i="38"/>
  <c r="W10" i="38"/>
  <c r="Z10" i="38"/>
  <c r="Q11" i="38"/>
  <c r="T11" i="38"/>
  <c r="W11" i="38"/>
  <c r="Z11" i="38"/>
  <c r="N2" i="38"/>
  <c r="N3" i="38"/>
  <c r="N4" i="38"/>
  <c r="N5" i="38"/>
  <c r="N6" i="38"/>
  <c r="N7" i="38"/>
  <c r="N8" i="38"/>
  <c r="N9" i="38"/>
  <c r="N10" i="38"/>
  <c r="N11" i="38"/>
  <c r="K9" i="38"/>
  <c r="H9" i="38"/>
  <c r="K2" i="38"/>
  <c r="K3" i="38"/>
  <c r="K4" i="38"/>
  <c r="K5" i="38"/>
  <c r="K6" i="38"/>
  <c r="K7" i="38"/>
  <c r="K8" i="38"/>
  <c r="K10" i="38"/>
  <c r="K11" i="38"/>
  <c r="H3" i="38"/>
  <c r="H11" i="38"/>
  <c r="H10" i="38"/>
  <c r="H8" i="38"/>
  <c r="H7" i="38"/>
  <c r="H6" i="38"/>
  <c r="H5" i="38"/>
  <c r="H4" i="38"/>
  <c r="H2" i="38"/>
  <c r="J98" i="38" l="1"/>
  <c r="K98" i="38" s="1"/>
  <c r="J97" i="38"/>
  <c r="J100" i="38"/>
  <c r="K100" i="38" s="1"/>
  <c r="J99" i="38"/>
  <c r="K96" i="38" s="1"/>
  <c r="K97" i="38"/>
  <c r="W47" i="38"/>
  <c r="W50" i="38"/>
  <c r="N47" i="38"/>
  <c r="T45" i="38"/>
  <c r="Z20" i="38"/>
  <c r="K20" i="38"/>
  <c r="H20" i="38"/>
  <c r="W20" i="38"/>
  <c r="T20" i="38"/>
  <c r="Q20" i="38"/>
  <c r="N20" i="38"/>
  <c r="W48" i="38"/>
  <c r="W43" i="38"/>
  <c r="H50" i="38"/>
  <c r="T44" i="38"/>
  <c r="H43" i="38"/>
  <c r="N49" i="38"/>
  <c r="T50" i="38"/>
  <c r="T47" i="38"/>
  <c r="W45" i="38"/>
  <c r="Q50" i="38"/>
  <c r="Z48" i="38"/>
  <c r="H47" i="38"/>
  <c r="N48" i="38"/>
  <c r="N50" i="38"/>
  <c r="T46" i="38"/>
  <c r="H46" i="38"/>
  <c r="K48" i="38"/>
  <c r="K44" i="38"/>
  <c r="Q46" i="38"/>
  <c r="Z47" i="38"/>
  <c r="W49" i="38"/>
  <c r="N43" i="38"/>
  <c r="T49" i="38"/>
  <c r="K50" i="38"/>
  <c r="K43" i="38"/>
  <c r="Q49" i="38"/>
  <c r="Z50" i="38"/>
  <c r="N46" i="38"/>
  <c r="K46" i="38"/>
  <c r="Q48" i="38"/>
  <c r="Q44" i="38"/>
  <c r="Z49" i="38"/>
  <c r="Z45" i="38"/>
  <c r="H45" i="38"/>
  <c r="H49" i="38"/>
  <c r="K47" i="38"/>
  <c r="Q47" i="38"/>
  <c r="Q43" i="38"/>
  <c r="Z44" i="38"/>
  <c r="K49" i="38"/>
  <c r="Q45" i="38"/>
  <c r="N45" i="38"/>
  <c r="H44" i="38"/>
  <c r="W44" i="38"/>
  <c r="Z43" i="38"/>
  <c r="Z46" i="38"/>
  <c r="W46" i="38"/>
  <c r="N44" i="38"/>
  <c r="H48" i="38"/>
  <c r="T48" i="38"/>
  <c r="K45" i="38"/>
  <c r="T43" i="38"/>
  <c r="W16" i="38"/>
  <c r="H16" i="38"/>
  <c r="T15" i="38"/>
  <c r="K18" i="38"/>
  <c r="T13" i="38"/>
  <c r="N16" i="38"/>
  <c r="H19" i="38"/>
  <c r="T14" i="38"/>
  <c r="N15" i="38"/>
  <c r="H18" i="38"/>
  <c r="Q14" i="38"/>
  <c r="N13" i="38"/>
  <c r="H14" i="38"/>
  <c r="Z13" i="38"/>
  <c r="H13" i="38"/>
  <c r="Z16" i="38"/>
  <c r="Q19" i="38"/>
  <c r="W15" i="38"/>
  <c r="N18" i="38"/>
  <c r="W18" i="38"/>
  <c r="N17" i="38"/>
  <c r="W14" i="38"/>
  <c r="Q15" i="38"/>
  <c r="K17" i="38"/>
  <c r="W17" i="38"/>
  <c r="Q13" i="38"/>
  <c r="K16" i="38"/>
  <c r="Z19" i="38"/>
  <c r="W19" i="38"/>
  <c r="N14" i="38"/>
  <c r="K13" i="38"/>
  <c r="Z15" i="38"/>
  <c r="T19" i="38"/>
  <c r="K14" i="38"/>
  <c r="K15" i="38"/>
  <c r="H17" i="38"/>
  <c r="N19" i="38"/>
  <c r="Z17" i="38"/>
  <c r="T16" i="38"/>
  <c r="W13" i="38"/>
  <c r="K19" i="38"/>
  <c r="Z18" i="38"/>
  <c r="Z14" i="38"/>
  <c r="Q17" i="38"/>
  <c r="T18" i="38"/>
  <c r="Q18" i="38"/>
  <c r="T17" i="38"/>
  <c r="Q16" i="38"/>
  <c r="H15" i="38"/>
  <c r="F68" i="7"/>
  <c r="AH68" i="7" s="1"/>
  <c r="G68" i="7"/>
  <c r="I68" i="7"/>
  <c r="J68" i="7"/>
  <c r="K68" i="7"/>
  <c r="L68" i="7"/>
  <c r="N68" i="7"/>
  <c r="O68" i="7"/>
  <c r="P68" i="7"/>
  <c r="Q68" i="7"/>
  <c r="S68" i="7"/>
  <c r="T68" i="7"/>
  <c r="U68" i="7"/>
  <c r="V68" i="7"/>
  <c r="X68" i="7"/>
  <c r="Y68" i="7"/>
  <c r="Z68" i="7"/>
  <c r="AA68" i="7"/>
  <c r="AC68" i="7"/>
  <c r="AD68" i="7"/>
  <c r="AE68" i="7"/>
  <c r="AF68" i="7"/>
  <c r="I43" i="7"/>
  <c r="H63" i="38"/>
  <c r="G49" i="53"/>
  <c r="G50" i="53"/>
  <c r="G52" i="53"/>
  <c r="G53" i="53"/>
  <c r="G54" i="53"/>
  <c r="G51" i="53"/>
  <c r="G55" i="53"/>
  <c r="G48" i="53"/>
  <c r="F49" i="53"/>
  <c r="F50" i="53"/>
  <c r="F52" i="53"/>
  <c r="F53" i="53"/>
  <c r="F54" i="53"/>
  <c r="J70" i="38" s="1"/>
  <c r="F51" i="53"/>
  <c r="F55" i="53"/>
  <c r="L71" i="38" s="1"/>
  <c r="F48" i="53"/>
  <c r="B7" i="53"/>
  <c r="B39" i="53"/>
  <c r="B9" i="53"/>
  <c r="B38" i="53"/>
  <c r="B15" i="53"/>
  <c r="B36" i="53"/>
  <c r="B5" i="53"/>
  <c r="B2" i="53"/>
  <c r="B24" i="53"/>
  <c r="B19" i="53"/>
  <c r="B18" i="53"/>
  <c r="B41" i="53"/>
  <c r="B30" i="53"/>
  <c r="B11" i="53"/>
  <c r="B3" i="53"/>
  <c r="B27" i="53"/>
  <c r="B22" i="53"/>
  <c r="B26" i="53"/>
  <c r="B13" i="53"/>
  <c r="B37" i="53"/>
  <c r="B17" i="53"/>
  <c r="B31" i="53"/>
  <c r="B23" i="53"/>
  <c r="B8" i="53"/>
  <c r="B21" i="53"/>
  <c r="B16" i="53"/>
  <c r="B25" i="53"/>
  <c r="B4" i="53"/>
  <c r="B12" i="53"/>
  <c r="B29" i="53"/>
  <c r="B34" i="53"/>
  <c r="B14" i="53"/>
  <c r="B28" i="53"/>
  <c r="B32" i="53"/>
  <c r="B33" i="53"/>
  <c r="B35" i="53"/>
  <c r="B6" i="53"/>
  <c r="B40" i="53"/>
  <c r="B10" i="53"/>
  <c r="B42" i="53"/>
  <c r="B20" i="53"/>
  <c r="B2" i="48"/>
  <c r="K99" i="38" l="1"/>
  <c r="L84" i="38"/>
  <c r="H84" i="38"/>
  <c r="O57" i="38"/>
  <c r="U59" i="38"/>
  <c r="L57" i="38"/>
  <c r="J65" i="38"/>
  <c r="J67" i="38"/>
  <c r="H53" i="53"/>
  <c r="H77" i="38" s="1"/>
  <c r="I53" i="53"/>
  <c r="K85" i="38" s="1"/>
  <c r="H48" i="53"/>
  <c r="H72" i="38" s="1"/>
  <c r="I48" i="53"/>
  <c r="H80" i="38" s="1"/>
  <c r="H55" i="53"/>
  <c r="H79" i="38" s="1"/>
  <c r="I55" i="53"/>
  <c r="M87" i="38" s="1"/>
  <c r="K68" i="38"/>
  <c r="H52" i="53"/>
  <c r="H76" i="38" s="1"/>
  <c r="I52" i="53"/>
  <c r="K84" i="38" s="1"/>
  <c r="H51" i="53"/>
  <c r="H75" i="38" s="1"/>
  <c r="I51" i="53"/>
  <c r="H83" i="38" s="1"/>
  <c r="N69" i="38"/>
  <c r="M66" i="38"/>
  <c r="H50" i="53"/>
  <c r="H74" i="38" s="1"/>
  <c r="I50" i="53"/>
  <c r="H82" i="38" s="1"/>
  <c r="H54" i="53"/>
  <c r="H78" i="38" s="1"/>
  <c r="I54" i="53"/>
  <c r="K86" i="38" s="1"/>
  <c r="H49" i="53"/>
  <c r="H73" i="38" s="1"/>
  <c r="I49" i="53"/>
  <c r="H81" i="38" s="1"/>
  <c r="J64" i="38"/>
  <c r="H64" i="38"/>
  <c r="I68" i="38"/>
  <c r="K71" i="38"/>
  <c r="M69" i="38"/>
  <c r="J68" i="38"/>
  <c r="L66" i="38"/>
  <c r="N64" i="38"/>
  <c r="I67" i="38"/>
  <c r="J71" i="38"/>
  <c r="L69" i="38"/>
  <c r="N67" i="38"/>
  <c r="K66" i="38"/>
  <c r="M64" i="38"/>
  <c r="I66" i="38"/>
  <c r="N70" i="38"/>
  <c r="K69" i="38"/>
  <c r="M67" i="38"/>
  <c r="J66" i="38"/>
  <c r="L64" i="38"/>
  <c r="I65" i="38"/>
  <c r="M70" i="38"/>
  <c r="J69" i="38"/>
  <c r="L67" i="38"/>
  <c r="N65" i="38"/>
  <c r="K64" i="38"/>
  <c r="I64" i="38"/>
  <c r="L70" i="38"/>
  <c r="N68" i="38"/>
  <c r="K67" i="38"/>
  <c r="M65" i="38"/>
  <c r="I71" i="38"/>
  <c r="N71" i="38"/>
  <c r="K70" i="38"/>
  <c r="M68" i="38"/>
  <c r="L65" i="38"/>
  <c r="I70" i="38"/>
  <c r="M71" i="38"/>
  <c r="L68" i="38"/>
  <c r="N66" i="38"/>
  <c r="K65" i="38"/>
  <c r="I69" i="38"/>
  <c r="L100" i="38"/>
  <c r="X57" i="38"/>
  <c r="U57" i="38"/>
  <c r="L97" i="38"/>
  <c r="L98" i="38"/>
  <c r="L99" i="38"/>
  <c r="L96" i="38"/>
  <c r="X58" i="38"/>
  <c r="X59" i="38"/>
  <c r="X53" i="38"/>
  <c r="Y54" i="38" s="1"/>
  <c r="L58" i="38"/>
  <c r="U53" i="38"/>
  <c r="R60" i="38"/>
  <c r="O58" i="38"/>
  <c r="X28" i="38"/>
  <c r="L60" i="38"/>
  <c r="O30" i="38"/>
  <c r="I56" i="38"/>
  <c r="R30" i="38"/>
  <c r="U30" i="38"/>
  <c r="X30" i="38"/>
  <c r="X23" i="38"/>
  <c r="L30" i="38"/>
  <c r="I59" i="38"/>
  <c r="L29" i="38"/>
  <c r="L28" i="38"/>
  <c r="I30" i="38"/>
  <c r="O60" i="38"/>
  <c r="O59" i="38"/>
  <c r="I57" i="38"/>
  <c r="I53" i="38"/>
  <c r="I60" i="38"/>
  <c r="I58" i="38"/>
  <c r="R59" i="38"/>
  <c r="R58" i="38"/>
  <c r="R57" i="38"/>
  <c r="L59" i="38"/>
  <c r="U58" i="38"/>
  <c r="Y60" i="38"/>
  <c r="H65" i="38"/>
  <c r="H69" i="38"/>
  <c r="H68" i="38"/>
  <c r="H71" i="38"/>
  <c r="H70" i="38"/>
  <c r="H67" i="38"/>
  <c r="H66" i="38"/>
  <c r="B27" i="48"/>
  <c r="B42" i="48"/>
  <c r="B43" i="48"/>
  <c r="B44" i="48"/>
  <c r="B45" i="48"/>
  <c r="B46" i="48"/>
  <c r="B47" i="48"/>
  <c r="B49" i="48"/>
  <c r="B50" i="48"/>
  <c r="B58" i="48"/>
  <c r="B59" i="48"/>
  <c r="B60" i="48"/>
  <c r="B61" i="48"/>
  <c r="B62" i="48"/>
  <c r="B63" i="48"/>
  <c r="B64" i="48"/>
  <c r="B65" i="48"/>
  <c r="B66" i="48"/>
  <c r="B67" i="48"/>
  <c r="B17" i="48"/>
  <c r="B7" i="48"/>
  <c r="B10" i="48"/>
  <c r="B56" i="48"/>
  <c r="B8" i="48"/>
  <c r="B3" i="48"/>
  <c r="B4" i="48"/>
  <c r="B20" i="48"/>
  <c r="B11" i="48"/>
  <c r="B5" i="48"/>
  <c r="B14" i="48"/>
  <c r="B15" i="48"/>
  <c r="B55" i="48"/>
  <c r="B16" i="48"/>
  <c r="B51" i="48"/>
  <c r="B6" i="48"/>
  <c r="B48" i="48"/>
  <c r="B57" i="48"/>
  <c r="B52" i="48"/>
  <c r="B53" i="48"/>
  <c r="B12" i="48"/>
  <c r="B35" i="48"/>
  <c r="B9" i="48"/>
  <c r="B54" i="48"/>
  <c r="B26" i="48"/>
  <c r="B25" i="48"/>
  <c r="B19" i="48"/>
  <c r="B22" i="48"/>
  <c r="B32" i="48"/>
  <c r="B13" i="48"/>
  <c r="B24" i="48"/>
  <c r="B28" i="48"/>
  <c r="B30" i="48"/>
  <c r="B33" i="48"/>
  <c r="B39" i="48"/>
  <c r="B41" i="48"/>
  <c r="B18" i="48"/>
  <c r="B21" i="48"/>
  <c r="B23" i="48"/>
  <c r="B29" i="48"/>
  <c r="B31" i="48"/>
  <c r="B34" i="48"/>
  <c r="B36" i="48"/>
  <c r="B37" i="48"/>
  <c r="B38" i="48"/>
  <c r="B40" i="48"/>
  <c r="F29" i="7"/>
  <c r="G29" i="7"/>
  <c r="I29" i="7"/>
  <c r="J29" i="7"/>
  <c r="K29" i="7"/>
  <c r="L29" i="7"/>
  <c r="N29" i="7"/>
  <c r="O29" i="7"/>
  <c r="P29" i="7"/>
  <c r="Q29" i="7"/>
  <c r="S29" i="7"/>
  <c r="T29" i="7"/>
  <c r="U29" i="7"/>
  <c r="V29" i="7"/>
  <c r="X29" i="7"/>
  <c r="Y29" i="7"/>
  <c r="Z29" i="7"/>
  <c r="AA29" i="7"/>
  <c r="AC29" i="7"/>
  <c r="AD29" i="7"/>
  <c r="AE29" i="7"/>
  <c r="AF29" i="7"/>
  <c r="F17" i="48"/>
  <c r="M81" i="38" l="1"/>
  <c r="J84" i="38"/>
  <c r="H86" i="38"/>
  <c r="N83" i="38"/>
  <c r="N84" i="38"/>
  <c r="K83" i="38"/>
  <c r="I83" i="38"/>
  <c r="J85" i="38"/>
  <c r="L83" i="38"/>
  <c r="L81" i="38"/>
  <c r="N81" i="38"/>
  <c r="I84" i="38"/>
  <c r="M83" i="38"/>
  <c r="J83" i="38"/>
  <c r="H85" i="38"/>
  <c r="K75" i="38" s="1"/>
  <c r="K81" i="38"/>
  <c r="I81" i="38"/>
  <c r="J81" i="38"/>
  <c r="I85" i="38"/>
  <c r="M84" i="38"/>
  <c r="N82" i="38"/>
  <c r="M82" i="38"/>
  <c r="J82" i="38"/>
  <c r="I82" i="38"/>
  <c r="L82" i="38"/>
  <c r="K82" i="38"/>
  <c r="Y59" i="38"/>
  <c r="N80" i="38"/>
  <c r="M80" i="38"/>
  <c r="L80" i="38"/>
  <c r="K80" i="38"/>
  <c r="J80" i="38"/>
  <c r="I80" i="38"/>
  <c r="M96" i="38"/>
  <c r="Y56" i="38"/>
  <c r="H87" i="38"/>
  <c r="L87" i="38"/>
  <c r="K87" i="38"/>
  <c r="J87" i="38"/>
  <c r="I87" i="38"/>
  <c r="N86" i="38"/>
  <c r="M86" i="38"/>
  <c r="N87" i="38"/>
  <c r="J86" i="38"/>
  <c r="I86" i="38"/>
  <c r="N85" i="38"/>
  <c r="M85" i="38"/>
  <c r="L85" i="38"/>
  <c r="L86" i="38"/>
  <c r="Y53" i="38"/>
  <c r="Y58" i="38"/>
  <c r="Y57" i="38"/>
  <c r="Y55" i="38"/>
  <c r="M99" i="38"/>
  <c r="M100" i="38"/>
  <c r="M98" i="38"/>
  <c r="M97" i="38"/>
  <c r="P54" i="38"/>
  <c r="P57" i="38"/>
  <c r="P56" i="38"/>
  <c r="P60" i="38"/>
  <c r="P58" i="38"/>
  <c r="P53" i="38"/>
  <c r="M79" i="38"/>
  <c r="J57" i="38"/>
  <c r="P59" i="38"/>
  <c r="J60" i="38"/>
  <c r="S56" i="38"/>
  <c r="J56" i="38"/>
  <c r="S58" i="38"/>
  <c r="J58" i="38"/>
  <c r="J53" i="38"/>
  <c r="J59" i="38"/>
  <c r="J54" i="38"/>
  <c r="P55" i="38"/>
  <c r="J55" i="38"/>
  <c r="S54" i="38"/>
  <c r="S55" i="38"/>
  <c r="S60" i="38"/>
  <c r="S53" i="38"/>
  <c r="S59" i="38"/>
  <c r="S57" i="38"/>
  <c r="M59" i="38"/>
  <c r="M54" i="38"/>
  <c r="M60" i="38"/>
  <c r="M55" i="38"/>
  <c r="M56" i="38"/>
  <c r="M57" i="38"/>
  <c r="M53" i="38"/>
  <c r="M58" i="38"/>
  <c r="V58" i="38"/>
  <c r="V60" i="38"/>
  <c r="V54" i="38"/>
  <c r="V57" i="38"/>
  <c r="V55" i="38"/>
  <c r="V59" i="38"/>
  <c r="V53" i="38"/>
  <c r="V56" i="38"/>
  <c r="N314" i="35"/>
  <c r="O314" i="35"/>
  <c r="P314" i="35"/>
  <c r="Q314" i="35"/>
  <c r="R314" i="35"/>
  <c r="S314" i="35"/>
  <c r="T314" i="35"/>
  <c r="U314" i="35"/>
  <c r="N308" i="35"/>
  <c r="O308" i="35"/>
  <c r="P308" i="35"/>
  <c r="Q308" i="35"/>
  <c r="R308" i="35"/>
  <c r="N309" i="35"/>
  <c r="O309" i="35"/>
  <c r="P309" i="35"/>
  <c r="Q309" i="35"/>
  <c r="R309" i="35"/>
  <c r="N310" i="35"/>
  <c r="O310" i="35"/>
  <c r="P310" i="35"/>
  <c r="Q310" i="35"/>
  <c r="R310" i="35"/>
  <c r="N311" i="35"/>
  <c r="O311" i="35"/>
  <c r="P311" i="35"/>
  <c r="Q311" i="35"/>
  <c r="R311" i="35"/>
  <c r="N312" i="35"/>
  <c r="O312" i="35"/>
  <c r="P312" i="35"/>
  <c r="Q312" i="35"/>
  <c r="R312" i="35"/>
  <c r="N313" i="35"/>
  <c r="O313" i="35"/>
  <c r="P313" i="35"/>
  <c r="Q313" i="35"/>
  <c r="R313" i="35"/>
  <c r="T308" i="35"/>
  <c r="U308" i="35"/>
  <c r="H53" i="38" s="1"/>
  <c r="T309" i="35"/>
  <c r="U309" i="35"/>
  <c r="H54" i="38" s="1"/>
  <c r="K54" i="38" s="1"/>
  <c r="N54" i="38" s="1"/>
  <c r="Q54" i="38" s="1"/>
  <c r="T54" i="38" s="1"/>
  <c r="W54" i="38" s="1"/>
  <c r="Z54" i="38" s="1"/>
  <c r="T310" i="35"/>
  <c r="U310" i="35"/>
  <c r="T311" i="35"/>
  <c r="U311" i="35"/>
  <c r="H56" i="38" s="1"/>
  <c r="T312" i="35"/>
  <c r="U312" i="35"/>
  <c r="H57" i="38" s="1"/>
  <c r="T313" i="35"/>
  <c r="U313" i="35"/>
  <c r="S309" i="35"/>
  <c r="S310" i="35"/>
  <c r="S311" i="35"/>
  <c r="S312" i="35"/>
  <c r="S313" i="35"/>
  <c r="S308" i="35"/>
  <c r="H24" i="38"/>
  <c r="H27" i="38"/>
  <c r="F2" i="7"/>
  <c r="F3" i="7"/>
  <c r="F4" i="7"/>
  <c r="F5" i="7"/>
  <c r="F6" i="7"/>
  <c r="F7" i="7"/>
  <c r="F8" i="7"/>
  <c r="F9" i="7"/>
  <c r="F10" i="7"/>
  <c r="F11" i="7"/>
  <c r="F12" i="7"/>
  <c r="F13" i="7"/>
  <c r="F14" i="7"/>
  <c r="F15" i="7"/>
  <c r="F16" i="7"/>
  <c r="F17" i="7"/>
  <c r="F18" i="7"/>
  <c r="F19" i="7"/>
  <c r="F20" i="7"/>
  <c r="F21" i="7"/>
  <c r="F25" i="7"/>
  <c r="F23" i="7"/>
  <c r="F24" i="7"/>
  <c r="F22" i="7"/>
  <c r="F26" i="7"/>
  <c r="F27" i="7"/>
  <c r="F28" i="7"/>
  <c r="F42" i="7"/>
  <c r="F31" i="7"/>
  <c r="F32" i="7"/>
  <c r="F33" i="7"/>
  <c r="F30" i="7"/>
  <c r="F35" i="7"/>
  <c r="F36" i="7"/>
  <c r="F40" i="7"/>
  <c r="F38" i="7"/>
  <c r="F39" i="7"/>
  <c r="F45" i="7"/>
  <c r="F41" i="7"/>
  <c r="F34" i="7"/>
  <c r="F43" i="7"/>
  <c r="F44" i="7"/>
  <c r="F37" i="7"/>
  <c r="F46" i="7"/>
  <c r="F47" i="7"/>
  <c r="F48" i="7"/>
  <c r="F51" i="7"/>
  <c r="F50" i="7"/>
  <c r="F49" i="7"/>
  <c r="F52" i="7"/>
  <c r="F53" i="7"/>
  <c r="F54" i="7"/>
  <c r="F55" i="7"/>
  <c r="F56" i="7"/>
  <c r="F57" i="7"/>
  <c r="F58" i="7"/>
  <c r="F59" i="7"/>
  <c r="F60" i="7"/>
  <c r="F64" i="7"/>
  <c r="F62" i="7"/>
  <c r="F63" i="7"/>
  <c r="F61" i="7"/>
  <c r="F65" i="7"/>
  <c r="F66" i="7"/>
  <c r="F67" i="7"/>
  <c r="F69" i="7"/>
  <c r="F70" i="7"/>
  <c r="F71" i="7"/>
  <c r="F72" i="7"/>
  <c r="F73" i="7"/>
  <c r="F77" i="7"/>
  <c r="F75" i="7"/>
  <c r="F76" i="7"/>
  <c r="F74" i="7"/>
  <c r="F78" i="7"/>
  <c r="F79" i="7"/>
  <c r="F85" i="7"/>
  <c r="F81" i="7"/>
  <c r="F82" i="7"/>
  <c r="F83" i="7"/>
  <c r="F84" i="7"/>
  <c r="F80" i="7"/>
  <c r="F86" i="7"/>
  <c r="F87" i="7"/>
  <c r="F92" i="7"/>
  <c r="F89" i="7"/>
  <c r="F90" i="7"/>
  <c r="F91" i="7"/>
  <c r="F88" i="7"/>
  <c r="F93" i="7"/>
  <c r="F94" i="7"/>
  <c r="F97" i="7"/>
  <c r="F96" i="7"/>
  <c r="F95" i="7"/>
  <c r="F98" i="7"/>
  <c r="F99" i="7"/>
  <c r="F100" i="7"/>
  <c r="F107" i="7"/>
  <c r="F102" i="7"/>
  <c r="F103" i="7"/>
  <c r="F101" i="7"/>
  <c r="F105" i="7"/>
  <c r="F106" i="7"/>
  <c r="F109" i="7"/>
  <c r="F108" i="7"/>
  <c r="F113" i="7"/>
  <c r="F110" i="7"/>
  <c r="F111" i="7"/>
  <c r="F112" i="7"/>
  <c r="F104" i="7"/>
  <c r="F114" i="7"/>
  <c r="F115" i="7"/>
  <c r="F116" i="7"/>
  <c r="F117" i="7"/>
  <c r="F118" i="7"/>
  <c r="F121" i="7"/>
  <c r="F120" i="7"/>
  <c r="F119" i="7"/>
  <c r="F122" i="7"/>
  <c r="F123" i="7"/>
  <c r="F124" i="7"/>
  <c r="F125" i="7"/>
  <c r="F126" i="7"/>
  <c r="F127" i="7"/>
  <c r="F134" i="7"/>
  <c r="F129" i="7"/>
  <c r="F130" i="7"/>
  <c r="F131" i="7"/>
  <c r="F132" i="7"/>
  <c r="F133" i="7"/>
  <c r="F128" i="7"/>
  <c r="F135" i="7"/>
  <c r="F136" i="7"/>
  <c r="F137" i="7"/>
  <c r="F138" i="7"/>
  <c r="F139" i="7"/>
  <c r="F140" i="7"/>
  <c r="F141" i="7"/>
  <c r="F142" i="7"/>
  <c r="F145" i="7"/>
  <c r="F144" i="7"/>
  <c r="F143" i="7"/>
  <c r="F146" i="7"/>
  <c r="F147" i="7"/>
  <c r="F148" i="7"/>
  <c r="F149" i="7"/>
  <c r="F150" i="7"/>
  <c r="F151" i="7"/>
  <c r="F152" i="7"/>
  <c r="F153" i="7"/>
  <c r="F154" i="7"/>
  <c r="F155" i="7"/>
  <c r="F156" i="7"/>
  <c r="F161" i="7"/>
  <c r="F158" i="7"/>
  <c r="F159" i="7"/>
  <c r="F160" i="7"/>
  <c r="F157" i="7"/>
  <c r="F162" i="7"/>
  <c r="F163" i="7"/>
  <c r="F164" i="7"/>
  <c r="N77" i="38" l="1"/>
  <c r="L77" i="38"/>
  <c r="L79" i="38"/>
  <c r="K79" i="38"/>
  <c r="K74" i="38"/>
  <c r="L72" i="38"/>
  <c r="I75" i="38"/>
  <c r="M73" i="38"/>
  <c r="L78" i="38"/>
  <c r="L73" i="38"/>
  <c r="I73" i="38"/>
  <c r="M72" i="38"/>
  <c r="L74" i="38"/>
  <c r="M74" i="38"/>
  <c r="I72" i="38"/>
  <c r="L75" i="38"/>
  <c r="N74" i="38"/>
  <c r="J76" i="38"/>
  <c r="K77" i="38"/>
  <c r="N73" i="38"/>
  <c r="K78" i="38"/>
  <c r="I74" i="38"/>
  <c r="K73" i="38"/>
  <c r="K76" i="38"/>
  <c r="J72" i="38"/>
  <c r="I76" i="38"/>
  <c r="J79" i="38"/>
  <c r="J73" i="38"/>
  <c r="N75" i="38"/>
  <c r="I78" i="38"/>
  <c r="N72" i="38"/>
  <c r="M75" i="38"/>
  <c r="K72" i="38"/>
  <c r="M76" i="38"/>
  <c r="N76" i="38"/>
  <c r="M78" i="38"/>
  <c r="J78" i="38"/>
  <c r="J77" i="38"/>
  <c r="L76" i="38"/>
  <c r="N78" i="38"/>
  <c r="N79" i="38"/>
  <c r="I79" i="38"/>
  <c r="I77" i="38"/>
  <c r="J74" i="38"/>
  <c r="M77" i="38"/>
  <c r="J75" i="38"/>
  <c r="H25" i="38"/>
  <c r="K25" i="38" s="1"/>
  <c r="N25" i="38" s="1"/>
  <c r="Q25" i="38" s="1"/>
  <c r="T25" i="38" s="1"/>
  <c r="W25" i="38" s="1"/>
  <c r="Z25" i="38" s="1"/>
  <c r="H55" i="38"/>
  <c r="K55" i="38" s="1"/>
  <c r="N55" i="38" s="1"/>
  <c r="Q55" i="38" s="1"/>
  <c r="T55" i="38" s="1"/>
  <c r="W55" i="38" s="1"/>
  <c r="Z55" i="38" s="1"/>
  <c r="K57" i="38"/>
  <c r="H26" i="38"/>
  <c r="H29" i="38"/>
  <c r="H28" i="38"/>
  <c r="H30" i="38"/>
  <c r="H58" i="38"/>
  <c r="H60" i="38"/>
  <c r="K60" i="38" s="1"/>
  <c r="N60" i="38" s="1"/>
  <c r="Q60" i="38" s="1"/>
  <c r="T60" i="38" s="1"/>
  <c r="W60" i="38" s="1"/>
  <c r="Z60" i="38" s="1"/>
  <c r="H59" i="38"/>
  <c r="K59" i="38" s="1"/>
  <c r="N59" i="38" s="1"/>
  <c r="Q59" i="38" s="1"/>
  <c r="T59" i="38" s="1"/>
  <c r="K53" i="38"/>
  <c r="N53" i="38" s="1"/>
  <c r="Q53" i="38" s="1"/>
  <c r="T53" i="38" s="1"/>
  <c r="K58" i="38"/>
  <c r="H23" i="38"/>
  <c r="K56" i="38"/>
  <c r="N56" i="38" s="1"/>
  <c r="Q56" i="38" s="1"/>
  <c r="T56" i="38" s="1"/>
  <c r="W56" i="38" s="1"/>
  <c r="Z56" i="38" s="1"/>
  <c r="N97" i="38"/>
  <c r="N98" i="38"/>
  <c r="N96" i="38"/>
  <c r="N100" i="38"/>
  <c r="N99" i="38"/>
  <c r="O99" i="38" s="1"/>
  <c r="U27" i="38"/>
  <c r="N58" i="38" l="1"/>
  <c r="Q58" i="38" s="1"/>
  <c r="T58" i="38" s="1"/>
  <c r="O100" i="38"/>
  <c r="N57" i="38"/>
  <c r="Q57" i="38" s="1"/>
  <c r="T57" i="38" s="1"/>
  <c r="W59" i="38"/>
  <c r="O96" i="38"/>
  <c r="O98" i="38"/>
  <c r="O97" i="38"/>
  <c r="W57" i="38"/>
  <c r="W58" i="38"/>
  <c r="W53" i="38"/>
  <c r="I29" i="38"/>
  <c r="O27" i="38"/>
  <c r="I28" i="38"/>
  <c r="R28" i="38"/>
  <c r="O28" i="38"/>
  <c r="L27" i="38"/>
  <c r="U28" i="38"/>
  <c r="R29" i="38"/>
  <c r="I23" i="38"/>
  <c r="I27" i="38"/>
  <c r="X27" i="38"/>
  <c r="K24" i="38"/>
  <c r="N24" i="38" s="1"/>
  <c r="Q24" i="38" s="1"/>
  <c r="R27" i="38"/>
  <c r="I26" i="38"/>
  <c r="O29" i="38"/>
  <c r="E4" i="46"/>
  <c r="E2" i="46"/>
  <c r="E5" i="46"/>
  <c r="E143" i="46"/>
  <c r="E8" i="46"/>
  <c r="E86" i="46"/>
  <c r="E138" i="46"/>
  <c r="E9" i="46"/>
  <c r="E98" i="46"/>
  <c r="E55" i="46"/>
  <c r="E54" i="46"/>
  <c r="E74" i="46"/>
  <c r="E105" i="46"/>
  <c r="E108" i="46"/>
  <c r="E104" i="46"/>
  <c r="E111" i="46"/>
  <c r="E109" i="46"/>
  <c r="E110" i="46"/>
  <c r="E107" i="46"/>
  <c r="E26" i="46"/>
  <c r="E106" i="46"/>
  <c r="E35" i="46"/>
  <c r="E123" i="46"/>
  <c r="E120" i="46"/>
  <c r="E75" i="46"/>
  <c r="E84" i="46"/>
  <c r="E80" i="46"/>
  <c r="E56" i="46"/>
  <c r="E163" i="46"/>
  <c r="E119" i="46"/>
  <c r="E70" i="46"/>
  <c r="E10" i="46"/>
  <c r="E11" i="46"/>
  <c r="E72" i="46"/>
  <c r="E69" i="46"/>
  <c r="E37" i="46"/>
  <c r="E161" i="46"/>
  <c r="E7" i="46"/>
  <c r="E38" i="46"/>
  <c r="E57" i="46"/>
  <c r="E60" i="46"/>
  <c r="E61" i="46"/>
  <c r="E62" i="46"/>
  <c r="E127" i="46"/>
  <c r="E160" i="46"/>
  <c r="E116" i="46"/>
  <c r="E79" i="46"/>
  <c r="E121" i="46"/>
  <c r="E144" i="46"/>
  <c r="E18" i="46"/>
  <c r="E19" i="46"/>
  <c r="E91" i="46"/>
  <c r="E103" i="46"/>
  <c r="E132" i="46"/>
  <c r="E135" i="46"/>
  <c r="E133" i="46"/>
  <c r="E136" i="46"/>
  <c r="E96" i="46"/>
  <c r="E115" i="46"/>
  <c r="E21" i="46"/>
  <c r="E43" i="46"/>
  <c r="E124" i="46"/>
  <c r="E76" i="46"/>
  <c r="E81" i="46"/>
  <c r="E16" i="46"/>
  <c r="E12" i="46"/>
  <c r="E59" i="46"/>
  <c r="E65" i="46"/>
  <c r="E64" i="46"/>
  <c r="E63" i="46"/>
  <c r="E58" i="46"/>
  <c r="E39" i="46"/>
  <c r="E101" i="46"/>
  <c r="E102" i="46"/>
  <c r="E68" i="46"/>
  <c r="E67" i="46"/>
  <c r="E66" i="46"/>
  <c r="E156" i="46"/>
  <c r="E114" i="46"/>
  <c r="E113" i="46"/>
  <c r="E149" i="46"/>
  <c r="E128" i="46"/>
  <c r="E150" i="46"/>
  <c r="E71" i="46"/>
  <c r="E22" i="46"/>
  <c r="E42" i="46"/>
  <c r="E152" i="46"/>
  <c r="E151" i="46"/>
  <c r="E145" i="46"/>
  <c r="E134" i="46"/>
  <c r="E77" i="46"/>
  <c r="E89" i="46"/>
  <c r="E20" i="46"/>
  <c r="E162" i="46"/>
  <c r="E148" i="46"/>
  <c r="E41" i="46"/>
  <c r="E40" i="46"/>
  <c r="E146" i="46"/>
  <c r="E46" i="46"/>
  <c r="E28" i="46"/>
  <c r="E87" i="46"/>
  <c r="E50" i="46"/>
  <c r="E49" i="46"/>
  <c r="E45" i="46"/>
  <c r="E142" i="46"/>
  <c r="E29" i="46"/>
  <c r="E48" i="46"/>
  <c r="E33" i="46"/>
  <c r="E159" i="46"/>
  <c r="E125" i="46"/>
  <c r="E13" i="46"/>
  <c r="E73" i="46"/>
  <c r="E100" i="46"/>
  <c r="E99" i="46"/>
  <c r="E27" i="46"/>
  <c r="E157" i="46"/>
  <c r="E137" i="46"/>
  <c r="E130" i="46"/>
  <c r="E95" i="46"/>
  <c r="E83" i="46"/>
  <c r="E141" i="46"/>
  <c r="E52" i="46"/>
  <c r="E88" i="46"/>
  <c r="E126" i="46"/>
  <c r="E32" i="46"/>
  <c r="E23" i="46"/>
  <c r="E51" i="46"/>
  <c r="E129" i="46"/>
  <c r="E31" i="46"/>
  <c r="E30" i="46"/>
  <c r="E47" i="46"/>
  <c r="E36" i="46"/>
  <c r="E85" i="46"/>
  <c r="E140" i="46"/>
  <c r="E158" i="46"/>
  <c r="E17" i="46"/>
  <c r="E82" i="46"/>
  <c r="E153" i="46"/>
  <c r="E118" i="46"/>
  <c r="E131" i="46"/>
  <c r="E117" i="46"/>
  <c r="E97" i="46"/>
  <c r="E15" i="46"/>
  <c r="E34" i="46"/>
  <c r="E90" i="46"/>
  <c r="E112" i="46"/>
  <c r="E24" i="46"/>
  <c r="E53" i="46"/>
  <c r="E25" i="46"/>
  <c r="E147" i="46"/>
  <c r="E92" i="46"/>
  <c r="E139" i="46"/>
  <c r="E14" i="46"/>
  <c r="E6" i="46"/>
  <c r="E155" i="46"/>
  <c r="E154" i="46"/>
  <c r="E122" i="46"/>
  <c r="E93" i="46"/>
  <c r="E44" i="46"/>
  <c r="E78" i="46"/>
  <c r="E94" i="46"/>
  <c r="E171" i="46"/>
  <c r="E164" i="46"/>
  <c r="E170" i="46"/>
  <c r="E165" i="46"/>
  <c r="E166" i="46"/>
  <c r="E167" i="46"/>
  <c r="E168" i="46"/>
  <c r="E169" i="46"/>
  <c r="E181" i="46"/>
  <c r="E178" i="46"/>
  <c r="E190" i="46"/>
  <c r="E184" i="46"/>
  <c r="E191" i="46"/>
  <c r="E175" i="46"/>
  <c r="E187" i="46"/>
  <c r="E180" i="46"/>
  <c r="E174" i="46"/>
  <c r="E194" i="46"/>
  <c r="E188" i="46"/>
  <c r="E185" i="46"/>
  <c r="E172" i="46"/>
  <c r="E177" i="46"/>
  <c r="E195" i="46"/>
  <c r="E183" i="46"/>
  <c r="E186" i="46"/>
  <c r="E196" i="46"/>
  <c r="E179" i="46"/>
  <c r="E193" i="46"/>
  <c r="E192" i="46"/>
  <c r="E176" i="46"/>
  <c r="E173" i="46"/>
  <c r="E189" i="46"/>
  <c r="E182" i="46"/>
  <c r="E198" i="46"/>
  <c r="E199" i="46"/>
  <c r="E197" i="46"/>
  <c r="E200" i="46"/>
  <c r="E208" i="46"/>
  <c r="E233" i="46"/>
  <c r="E204" i="46"/>
  <c r="E239" i="46"/>
  <c r="E263" i="46"/>
  <c r="E261" i="46"/>
  <c r="E201" i="46"/>
  <c r="E207" i="46"/>
  <c r="E210" i="46"/>
  <c r="E211" i="46"/>
  <c r="E216" i="46"/>
  <c r="E217" i="46"/>
  <c r="E218" i="46"/>
  <c r="E226" i="46"/>
  <c r="E241" i="46"/>
  <c r="E242" i="46"/>
  <c r="E243" i="46"/>
  <c r="E258" i="46"/>
  <c r="E209" i="46"/>
  <c r="E230" i="46"/>
  <c r="E234" i="46"/>
  <c r="E246" i="46"/>
  <c r="E247" i="46"/>
  <c r="E248" i="46"/>
  <c r="E250" i="46"/>
  <c r="E253" i="46"/>
  <c r="E254" i="46"/>
  <c r="E251" i="46"/>
  <c r="E252" i="46"/>
  <c r="E255" i="46"/>
  <c r="E249" i="46"/>
  <c r="E256" i="46"/>
  <c r="E206" i="46"/>
  <c r="E219" i="46"/>
  <c r="E220" i="46"/>
  <c r="E223" i="46"/>
  <c r="E266" i="46"/>
  <c r="E265" i="46"/>
  <c r="E228" i="46"/>
  <c r="E229" i="46"/>
  <c r="E259" i="46"/>
  <c r="E203" i="46"/>
  <c r="E235" i="46"/>
  <c r="E236" i="46"/>
  <c r="E237" i="46"/>
  <c r="E202" i="46"/>
  <c r="E205" i="46"/>
  <c r="E212" i="46"/>
  <c r="E214" i="46"/>
  <c r="E215" i="46"/>
  <c r="E221" i="46"/>
  <c r="E222" i="46"/>
  <c r="E224" i="46"/>
  <c r="E225" i="46"/>
  <c r="E227" i="46"/>
  <c r="E231" i="46"/>
  <c r="E232" i="46"/>
  <c r="E238" i="46"/>
  <c r="E240" i="46"/>
  <c r="E244" i="46"/>
  <c r="E245" i="46"/>
  <c r="E260" i="46"/>
  <c r="E262" i="46"/>
  <c r="E264" i="46"/>
  <c r="E267" i="46"/>
  <c r="E257" i="46"/>
  <c r="E213" i="46"/>
  <c r="E274" i="46"/>
  <c r="E271" i="46"/>
  <c r="E275" i="46"/>
  <c r="E279" i="46"/>
  <c r="E268" i="46"/>
  <c r="E281" i="46"/>
  <c r="E269" i="46"/>
  <c r="E278" i="46"/>
  <c r="E280" i="46"/>
  <c r="E282" i="46"/>
  <c r="E273" i="46"/>
  <c r="E270" i="46"/>
  <c r="E277" i="46"/>
  <c r="E272" i="46"/>
  <c r="E276" i="46"/>
  <c r="E283" i="46"/>
  <c r="E285" i="46"/>
  <c r="E284" i="46"/>
  <c r="E291" i="46"/>
  <c r="E293" i="46"/>
  <c r="E294" i="46"/>
  <c r="E290" i="46"/>
  <c r="E287" i="46"/>
  <c r="E288" i="46"/>
  <c r="E289" i="46"/>
  <c r="E292" i="46"/>
  <c r="E286" i="46"/>
  <c r="E295" i="46"/>
  <c r="E296" i="46"/>
  <c r="E297" i="46"/>
  <c r="E308" i="46"/>
  <c r="E312" i="46"/>
  <c r="E313" i="46"/>
  <c r="E314" i="46"/>
  <c r="E315" i="46"/>
  <c r="E316" i="46"/>
  <c r="E317" i="46"/>
  <c r="E333" i="46"/>
  <c r="E321" i="46"/>
  <c r="E338" i="46"/>
  <c r="E319" i="46"/>
  <c r="E322" i="46"/>
  <c r="E324" i="46"/>
  <c r="E325" i="46"/>
  <c r="E326" i="46"/>
  <c r="E327" i="46"/>
  <c r="E328" i="46"/>
  <c r="E329" i="46"/>
  <c r="E330" i="46"/>
  <c r="E331" i="46"/>
  <c r="E334" i="46"/>
  <c r="E344" i="46"/>
  <c r="E302" i="46"/>
  <c r="E307" i="46"/>
  <c r="E299" i="46"/>
  <c r="E309" i="46"/>
  <c r="E310" i="46"/>
  <c r="E298" i="46"/>
  <c r="E300" i="46"/>
  <c r="E301" i="46"/>
  <c r="E303" i="46"/>
  <c r="E304" i="46"/>
  <c r="E305" i="46"/>
  <c r="E306" i="46"/>
  <c r="E311" i="46"/>
  <c r="E320" i="46"/>
  <c r="E323" i="46"/>
  <c r="E332" i="46"/>
  <c r="E335" i="46"/>
  <c r="E336" i="46"/>
  <c r="E337" i="46"/>
  <c r="E339" i="46"/>
  <c r="E340" i="46"/>
  <c r="E341" i="46"/>
  <c r="E342" i="46"/>
  <c r="E343" i="46"/>
  <c r="E318" i="46"/>
  <c r="E345" i="46"/>
  <c r="E346" i="46"/>
  <c r="E347" i="46"/>
  <c r="E348" i="46"/>
  <c r="E349" i="46"/>
  <c r="E350" i="46"/>
  <c r="E351" i="46"/>
  <c r="E354" i="46"/>
  <c r="E356" i="46"/>
  <c r="E352" i="46"/>
  <c r="E353" i="46"/>
  <c r="E355" i="46"/>
  <c r="E373" i="46"/>
  <c r="E357" i="46"/>
  <c r="E358" i="46"/>
  <c r="E361" i="46"/>
  <c r="E366" i="46"/>
  <c r="E369" i="46"/>
  <c r="E371" i="46"/>
  <c r="E372" i="46"/>
  <c r="E359" i="46"/>
  <c r="E360" i="46"/>
  <c r="E362" i="46"/>
  <c r="E365" i="46"/>
  <c r="E364" i="46"/>
  <c r="E367" i="46"/>
  <c r="E368" i="46"/>
  <c r="E370" i="46"/>
  <c r="E374" i="46"/>
  <c r="E375" i="46"/>
  <c r="E376" i="46"/>
  <c r="E363" i="46"/>
  <c r="E378" i="46"/>
  <c r="E377" i="46"/>
  <c r="E379" i="46"/>
  <c r="E380" i="46"/>
  <c r="E381" i="46"/>
  <c r="E382" i="46"/>
  <c r="E383" i="46"/>
  <c r="E384" i="46"/>
  <c r="E385" i="46"/>
  <c r="E387" i="46"/>
  <c r="E386" i="46"/>
  <c r="E390" i="46"/>
  <c r="E388" i="46"/>
  <c r="E389" i="46"/>
  <c r="E391" i="46"/>
  <c r="E393" i="46"/>
  <c r="E394" i="46"/>
  <c r="E396" i="46"/>
  <c r="E397" i="46"/>
  <c r="E395" i="46"/>
  <c r="E392" i="46"/>
  <c r="E398" i="46"/>
  <c r="E408" i="46"/>
  <c r="E427" i="46"/>
  <c r="E415" i="46"/>
  <c r="E431" i="46"/>
  <c r="E432" i="46"/>
  <c r="E406" i="46"/>
  <c r="E407" i="46"/>
  <c r="E409" i="46"/>
  <c r="E422" i="46"/>
  <c r="E436" i="46"/>
  <c r="E430" i="46"/>
  <c r="E438" i="46"/>
  <c r="E410" i="46"/>
  <c r="E411" i="46"/>
  <c r="E421" i="46"/>
  <c r="E437" i="46"/>
  <c r="E416" i="46"/>
  <c r="E428" i="46"/>
  <c r="E434" i="46"/>
  <c r="E405" i="46"/>
  <c r="E435" i="46"/>
  <c r="E414" i="46"/>
  <c r="E413" i="46"/>
  <c r="E420" i="46"/>
  <c r="E429" i="46"/>
  <c r="E425" i="46"/>
  <c r="E417" i="46"/>
  <c r="E424" i="46"/>
  <c r="E419" i="46"/>
  <c r="E418" i="46"/>
  <c r="E433" i="46"/>
  <c r="E412" i="46"/>
  <c r="E426" i="46"/>
  <c r="E423" i="46"/>
  <c r="E402" i="46"/>
  <c r="E403" i="46"/>
  <c r="E404" i="46"/>
  <c r="E401" i="46"/>
  <c r="E399" i="46"/>
  <c r="E400" i="46"/>
  <c r="E439" i="46"/>
  <c r="E440" i="46"/>
  <c r="E441" i="46"/>
  <c r="E443" i="46"/>
  <c r="E442" i="46"/>
  <c r="E460" i="46"/>
  <c r="E452" i="46"/>
  <c r="E480" i="46"/>
  <c r="E446" i="46"/>
  <c r="E447" i="46"/>
  <c r="E477" i="46"/>
  <c r="E482" i="46"/>
  <c r="E444" i="46"/>
  <c r="E450" i="46"/>
  <c r="E451" i="46"/>
  <c r="E453" i="46"/>
  <c r="E463" i="46"/>
  <c r="E464" i="46"/>
  <c r="E479" i="46"/>
  <c r="E481" i="46"/>
  <c r="E489" i="46"/>
  <c r="E490" i="46"/>
  <c r="E483" i="46"/>
  <c r="E448" i="46"/>
  <c r="E449" i="46"/>
  <c r="E461" i="46"/>
  <c r="E467" i="46"/>
  <c r="E469" i="46"/>
  <c r="E470" i="46"/>
  <c r="E471" i="46"/>
  <c r="E472" i="46"/>
  <c r="E473" i="46"/>
  <c r="E475" i="46"/>
  <c r="E476" i="46"/>
  <c r="E485" i="46"/>
  <c r="E454" i="46"/>
  <c r="E458" i="46"/>
  <c r="E474" i="46"/>
  <c r="E445" i="46"/>
  <c r="E455" i="46"/>
  <c r="E456" i="46"/>
  <c r="E457" i="46"/>
  <c r="E459" i="46"/>
  <c r="E462" i="46"/>
  <c r="E465" i="46"/>
  <c r="E468" i="46"/>
  <c r="E478" i="46"/>
  <c r="E484" i="46"/>
  <c r="E486" i="46"/>
  <c r="E487" i="46"/>
  <c r="E488" i="46"/>
  <c r="E466" i="46"/>
  <c r="E493" i="46"/>
  <c r="E494" i="46"/>
  <c r="E492" i="46"/>
  <c r="E491" i="46"/>
  <c r="E495" i="46"/>
  <c r="E496" i="46"/>
  <c r="E508" i="46"/>
  <c r="E497" i="46"/>
  <c r="E498" i="46"/>
  <c r="E500" i="46"/>
  <c r="E501" i="46"/>
  <c r="E503" i="46"/>
  <c r="E504" i="46"/>
  <c r="E505" i="46"/>
  <c r="E506" i="46"/>
  <c r="E507" i="46"/>
  <c r="E509" i="46"/>
  <c r="E510" i="46"/>
  <c r="E511" i="46"/>
  <c r="E512" i="46"/>
  <c r="E513" i="46"/>
  <c r="E514" i="46"/>
  <c r="E515" i="46"/>
  <c r="E516" i="46"/>
  <c r="E517" i="46"/>
  <c r="E518" i="46"/>
  <c r="E519" i="46"/>
  <c r="E520" i="46"/>
  <c r="E522" i="46"/>
  <c r="E523" i="46"/>
  <c r="E524" i="46"/>
  <c r="E525" i="46"/>
  <c r="E526" i="46"/>
  <c r="E527" i="46"/>
  <c r="E529" i="46"/>
  <c r="E530" i="46"/>
  <c r="E531" i="46"/>
  <c r="E532" i="46"/>
  <c r="E533" i="46"/>
  <c r="E534" i="46"/>
  <c r="E535" i="46"/>
  <c r="E536" i="46"/>
  <c r="E539" i="46"/>
  <c r="E540" i="46"/>
  <c r="E542" i="46"/>
  <c r="E543" i="46"/>
  <c r="E545" i="46"/>
  <c r="E546" i="46"/>
  <c r="E548" i="46"/>
  <c r="E549" i="46"/>
  <c r="E550" i="46"/>
  <c r="E552" i="46"/>
  <c r="E553" i="46"/>
  <c r="E554" i="46"/>
  <c r="E555" i="46"/>
  <c r="E556" i="46"/>
  <c r="E557" i="46"/>
  <c r="E558" i="46"/>
  <c r="E559" i="46"/>
  <c r="E563" i="46"/>
  <c r="E564" i="46"/>
  <c r="E565" i="46"/>
  <c r="E544" i="46"/>
  <c r="E537" i="46"/>
  <c r="E499" i="46"/>
  <c r="E547" i="46"/>
  <c r="E560" i="46"/>
  <c r="E561" i="46"/>
  <c r="E562" i="46"/>
  <c r="E502" i="46"/>
  <c r="E538" i="46"/>
  <c r="E528" i="46"/>
  <c r="E541" i="46"/>
  <c r="E551" i="46"/>
  <c r="E521" i="46"/>
  <c r="E566" i="46"/>
  <c r="E568" i="46"/>
  <c r="E577" i="46"/>
  <c r="E574" i="46"/>
  <c r="E569" i="46"/>
  <c r="E570" i="46"/>
  <c r="E572" i="46"/>
  <c r="E567" i="46"/>
  <c r="E575" i="46"/>
  <c r="E571" i="46"/>
  <c r="E573" i="46"/>
  <c r="E576" i="46"/>
  <c r="E578" i="46"/>
  <c r="E579" i="46"/>
  <c r="E581" i="46"/>
  <c r="E580" i="46"/>
  <c r="E582" i="46"/>
  <c r="E583" i="46"/>
  <c r="E585" i="46"/>
  <c r="E584" i="46"/>
  <c r="E601" i="46"/>
  <c r="E596" i="46"/>
  <c r="E595" i="46"/>
  <c r="E606" i="46"/>
  <c r="E607" i="46"/>
  <c r="E611" i="46"/>
  <c r="E603" i="46"/>
  <c r="E605" i="46"/>
  <c r="E588" i="46"/>
  <c r="E592" i="46"/>
  <c r="E598" i="46"/>
  <c r="E599" i="46"/>
  <c r="E600" i="46"/>
  <c r="E604" i="46"/>
  <c r="E612" i="46"/>
  <c r="E591" i="46"/>
  <c r="E594" i="46"/>
  <c r="E610" i="46"/>
  <c r="E613" i="46"/>
  <c r="E609" i="46"/>
  <c r="E608" i="46"/>
  <c r="E586" i="46"/>
  <c r="E602" i="46"/>
  <c r="E593" i="46"/>
  <c r="E589" i="46"/>
  <c r="E590" i="46"/>
  <c r="E587" i="46"/>
  <c r="E597" i="46"/>
  <c r="E614" i="46"/>
  <c r="E615" i="46"/>
  <c r="E617" i="46"/>
  <c r="E616" i="46"/>
  <c r="E618" i="46"/>
  <c r="E622" i="46"/>
  <c r="E621" i="46"/>
  <c r="E623" i="46"/>
  <c r="E619" i="46"/>
  <c r="E620" i="46"/>
  <c r="E3" i="46"/>
  <c r="H4" i="46"/>
  <c r="H2" i="46"/>
  <c r="H5" i="46"/>
  <c r="H143" i="46"/>
  <c r="H8" i="46"/>
  <c r="H86" i="46"/>
  <c r="H138" i="46"/>
  <c r="H9" i="46"/>
  <c r="H98" i="46"/>
  <c r="H55" i="46"/>
  <c r="H54" i="46"/>
  <c r="H74" i="46"/>
  <c r="H105" i="46"/>
  <c r="H108" i="46"/>
  <c r="H104" i="46"/>
  <c r="H111" i="46"/>
  <c r="H109" i="46"/>
  <c r="H110" i="46"/>
  <c r="H107" i="46"/>
  <c r="H26" i="46"/>
  <c r="H106" i="46"/>
  <c r="H35" i="46"/>
  <c r="H123" i="46"/>
  <c r="H120" i="46"/>
  <c r="H75" i="46"/>
  <c r="H84" i="46"/>
  <c r="H80" i="46"/>
  <c r="H56" i="46"/>
  <c r="H163" i="46"/>
  <c r="H119" i="46"/>
  <c r="H70" i="46"/>
  <c r="H10" i="46"/>
  <c r="H11" i="46"/>
  <c r="H72" i="46"/>
  <c r="H69" i="46"/>
  <c r="H37" i="46"/>
  <c r="H161" i="46"/>
  <c r="H7" i="46"/>
  <c r="H38" i="46"/>
  <c r="H57" i="46"/>
  <c r="H60" i="46"/>
  <c r="H61" i="46"/>
  <c r="H62" i="46"/>
  <c r="H127" i="46"/>
  <c r="H160" i="46"/>
  <c r="H116" i="46"/>
  <c r="H79" i="46"/>
  <c r="H121" i="46"/>
  <c r="H144" i="46"/>
  <c r="H18" i="46"/>
  <c r="H19" i="46"/>
  <c r="H91" i="46"/>
  <c r="H103" i="46"/>
  <c r="H132" i="46"/>
  <c r="H135" i="46"/>
  <c r="H133" i="46"/>
  <c r="H136" i="46"/>
  <c r="H96" i="46"/>
  <c r="H115" i="46"/>
  <c r="H21" i="46"/>
  <c r="H43" i="46"/>
  <c r="H124" i="46"/>
  <c r="H76" i="46"/>
  <c r="H81" i="46"/>
  <c r="H16" i="46"/>
  <c r="H12" i="46"/>
  <c r="H59" i="46"/>
  <c r="H65" i="46"/>
  <c r="H64" i="46"/>
  <c r="H63" i="46"/>
  <c r="H58" i="46"/>
  <c r="H39" i="46"/>
  <c r="H101" i="46"/>
  <c r="H102" i="46"/>
  <c r="H68" i="46"/>
  <c r="H67" i="46"/>
  <c r="H66" i="46"/>
  <c r="H156" i="46"/>
  <c r="H114" i="46"/>
  <c r="H113" i="46"/>
  <c r="H149" i="46"/>
  <c r="H128" i="46"/>
  <c r="H150" i="46"/>
  <c r="H71" i="46"/>
  <c r="H22" i="46"/>
  <c r="H42" i="46"/>
  <c r="H152" i="46"/>
  <c r="H151" i="46"/>
  <c r="H145" i="46"/>
  <c r="H134" i="46"/>
  <c r="H77" i="46"/>
  <c r="H89" i="46"/>
  <c r="H20" i="46"/>
  <c r="H162" i="46"/>
  <c r="H148" i="46"/>
  <c r="H41" i="46"/>
  <c r="H40" i="46"/>
  <c r="H146" i="46"/>
  <c r="H46" i="46"/>
  <c r="H28" i="46"/>
  <c r="H87" i="46"/>
  <c r="H50" i="46"/>
  <c r="H49" i="46"/>
  <c r="H45" i="46"/>
  <c r="H142" i="46"/>
  <c r="H29" i="46"/>
  <c r="H48" i="46"/>
  <c r="H33" i="46"/>
  <c r="H159" i="46"/>
  <c r="H125" i="46"/>
  <c r="H13" i="46"/>
  <c r="H73" i="46"/>
  <c r="H100" i="46"/>
  <c r="H99" i="46"/>
  <c r="H27" i="46"/>
  <c r="H157" i="46"/>
  <c r="H137" i="46"/>
  <c r="H130" i="46"/>
  <c r="H95" i="46"/>
  <c r="H83" i="46"/>
  <c r="H141" i="46"/>
  <c r="H52" i="46"/>
  <c r="H88" i="46"/>
  <c r="H126" i="46"/>
  <c r="H32" i="46"/>
  <c r="H23" i="46"/>
  <c r="H51" i="46"/>
  <c r="H129" i="46"/>
  <c r="H31" i="46"/>
  <c r="H30" i="46"/>
  <c r="H47" i="46"/>
  <c r="H36" i="46"/>
  <c r="H85" i="46"/>
  <c r="H140" i="46"/>
  <c r="H158" i="46"/>
  <c r="H17" i="46"/>
  <c r="H82" i="46"/>
  <c r="H153" i="46"/>
  <c r="H118" i="46"/>
  <c r="H131" i="46"/>
  <c r="H117" i="46"/>
  <c r="H97" i="46"/>
  <c r="H15" i="46"/>
  <c r="H34" i="46"/>
  <c r="H90" i="46"/>
  <c r="H112" i="46"/>
  <c r="H24" i="46"/>
  <c r="H53" i="46"/>
  <c r="H25" i="46"/>
  <c r="H147" i="46"/>
  <c r="H92" i="46"/>
  <c r="H139" i="46"/>
  <c r="H14" i="46"/>
  <c r="H6" i="46"/>
  <c r="H155" i="46"/>
  <c r="H154" i="46"/>
  <c r="H122" i="46"/>
  <c r="H93" i="46"/>
  <c r="H44" i="46"/>
  <c r="H78" i="46"/>
  <c r="H94" i="46"/>
  <c r="H171" i="46"/>
  <c r="H164" i="46"/>
  <c r="H170" i="46"/>
  <c r="H165" i="46"/>
  <c r="H166" i="46"/>
  <c r="H167" i="46"/>
  <c r="H168" i="46"/>
  <c r="H169" i="46"/>
  <c r="H181" i="46"/>
  <c r="H178" i="46"/>
  <c r="H190" i="46"/>
  <c r="H184" i="46"/>
  <c r="H191" i="46"/>
  <c r="H175" i="46"/>
  <c r="H187" i="46"/>
  <c r="H180" i="46"/>
  <c r="H174" i="46"/>
  <c r="H194" i="46"/>
  <c r="H188" i="46"/>
  <c r="H185" i="46"/>
  <c r="H172" i="46"/>
  <c r="H177" i="46"/>
  <c r="H195" i="46"/>
  <c r="H183" i="46"/>
  <c r="H186" i="46"/>
  <c r="H196" i="46"/>
  <c r="H179" i="46"/>
  <c r="H193" i="46"/>
  <c r="H192" i="46"/>
  <c r="H176" i="46"/>
  <c r="H173" i="46"/>
  <c r="H189" i="46"/>
  <c r="H182" i="46"/>
  <c r="H198" i="46"/>
  <c r="H199" i="46"/>
  <c r="H197" i="46"/>
  <c r="H200" i="46"/>
  <c r="H208" i="46"/>
  <c r="H233" i="46"/>
  <c r="H204" i="46"/>
  <c r="H239" i="46"/>
  <c r="H263" i="46"/>
  <c r="H261" i="46"/>
  <c r="H201" i="46"/>
  <c r="H207" i="46"/>
  <c r="H210" i="46"/>
  <c r="H211" i="46"/>
  <c r="H216" i="46"/>
  <c r="H217" i="46"/>
  <c r="H218" i="46"/>
  <c r="H226" i="46"/>
  <c r="H241" i="46"/>
  <c r="H242" i="46"/>
  <c r="H243" i="46"/>
  <c r="H258" i="46"/>
  <c r="H209" i="46"/>
  <c r="H230" i="46"/>
  <c r="H234" i="46"/>
  <c r="H246" i="46"/>
  <c r="H247" i="46"/>
  <c r="H248" i="46"/>
  <c r="H250" i="46"/>
  <c r="H253" i="46"/>
  <c r="H254" i="46"/>
  <c r="H251" i="46"/>
  <c r="H252" i="46"/>
  <c r="H255" i="46"/>
  <c r="H249" i="46"/>
  <c r="H256" i="46"/>
  <c r="H206" i="46"/>
  <c r="H219" i="46"/>
  <c r="H220" i="46"/>
  <c r="H223" i="46"/>
  <c r="H266" i="46"/>
  <c r="H265" i="46"/>
  <c r="H228" i="46"/>
  <c r="H229" i="46"/>
  <c r="H259" i="46"/>
  <c r="H203" i="46"/>
  <c r="H235" i="46"/>
  <c r="H236" i="46"/>
  <c r="H237" i="46"/>
  <c r="H202" i="46"/>
  <c r="H205" i="46"/>
  <c r="H212" i="46"/>
  <c r="H214" i="46"/>
  <c r="H215" i="46"/>
  <c r="H221" i="46"/>
  <c r="H222" i="46"/>
  <c r="H224" i="46"/>
  <c r="H225" i="46"/>
  <c r="H227" i="46"/>
  <c r="H231" i="46"/>
  <c r="H232" i="46"/>
  <c r="H238" i="46"/>
  <c r="H240" i="46"/>
  <c r="H244" i="46"/>
  <c r="H245" i="46"/>
  <c r="H260" i="46"/>
  <c r="H262" i="46"/>
  <c r="H264" i="46"/>
  <c r="H267" i="46"/>
  <c r="H257" i="46"/>
  <c r="H213" i="46"/>
  <c r="H274" i="46"/>
  <c r="H271" i="46"/>
  <c r="H275" i="46"/>
  <c r="H279" i="46"/>
  <c r="H268" i="46"/>
  <c r="H281" i="46"/>
  <c r="H269" i="46"/>
  <c r="H278" i="46"/>
  <c r="H280" i="46"/>
  <c r="H282" i="46"/>
  <c r="H273" i="46"/>
  <c r="H270" i="46"/>
  <c r="H277" i="46"/>
  <c r="H272" i="46"/>
  <c r="H276" i="46"/>
  <c r="H283" i="46"/>
  <c r="H285" i="46"/>
  <c r="H284" i="46"/>
  <c r="H291" i="46"/>
  <c r="H293" i="46"/>
  <c r="H294" i="46"/>
  <c r="H290" i="46"/>
  <c r="H287" i="46"/>
  <c r="H288" i="46"/>
  <c r="H289" i="46"/>
  <c r="H292" i="46"/>
  <c r="H286" i="46"/>
  <c r="H295" i="46"/>
  <c r="H296" i="46"/>
  <c r="H297" i="46"/>
  <c r="H308" i="46"/>
  <c r="H312" i="46"/>
  <c r="H313" i="46"/>
  <c r="H314" i="46"/>
  <c r="H315" i="46"/>
  <c r="H316" i="46"/>
  <c r="H317" i="46"/>
  <c r="H333" i="46"/>
  <c r="H321" i="46"/>
  <c r="H338" i="46"/>
  <c r="H319" i="46"/>
  <c r="H322" i="46"/>
  <c r="H324" i="46"/>
  <c r="H325" i="46"/>
  <c r="H326" i="46"/>
  <c r="H327" i="46"/>
  <c r="H328" i="46"/>
  <c r="H329" i="46"/>
  <c r="H330" i="46"/>
  <c r="H331" i="46"/>
  <c r="H334" i="46"/>
  <c r="H344" i="46"/>
  <c r="H302" i="46"/>
  <c r="H307" i="46"/>
  <c r="H299" i="46"/>
  <c r="H309" i="46"/>
  <c r="H310" i="46"/>
  <c r="H298" i="46"/>
  <c r="H300" i="46"/>
  <c r="H301" i="46"/>
  <c r="H303" i="46"/>
  <c r="H304" i="46"/>
  <c r="H305" i="46"/>
  <c r="H306" i="46"/>
  <c r="H311" i="46"/>
  <c r="H320" i="46"/>
  <c r="H323" i="46"/>
  <c r="H332" i="46"/>
  <c r="H335" i="46"/>
  <c r="H336" i="46"/>
  <c r="H337" i="46"/>
  <c r="H339" i="46"/>
  <c r="H340" i="46"/>
  <c r="H341" i="46"/>
  <c r="H342" i="46"/>
  <c r="H343" i="46"/>
  <c r="H318" i="46"/>
  <c r="H345" i="46"/>
  <c r="H346" i="46"/>
  <c r="H347" i="46"/>
  <c r="H348" i="46"/>
  <c r="H349" i="46"/>
  <c r="H350" i="46"/>
  <c r="H351" i="46"/>
  <c r="H354" i="46"/>
  <c r="H356" i="46"/>
  <c r="H352" i="46"/>
  <c r="H353" i="46"/>
  <c r="H355" i="46"/>
  <c r="H373" i="46"/>
  <c r="H357" i="46"/>
  <c r="H358" i="46"/>
  <c r="H361" i="46"/>
  <c r="H366" i="46"/>
  <c r="H369" i="46"/>
  <c r="H371" i="46"/>
  <c r="H372" i="46"/>
  <c r="H359" i="46"/>
  <c r="H360" i="46"/>
  <c r="H362" i="46"/>
  <c r="H365" i="46"/>
  <c r="H364" i="46"/>
  <c r="H367" i="46"/>
  <c r="H368" i="46"/>
  <c r="H370" i="46"/>
  <c r="H374" i="46"/>
  <c r="H375" i="46"/>
  <c r="H376" i="46"/>
  <c r="H363" i="46"/>
  <c r="H378" i="46"/>
  <c r="H377" i="46"/>
  <c r="H379" i="46"/>
  <c r="H380" i="46"/>
  <c r="H381" i="46"/>
  <c r="H382" i="46"/>
  <c r="H383" i="46"/>
  <c r="H384" i="46"/>
  <c r="H385" i="46"/>
  <c r="H387" i="46"/>
  <c r="H386" i="46"/>
  <c r="H390" i="46"/>
  <c r="H388" i="46"/>
  <c r="H389" i="46"/>
  <c r="H391" i="46"/>
  <c r="H393" i="46"/>
  <c r="H394" i="46"/>
  <c r="H396" i="46"/>
  <c r="H397" i="46"/>
  <c r="H395" i="46"/>
  <c r="H392" i="46"/>
  <c r="H398" i="46"/>
  <c r="H408" i="46"/>
  <c r="H427" i="46"/>
  <c r="H415" i="46"/>
  <c r="H431" i="46"/>
  <c r="H432" i="46"/>
  <c r="H406" i="46"/>
  <c r="H407" i="46"/>
  <c r="H409" i="46"/>
  <c r="H422" i="46"/>
  <c r="H436" i="46"/>
  <c r="H430" i="46"/>
  <c r="H438" i="46"/>
  <c r="H410" i="46"/>
  <c r="H411" i="46"/>
  <c r="H421" i="46"/>
  <c r="H437" i="46"/>
  <c r="H416" i="46"/>
  <c r="H428" i="46"/>
  <c r="H434" i="46"/>
  <c r="H405" i="46"/>
  <c r="H435" i="46"/>
  <c r="H414" i="46"/>
  <c r="H413" i="46"/>
  <c r="H420" i="46"/>
  <c r="H429" i="46"/>
  <c r="H425" i="46"/>
  <c r="H417" i="46"/>
  <c r="H424" i="46"/>
  <c r="H419" i="46"/>
  <c r="H418" i="46"/>
  <c r="H433" i="46"/>
  <c r="H412" i="46"/>
  <c r="H426" i="46"/>
  <c r="H423" i="46"/>
  <c r="H402" i="46"/>
  <c r="H403" i="46"/>
  <c r="H404" i="46"/>
  <c r="H401" i="46"/>
  <c r="H399" i="46"/>
  <c r="H400" i="46"/>
  <c r="H439" i="46"/>
  <c r="H440" i="46"/>
  <c r="H441" i="46"/>
  <c r="H443" i="46"/>
  <c r="H442" i="46"/>
  <c r="H460" i="46"/>
  <c r="H452" i="46"/>
  <c r="H480" i="46"/>
  <c r="H446" i="46"/>
  <c r="H447" i="46"/>
  <c r="H477" i="46"/>
  <c r="H482" i="46"/>
  <c r="H444" i="46"/>
  <c r="H450" i="46"/>
  <c r="H451" i="46"/>
  <c r="H453" i="46"/>
  <c r="H463" i="46"/>
  <c r="H464" i="46"/>
  <c r="H479" i="46"/>
  <c r="H481" i="46"/>
  <c r="H489" i="46"/>
  <c r="H490" i="46"/>
  <c r="H483" i="46"/>
  <c r="H448" i="46"/>
  <c r="H449" i="46"/>
  <c r="H461" i="46"/>
  <c r="H467" i="46"/>
  <c r="H469" i="46"/>
  <c r="H470" i="46"/>
  <c r="H471" i="46"/>
  <c r="H472" i="46"/>
  <c r="H473" i="46"/>
  <c r="H475" i="46"/>
  <c r="H476" i="46"/>
  <c r="H485" i="46"/>
  <c r="H454" i="46"/>
  <c r="H458" i="46"/>
  <c r="H474" i="46"/>
  <c r="H445" i="46"/>
  <c r="H455" i="46"/>
  <c r="H456" i="46"/>
  <c r="H457" i="46"/>
  <c r="H459" i="46"/>
  <c r="H462" i="46"/>
  <c r="H465" i="46"/>
  <c r="H468" i="46"/>
  <c r="H478" i="46"/>
  <c r="H484" i="46"/>
  <c r="H486" i="46"/>
  <c r="H487" i="46"/>
  <c r="H488" i="46"/>
  <c r="H466" i="46"/>
  <c r="H493" i="46"/>
  <c r="H494" i="46"/>
  <c r="H492" i="46"/>
  <c r="H491" i="46"/>
  <c r="H495" i="46"/>
  <c r="H496" i="46"/>
  <c r="H508" i="46"/>
  <c r="H497" i="46"/>
  <c r="H498" i="46"/>
  <c r="H500" i="46"/>
  <c r="H501" i="46"/>
  <c r="H503" i="46"/>
  <c r="H504" i="46"/>
  <c r="H505" i="46"/>
  <c r="H506" i="46"/>
  <c r="H507" i="46"/>
  <c r="H509" i="46"/>
  <c r="H510" i="46"/>
  <c r="H511" i="46"/>
  <c r="H512" i="46"/>
  <c r="H513" i="46"/>
  <c r="H514" i="46"/>
  <c r="H515" i="46"/>
  <c r="H516" i="46"/>
  <c r="H517" i="46"/>
  <c r="H518" i="46"/>
  <c r="H519" i="46"/>
  <c r="H520" i="46"/>
  <c r="H522" i="46"/>
  <c r="H523" i="46"/>
  <c r="H524" i="46"/>
  <c r="H525" i="46"/>
  <c r="H526" i="46"/>
  <c r="H527" i="46"/>
  <c r="H529" i="46"/>
  <c r="H530" i="46"/>
  <c r="H531" i="46"/>
  <c r="H532" i="46"/>
  <c r="H533" i="46"/>
  <c r="H534" i="46"/>
  <c r="H535" i="46"/>
  <c r="H536" i="46"/>
  <c r="H539" i="46"/>
  <c r="H540" i="46"/>
  <c r="H542" i="46"/>
  <c r="H543" i="46"/>
  <c r="H545" i="46"/>
  <c r="H546" i="46"/>
  <c r="H548" i="46"/>
  <c r="H549" i="46"/>
  <c r="H550" i="46"/>
  <c r="H552" i="46"/>
  <c r="H553" i="46"/>
  <c r="H554" i="46"/>
  <c r="H555" i="46"/>
  <c r="H556" i="46"/>
  <c r="H557" i="46"/>
  <c r="H558" i="46"/>
  <c r="H559" i="46"/>
  <c r="H563" i="46"/>
  <c r="H564" i="46"/>
  <c r="H565" i="46"/>
  <c r="H544" i="46"/>
  <c r="H537" i="46"/>
  <c r="H499" i="46"/>
  <c r="H547" i="46"/>
  <c r="H560" i="46"/>
  <c r="H561" i="46"/>
  <c r="H562" i="46"/>
  <c r="H502" i="46"/>
  <c r="H538" i="46"/>
  <c r="H528" i="46"/>
  <c r="H541" i="46"/>
  <c r="H551" i="46"/>
  <c r="H521" i="46"/>
  <c r="H566" i="46"/>
  <c r="H568" i="46"/>
  <c r="H577" i="46"/>
  <c r="H574" i="46"/>
  <c r="H569" i="46"/>
  <c r="H570" i="46"/>
  <c r="H572" i="46"/>
  <c r="H567" i="46"/>
  <c r="H575" i="46"/>
  <c r="H571" i="46"/>
  <c r="H573" i="46"/>
  <c r="H576" i="46"/>
  <c r="H578" i="46"/>
  <c r="H579" i="46"/>
  <c r="H581" i="46"/>
  <c r="H580" i="46"/>
  <c r="H582" i="46"/>
  <c r="H583" i="46"/>
  <c r="H585" i="46"/>
  <c r="H584" i="46"/>
  <c r="H601" i="46"/>
  <c r="H596" i="46"/>
  <c r="H595" i="46"/>
  <c r="H606" i="46"/>
  <c r="H607" i="46"/>
  <c r="H611" i="46"/>
  <c r="H603" i="46"/>
  <c r="H605" i="46"/>
  <c r="H588" i="46"/>
  <c r="H592" i="46"/>
  <c r="H598" i="46"/>
  <c r="H599" i="46"/>
  <c r="H600" i="46"/>
  <c r="H604" i="46"/>
  <c r="H612" i="46"/>
  <c r="H591" i="46"/>
  <c r="H594" i="46"/>
  <c r="H610" i="46"/>
  <c r="H613" i="46"/>
  <c r="H609" i="46"/>
  <c r="H608" i="46"/>
  <c r="H586" i="46"/>
  <c r="H602" i="46"/>
  <c r="H593" i="46"/>
  <c r="H589" i="46"/>
  <c r="H590" i="46"/>
  <c r="H587" i="46"/>
  <c r="H597" i="46"/>
  <c r="H614" i="46"/>
  <c r="H615" i="46"/>
  <c r="H617" i="46"/>
  <c r="H616" i="46"/>
  <c r="H618" i="46"/>
  <c r="H622" i="46"/>
  <c r="H621" i="46"/>
  <c r="H623" i="46"/>
  <c r="H619" i="46"/>
  <c r="H620" i="46"/>
  <c r="H3" i="46"/>
  <c r="Y27" i="38" l="1"/>
  <c r="Y28" i="38"/>
  <c r="Y24" i="38"/>
  <c r="Y25" i="38"/>
  <c r="Y29" i="38"/>
  <c r="Y23" i="38"/>
  <c r="Y30" i="38"/>
  <c r="Y26" i="38"/>
  <c r="V30" i="38"/>
  <c r="V28" i="38"/>
  <c r="V27" i="38"/>
  <c r="P28" i="38"/>
  <c r="S28" i="38"/>
  <c r="P29" i="38"/>
  <c r="S29" i="38"/>
  <c r="S27" i="38"/>
  <c r="S30" i="38"/>
  <c r="P27" i="38"/>
  <c r="P30" i="38"/>
  <c r="J29" i="38"/>
  <c r="K29" i="38" s="1"/>
  <c r="M27" i="38"/>
  <c r="M30" i="38"/>
  <c r="M28" i="38"/>
  <c r="M29" i="38"/>
  <c r="J28" i="38"/>
  <c r="K28" i="38" s="1"/>
  <c r="J26" i="38"/>
  <c r="J27" i="38"/>
  <c r="K27" i="38" s="1"/>
  <c r="J23" i="38"/>
  <c r="J24" i="38"/>
  <c r="J25" i="38"/>
  <c r="J30" i="38"/>
  <c r="K30" i="38" s="1"/>
  <c r="T24" i="38"/>
  <c r="W24" i="38" s="1"/>
  <c r="Z24" i="38" s="1"/>
  <c r="K23" i="38" l="1"/>
  <c r="K26" i="38"/>
  <c r="N26" i="38" s="1"/>
  <c r="Q26" i="38" s="1"/>
  <c r="T26" i="38" l="1"/>
  <c r="W26" i="38" s="1"/>
  <c r="Z26" i="38" s="1"/>
  <c r="N23" i="38"/>
  <c r="N29" i="38" s="1"/>
  <c r="N30" i="38" l="1"/>
  <c r="Q23" i="38"/>
  <c r="T23" i="38" s="1"/>
  <c r="W23" i="38" s="1"/>
  <c r="Z23" i="38" s="1"/>
  <c r="N27" i="38"/>
  <c r="N28" i="38"/>
  <c r="AB17" i="4"/>
  <c r="AG17" i="4"/>
  <c r="AL17" i="4"/>
  <c r="AQ17" i="4"/>
  <c r="AV17" i="4"/>
  <c r="BA17" i="4"/>
  <c r="AB9" i="4"/>
  <c r="AG9" i="4"/>
  <c r="AL9" i="4"/>
  <c r="AQ9" i="4"/>
  <c r="AV9" i="4"/>
  <c r="BA9" i="4"/>
  <c r="Y9" i="4"/>
  <c r="Y17" i="4"/>
  <c r="E10" i="4"/>
  <c r="F10" i="4" s="1"/>
  <c r="G10" i="4" s="1"/>
  <c r="H10" i="4" s="1"/>
  <c r="I10" i="4" s="1"/>
  <c r="J10" i="4" s="1"/>
  <c r="K10" i="4" s="1"/>
  <c r="L10" i="4" s="1"/>
  <c r="M10" i="4" s="1"/>
  <c r="N10" i="4" s="1"/>
  <c r="O10" i="4" s="1"/>
  <c r="P10" i="4" s="1"/>
  <c r="Q10" i="4" s="1"/>
  <c r="R10" i="4" s="1"/>
  <c r="S10" i="4" s="1"/>
  <c r="T10" i="4" s="1"/>
  <c r="U10" i="4" s="1"/>
  <c r="V10" i="4" s="1"/>
  <c r="W10" i="4" s="1"/>
  <c r="X10" i="4" s="1"/>
  <c r="Q28" i="38" l="1"/>
  <c r="T28" i="38" s="1"/>
  <c r="Q29" i="38"/>
  <c r="T29" i="38" s="1"/>
  <c r="W29" i="38" s="1"/>
  <c r="Z29" i="38" s="1"/>
  <c r="Q27" i="38"/>
  <c r="T27" i="38" s="1"/>
  <c r="Q30" i="38"/>
  <c r="T30" i="38" s="1"/>
  <c r="Y10" i="4"/>
  <c r="Y11" i="4" s="1"/>
  <c r="W28" i="38" l="1"/>
  <c r="Z28" i="38" s="1"/>
  <c r="G14" i="7"/>
  <c r="E7" i="4"/>
  <c r="F7" i="4" s="1"/>
  <c r="G7" i="4" s="1"/>
  <c r="H7" i="4" s="1"/>
  <c r="I7" i="4" s="1"/>
  <c r="J7" i="4" s="1"/>
  <c r="K7" i="4" s="1"/>
  <c r="L7" i="4" s="1"/>
  <c r="M7" i="4" s="1"/>
  <c r="N7" i="4" s="1"/>
  <c r="O7" i="4" s="1"/>
  <c r="P7" i="4" s="1"/>
  <c r="Q7" i="4" s="1"/>
  <c r="R7" i="4" s="1"/>
  <c r="S7" i="4" s="1"/>
  <c r="T7" i="4" s="1"/>
  <c r="U7" i="4" s="1"/>
  <c r="V7" i="4" s="1"/>
  <c r="W7" i="4" s="1"/>
  <c r="X7" i="4" s="1"/>
  <c r="E5" i="4"/>
  <c r="F5" i="4" l="1"/>
  <c r="E8" i="4"/>
  <c r="U16" i="7"/>
  <c r="U15" i="7"/>
  <c r="N14" i="7"/>
  <c r="T15" i="7"/>
  <c r="J15" i="7"/>
  <c r="G16" i="7"/>
  <c r="I14" i="7"/>
  <c r="I16" i="7"/>
  <c r="J14" i="7"/>
  <c r="J16" i="7"/>
  <c r="K14" i="7"/>
  <c r="K16" i="7"/>
  <c r="L14" i="7"/>
  <c r="L16" i="7"/>
  <c r="N16" i="7"/>
  <c r="O14" i="7"/>
  <c r="O16" i="7"/>
  <c r="P14" i="7"/>
  <c r="P16" i="7"/>
  <c r="Q14" i="7"/>
  <c r="Q16" i="7"/>
  <c r="S16" i="7"/>
  <c r="T14" i="7"/>
  <c r="T16" i="7"/>
  <c r="U14" i="7"/>
  <c r="V14" i="7"/>
  <c r="V16" i="7"/>
  <c r="X14" i="7"/>
  <c r="X16" i="7"/>
  <c r="Y14" i="7"/>
  <c r="Y16" i="7"/>
  <c r="Z14" i="7"/>
  <c r="Z16" i="7"/>
  <c r="AA14" i="7"/>
  <c r="AA16" i="7"/>
  <c r="AC14" i="7"/>
  <c r="AC16" i="7"/>
  <c r="AD14" i="7"/>
  <c r="AD16" i="7"/>
  <c r="AE14" i="7"/>
  <c r="AE16" i="7"/>
  <c r="AF14" i="7"/>
  <c r="AF16" i="7"/>
  <c r="G15" i="7"/>
  <c r="I15" i="7"/>
  <c r="K15" i="7"/>
  <c r="L15" i="7"/>
  <c r="N15" i="7"/>
  <c r="O15" i="7"/>
  <c r="P15" i="7"/>
  <c r="Q15" i="7"/>
  <c r="S15" i="7"/>
  <c r="X15" i="7"/>
  <c r="Y15" i="7"/>
  <c r="Z15" i="7"/>
  <c r="AC15" i="7"/>
  <c r="AD15" i="7"/>
  <c r="AE15" i="7"/>
  <c r="AF15" i="7"/>
  <c r="G154" i="7"/>
  <c r="G155" i="7"/>
  <c r="I154" i="7"/>
  <c r="I155" i="7"/>
  <c r="J154" i="7"/>
  <c r="J155" i="7"/>
  <c r="K154" i="7"/>
  <c r="K155" i="7"/>
  <c r="L154" i="7"/>
  <c r="L155" i="7"/>
  <c r="N154" i="7"/>
  <c r="N155" i="7"/>
  <c r="O154" i="7"/>
  <c r="O155" i="7"/>
  <c r="P154" i="7"/>
  <c r="P155" i="7"/>
  <c r="Q154" i="7"/>
  <c r="Q155" i="7"/>
  <c r="S154" i="7"/>
  <c r="S155" i="7"/>
  <c r="T154" i="7"/>
  <c r="T155" i="7"/>
  <c r="U154" i="7"/>
  <c r="U155" i="7"/>
  <c r="V154" i="7"/>
  <c r="V155" i="7"/>
  <c r="X154" i="7"/>
  <c r="X155" i="7"/>
  <c r="Y154" i="7"/>
  <c r="Y155" i="7"/>
  <c r="Z154" i="7"/>
  <c r="Z155" i="7"/>
  <c r="AA154" i="7"/>
  <c r="AA155" i="7"/>
  <c r="AC154" i="7"/>
  <c r="AC155" i="7"/>
  <c r="AD154" i="7"/>
  <c r="AD155" i="7"/>
  <c r="AE154" i="7"/>
  <c r="AE155" i="7"/>
  <c r="AF154" i="7"/>
  <c r="AF155" i="7"/>
  <c r="G153" i="7"/>
  <c r="I153" i="7"/>
  <c r="J153" i="7"/>
  <c r="K153" i="7"/>
  <c r="L153" i="7"/>
  <c r="N153" i="7"/>
  <c r="O153" i="7"/>
  <c r="P153" i="7"/>
  <c r="Q153" i="7"/>
  <c r="S153" i="7"/>
  <c r="T153" i="7"/>
  <c r="U153" i="7"/>
  <c r="V153" i="7"/>
  <c r="X153" i="7"/>
  <c r="Y153" i="7"/>
  <c r="Z153" i="7"/>
  <c r="AA153" i="7"/>
  <c r="AC153" i="7"/>
  <c r="AD153" i="7"/>
  <c r="AE153" i="7"/>
  <c r="AF153" i="7"/>
  <c r="G163" i="7"/>
  <c r="G164" i="7"/>
  <c r="I163" i="7"/>
  <c r="I164" i="7"/>
  <c r="J163" i="7"/>
  <c r="J164" i="7"/>
  <c r="K163" i="7"/>
  <c r="K164" i="7"/>
  <c r="L163" i="7"/>
  <c r="L164" i="7"/>
  <c r="N163" i="7"/>
  <c r="N164" i="7"/>
  <c r="O163" i="7"/>
  <c r="O164" i="7"/>
  <c r="P163" i="7"/>
  <c r="P164" i="7"/>
  <c r="Q163" i="7"/>
  <c r="Q164" i="7"/>
  <c r="S163" i="7"/>
  <c r="S164" i="7"/>
  <c r="T163" i="7"/>
  <c r="T164" i="7"/>
  <c r="U163" i="7"/>
  <c r="U164" i="7"/>
  <c r="V163" i="7"/>
  <c r="V164" i="7"/>
  <c r="X163" i="7"/>
  <c r="X164" i="7"/>
  <c r="Y163" i="7"/>
  <c r="Y164" i="7"/>
  <c r="Z163" i="7"/>
  <c r="Z164" i="7"/>
  <c r="AA163" i="7"/>
  <c r="AA164" i="7"/>
  <c r="AC163" i="7"/>
  <c r="AC164" i="7"/>
  <c r="AD163" i="7"/>
  <c r="AD164" i="7"/>
  <c r="AE163" i="7"/>
  <c r="AE164" i="7"/>
  <c r="AF163" i="7"/>
  <c r="AF164" i="7"/>
  <c r="G162" i="7"/>
  <c r="I162" i="7"/>
  <c r="J162" i="7"/>
  <c r="K162" i="7"/>
  <c r="L162" i="7"/>
  <c r="N162" i="7"/>
  <c r="O162" i="7"/>
  <c r="P162" i="7"/>
  <c r="Q162" i="7"/>
  <c r="S162" i="7"/>
  <c r="T162" i="7"/>
  <c r="U162" i="7"/>
  <c r="V162" i="7"/>
  <c r="X162" i="7"/>
  <c r="Y162" i="7"/>
  <c r="Z162" i="7"/>
  <c r="AA162" i="7"/>
  <c r="AC162" i="7"/>
  <c r="AD162" i="7"/>
  <c r="AE162" i="7"/>
  <c r="AF162" i="7"/>
  <c r="G105" i="7"/>
  <c r="G109" i="7"/>
  <c r="I105" i="7"/>
  <c r="I109" i="7"/>
  <c r="J105" i="7"/>
  <c r="J109" i="7"/>
  <c r="K105" i="7"/>
  <c r="K109" i="7"/>
  <c r="L105" i="7"/>
  <c r="L109" i="7"/>
  <c r="N105" i="7"/>
  <c r="N109" i="7"/>
  <c r="O105" i="7"/>
  <c r="O109" i="7"/>
  <c r="P105" i="7"/>
  <c r="P109" i="7"/>
  <c r="Q105" i="7"/>
  <c r="Q109" i="7"/>
  <c r="S105" i="7"/>
  <c r="S109" i="7"/>
  <c r="T105" i="7"/>
  <c r="T109" i="7"/>
  <c r="U105" i="7"/>
  <c r="U109" i="7"/>
  <c r="V105" i="7"/>
  <c r="V109" i="7"/>
  <c r="X105" i="7"/>
  <c r="X109" i="7"/>
  <c r="Y105" i="7"/>
  <c r="Y109" i="7"/>
  <c r="Z105" i="7"/>
  <c r="Z109" i="7"/>
  <c r="AA105" i="7"/>
  <c r="AA109" i="7"/>
  <c r="AC105" i="7"/>
  <c r="AC109" i="7"/>
  <c r="AD105" i="7"/>
  <c r="AD109" i="7"/>
  <c r="AE105" i="7"/>
  <c r="AE109" i="7"/>
  <c r="AF105" i="7"/>
  <c r="AF109" i="7"/>
  <c r="G106" i="7"/>
  <c r="I106" i="7"/>
  <c r="J106" i="7"/>
  <c r="K106" i="7"/>
  <c r="L106" i="7"/>
  <c r="N106" i="7"/>
  <c r="O106" i="7"/>
  <c r="P106" i="7"/>
  <c r="Q106" i="7"/>
  <c r="S106" i="7"/>
  <c r="T106" i="7"/>
  <c r="U106" i="7"/>
  <c r="V106" i="7"/>
  <c r="X106" i="7"/>
  <c r="Y106" i="7"/>
  <c r="Z106" i="7"/>
  <c r="AA106" i="7"/>
  <c r="AC106" i="7"/>
  <c r="AD106" i="7"/>
  <c r="AE106" i="7"/>
  <c r="AF106" i="7"/>
  <c r="G115" i="7"/>
  <c r="G116" i="7"/>
  <c r="I115" i="7"/>
  <c r="I116" i="7"/>
  <c r="J115" i="7"/>
  <c r="J116" i="7"/>
  <c r="K115" i="7"/>
  <c r="K116" i="7"/>
  <c r="L115" i="7"/>
  <c r="L116" i="7"/>
  <c r="N115" i="7"/>
  <c r="N116" i="7"/>
  <c r="O115" i="7"/>
  <c r="O116" i="7"/>
  <c r="P115" i="7"/>
  <c r="P116" i="7"/>
  <c r="Q115" i="7"/>
  <c r="Q116" i="7"/>
  <c r="S115" i="7"/>
  <c r="S116" i="7"/>
  <c r="T115" i="7"/>
  <c r="T116" i="7"/>
  <c r="U115" i="7"/>
  <c r="U116" i="7"/>
  <c r="V115" i="7"/>
  <c r="V116" i="7"/>
  <c r="X115" i="7"/>
  <c r="X116" i="7"/>
  <c r="Y115" i="7"/>
  <c r="Y116" i="7"/>
  <c r="Z115" i="7"/>
  <c r="Z116" i="7"/>
  <c r="AA115" i="7"/>
  <c r="AA116" i="7"/>
  <c r="AC115" i="7"/>
  <c r="AC116" i="7"/>
  <c r="AD115" i="7"/>
  <c r="AD116" i="7"/>
  <c r="AE115" i="7"/>
  <c r="AE116" i="7"/>
  <c r="AF115" i="7"/>
  <c r="AF116" i="7"/>
  <c r="G114" i="7"/>
  <c r="I114" i="7"/>
  <c r="J114" i="7"/>
  <c r="K114" i="7"/>
  <c r="L114" i="7"/>
  <c r="N114" i="7"/>
  <c r="O114" i="7"/>
  <c r="P114" i="7"/>
  <c r="Q114" i="7"/>
  <c r="S114" i="7"/>
  <c r="T114" i="7"/>
  <c r="U114" i="7"/>
  <c r="V114" i="7"/>
  <c r="X114" i="7"/>
  <c r="Y114" i="7"/>
  <c r="Z114" i="7"/>
  <c r="AA114" i="7"/>
  <c r="AC114" i="7"/>
  <c r="AD114" i="7"/>
  <c r="AE114" i="7"/>
  <c r="AF114" i="7"/>
  <c r="G27" i="7"/>
  <c r="G28" i="7"/>
  <c r="I27" i="7"/>
  <c r="I28" i="7"/>
  <c r="J27" i="7"/>
  <c r="J28" i="7"/>
  <c r="K27" i="7"/>
  <c r="K28" i="7"/>
  <c r="L27" i="7"/>
  <c r="L28" i="7"/>
  <c r="N27" i="7"/>
  <c r="N28" i="7"/>
  <c r="O27" i="7"/>
  <c r="O28" i="7"/>
  <c r="P27" i="7"/>
  <c r="P28" i="7"/>
  <c r="Q27" i="7"/>
  <c r="Q28" i="7"/>
  <c r="S27" i="7"/>
  <c r="S28" i="7"/>
  <c r="T27" i="7"/>
  <c r="T28" i="7"/>
  <c r="U27" i="7"/>
  <c r="U28" i="7"/>
  <c r="V27" i="7"/>
  <c r="V28" i="7"/>
  <c r="X27" i="7"/>
  <c r="X28" i="7"/>
  <c r="Y27" i="7"/>
  <c r="Y28" i="7"/>
  <c r="Z27" i="7"/>
  <c r="Z28" i="7"/>
  <c r="AA27" i="7"/>
  <c r="AA28" i="7"/>
  <c r="AC27" i="7"/>
  <c r="AC28" i="7"/>
  <c r="AD27" i="7"/>
  <c r="AD28" i="7"/>
  <c r="AE27" i="7"/>
  <c r="AE28" i="7"/>
  <c r="AF27" i="7"/>
  <c r="AF28" i="7"/>
  <c r="G26" i="7"/>
  <c r="I26" i="7"/>
  <c r="J26" i="7"/>
  <c r="K26" i="7"/>
  <c r="L26" i="7"/>
  <c r="N26" i="7"/>
  <c r="O26" i="7"/>
  <c r="P26" i="7"/>
  <c r="Q26" i="7"/>
  <c r="S26" i="7"/>
  <c r="T26" i="7"/>
  <c r="U26" i="7"/>
  <c r="V26" i="7"/>
  <c r="X26" i="7"/>
  <c r="Y26" i="7"/>
  <c r="Z26" i="7"/>
  <c r="AA26" i="7"/>
  <c r="AC26" i="7"/>
  <c r="AD26" i="7"/>
  <c r="AE26" i="7"/>
  <c r="AF26" i="7"/>
  <c r="G39" i="7"/>
  <c r="G45" i="7"/>
  <c r="I39" i="7"/>
  <c r="I45" i="7"/>
  <c r="J39" i="7"/>
  <c r="J45" i="7"/>
  <c r="K39" i="7"/>
  <c r="K45" i="7"/>
  <c r="L39" i="7"/>
  <c r="L45" i="7"/>
  <c r="N39" i="7"/>
  <c r="N45" i="7"/>
  <c r="O39" i="7"/>
  <c r="O45" i="7"/>
  <c r="P39" i="7"/>
  <c r="P45" i="7"/>
  <c r="Q39" i="7"/>
  <c r="Q45" i="7"/>
  <c r="S39" i="7"/>
  <c r="S45" i="7"/>
  <c r="T39" i="7"/>
  <c r="T45" i="7"/>
  <c r="U39" i="7"/>
  <c r="U45" i="7"/>
  <c r="V39" i="7"/>
  <c r="V45" i="7"/>
  <c r="X39" i="7"/>
  <c r="X45" i="7"/>
  <c r="Y39" i="7"/>
  <c r="Y45" i="7"/>
  <c r="Z39" i="7"/>
  <c r="Z45" i="7"/>
  <c r="AA39" i="7"/>
  <c r="AA45" i="7"/>
  <c r="AC39" i="7"/>
  <c r="AC45" i="7"/>
  <c r="AD39" i="7"/>
  <c r="AD45" i="7"/>
  <c r="AE39" i="7"/>
  <c r="AE45" i="7"/>
  <c r="AF39" i="7"/>
  <c r="AF45" i="7"/>
  <c r="G38" i="7"/>
  <c r="I38" i="7"/>
  <c r="J38" i="7"/>
  <c r="K38" i="7"/>
  <c r="L38" i="7"/>
  <c r="N38" i="7"/>
  <c r="O38" i="7"/>
  <c r="P38" i="7"/>
  <c r="Q38" i="7"/>
  <c r="S38" i="7"/>
  <c r="T38" i="7"/>
  <c r="U38" i="7"/>
  <c r="V38" i="7"/>
  <c r="X38" i="7"/>
  <c r="Y38" i="7"/>
  <c r="Z38" i="7"/>
  <c r="AA38" i="7"/>
  <c r="AC38" i="7"/>
  <c r="AD38" i="7"/>
  <c r="AE38" i="7"/>
  <c r="AF38" i="7"/>
  <c r="G3" i="7"/>
  <c r="G4" i="7"/>
  <c r="I2" i="7"/>
  <c r="I3" i="7"/>
  <c r="I4" i="7"/>
  <c r="J2" i="7"/>
  <c r="J3" i="7"/>
  <c r="J4" i="7"/>
  <c r="K2" i="7"/>
  <c r="K3" i="7"/>
  <c r="K4" i="7"/>
  <c r="L2" i="7"/>
  <c r="L3" i="7"/>
  <c r="L4" i="7"/>
  <c r="N2" i="7"/>
  <c r="N3" i="7"/>
  <c r="N4" i="7"/>
  <c r="O2" i="7"/>
  <c r="O3" i="7"/>
  <c r="O4" i="7"/>
  <c r="P2" i="7"/>
  <c r="P3" i="7"/>
  <c r="P4" i="7"/>
  <c r="Q2" i="7"/>
  <c r="Q3" i="7"/>
  <c r="Q4" i="7"/>
  <c r="S2" i="7"/>
  <c r="S3" i="7"/>
  <c r="S4" i="7"/>
  <c r="T2" i="7"/>
  <c r="T3" i="7"/>
  <c r="T4" i="7"/>
  <c r="U2" i="7"/>
  <c r="U3" i="7"/>
  <c r="U4" i="7"/>
  <c r="V2" i="7"/>
  <c r="V3" i="7"/>
  <c r="V4" i="7"/>
  <c r="X2" i="7"/>
  <c r="X3" i="7"/>
  <c r="X4" i="7"/>
  <c r="Y2" i="7"/>
  <c r="Y3" i="7"/>
  <c r="Y4" i="7"/>
  <c r="Z2" i="7"/>
  <c r="Z3" i="7"/>
  <c r="Z4" i="7"/>
  <c r="AA2" i="7"/>
  <c r="AA3" i="7"/>
  <c r="AA4" i="7"/>
  <c r="AC2" i="7"/>
  <c r="AC3" i="7"/>
  <c r="AC4" i="7"/>
  <c r="AD2" i="7"/>
  <c r="AD3" i="7"/>
  <c r="AD4" i="7"/>
  <c r="AE2" i="7"/>
  <c r="AE3" i="7"/>
  <c r="AE4" i="7"/>
  <c r="AF2" i="7"/>
  <c r="AF3" i="7"/>
  <c r="AF4" i="7"/>
  <c r="G32" i="7"/>
  <c r="G30" i="7"/>
  <c r="I32" i="7"/>
  <c r="I30" i="7"/>
  <c r="J32" i="7"/>
  <c r="J30" i="7"/>
  <c r="K32" i="7"/>
  <c r="K30" i="7"/>
  <c r="L32" i="7"/>
  <c r="L30" i="7"/>
  <c r="N32" i="7"/>
  <c r="N30" i="7"/>
  <c r="O32" i="7"/>
  <c r="O30" i="7"/>
  <c r="P32" i="7"/>
  <c r="P30" i="7"/>
  <c r="Q32" i="7"/>
  <c r="Q30" i="7"/>
  <c r="S32" i="7"/>
  <c r="S30" i="7"/>
  <c r="T32" i="7"/>
  <c r="T30" i="7"/>
  <c r="U32" i="7"/>
  <c r="U30" i="7"/>
  <c r="V32" i="7"/>
  <c r="V30" i="7"/>
  <c r="X32" i="7"/>
  <c r="X30" i="7"/>
  <c r="Y32" i="7"/>
  <c r="Y30" i="7"/>
  <c r="Z32" i="7"/>
  <c r="Z30" i="7"/>
  <c r="AA32" i="7"/>
  <c r="AA30" i="7"/>
  <c r="AC32" i="7"/>
  <c r="AC30" i="7"/>
  <c r="AD32" i="7"/>
  <c r="AD30" i="7"/>
  <c r="AE32" i="7"/>
  <c r="AE30" i="7"/>
  <c r="AF32" i="7"/>
  <c r="AF30" i="7"/>
  <c r="G33" i="7"/>
  <c r="I33" i="7"/>
  <c r="J33" i="7"/>
  <c r="K33" i="7"/>
  <c r="L33" i="7"/>
  <c r="N33" i="7"/>
  <c r="O33" i="7"/>
  <c r="P33" i="7"/>
  <c r="Q33" i="7"/>
  <c r="S33" i="7"/>
  <c r="T33" i="7"/>
  <c r="U33" i="7"/>
  <c r="V33" i="7"/>
  <c r="X33" i="7"/>
  <c r="Y33" i="7"/>
  <c r="Z33" i="7"/>
  <c r="AA33" i="7"/>
  <c r="AC33" i="7"/>
  <c r="AD33" i="7"/>
  <c r="AE33" i="7"/>
  <c r="AF33" i="7"/>
  <c r="G150" i="7"/>
  <c r="G151" i="7"/>
  <c r="G152" i="7"/>
  <c r="I150" i="7"/>
  <c r="I151" i="7"/>
  <c r="I152" i="7"/>
  <c r="J150" i="7"/>
  <c r="J151" i="7"/>
  <c r="J152" i="7"/>
  <c r="K150" i="7"/>
  <c r="K151" i="7"/>
  <c r="K152" i="7"/>
  <c r="L150" i="7"/>
  <c r="L151" i="7"/>
  <c r="L152" i="7"/>
  <c r="N150" i="7"/>
  <c r="N151" i="7"/>
  <c r="N152" i="7"/>
  <c r="O150" i="7"/>
  <c r="O151" i="7"/>
  <c r="O152" i="7"/>
  <c r="P150" i="7"/>
  <c r="P151" i="7"/>
  <c r="P152" i="7"/>
  <c r="Q150" i="7"/>
  <c r="Q151" i="7"/>
  <c r="Q152" i="7"/>
  <c r="S150" i="7"/>
  <c r="S151" i="7"/>
  <c r="S152" i="7"/>
  <c r="T150" i="7"/>
  <c r="T151" i="7"/>
  <c r="T152" i="7"/>
  <c r="U150" i="7"/>
  <c r="U151" i="7"/>
  <c r="U152" i="7"/>
  <c r="V150" i="7"/>
  <c r="V151" i="7"/>
  <c r="V152" i="7"/>
  <c r="X150" i="7"/>
  <c r="X151" i="7"/>
  <c r="X152" i="7"/>
  <c r="Y150" i="7"/>
  <c r="Y151" i="7"/>
  <c r="Y152" i="7"/>
  <c r="Z150" i="7"/>
  <c r="Z151" i="7"/>
  <c r="Z152" i="7"/>
  <c r="AA150" i="7"/>
  <c r="AA151" i="7"/>
  <c r="AA152" i="7"/>
  <c r="AC150" i="7"/>
  <c r="AC151" i="7"/>
  <c r="AC152" i="7"/>
  <c r="AD150" i="7"/>
  <c r="AD151" i="7"/>
  <c r="AD152" i="7"/>
  <c r="AE150" i="7"/>
  <c r="AE151" i="7"/>
  <c r="AE152" i="7"/>
  <c r="AF150" i="7"/>
  <c r="AF151" i="7"/>
  <c r="AF152" i="7"/>
  <c r="G126" i="7"/>
  <c r="G127" i="7"/>
  <c r="G134" i="7"/>
  <c r="I126" i="7"/>
  <c r="I127" i="7"/>
  <c r="I134" i="7"/>
  <c r="J126" i="7"/>
  <c r="J127" i="7"/>
  <c r="J134" i="7"/>
  <c r="K126" i="7"/>
  <c r="K127" i="7"/>
  <c r="K134" i="7"/>
  <c r="L126" i="7"/>
  <c r="L127" i="7"/>
  <c r="L134" i="7"/>
  <c r="N126" i="7"/>
  <c r="N127" i="7"/>
  <c r="N134" i="7"/>
  <c r="O126" i="7"/>
  <c r="O127" i="7"/>
  <c r="O134" i="7"/>
  <c r="P126" i="7"/>
  <c r="P127" i="7"/>
  <c r="P134" i="7"/>
  <c r="Q126" i="7"/>
  <c r="Q127" i="7"/>
  <c r="Q134" i="7"/>
  <c r="S126" i="7"/>
  <c r="S127" i="7"/>
  <c r="S134" i="7"/>
  <c r="T126" i="7"/>
  <c r="T127" i="7"/>
  <c r="T134" i="7"/>
  <c r="U126" i="7"/>
  <c r="U127" i="7"/>
  <c r="U134" i="7"/>
  <c r="V126" i="7"/>
  <c r="V127" i="7"/>
  <c r="V134" i="7"/>
  <c r="X126" i="7"/>
  <c r="X127" i="7"/>
  <c r="X134" i="7"/>
  <c r="Y126" i="7"/>
  <c r="Y127" i="7"/>
  <c r="Y134" i="7"/>
  <c r="Z126" i="7"/>
  <c r="Z127" i="7"/>
  <c r="Z134" i="7"/>
  <c r="AA126" i="7"/>
  <c r="AA127" i="7"/>
  <c r="AA134" i="7"/>
  <c r="AC126" i="7"/>
  <c r="AC127" i="7"/>
  <c r="AC134" i="7"/>
  <c r="AD126" i="7"/>
  <c r="AD127" i="7"/>
  <c r="AD134" i="7"/>
  <c r="AE126" i="7"/>
  <c r="AE127" i="7"/>
  <c r="AE134" i="7"/>
  <c r="AF126" i="7"/>
  <c r="AF127" i="7"/>
  <c r="AF134" i="7"/>
  <c r="G100" i="7"/>
  <c r="G107" i="7"/>
  <c r="I100" i="7"/>
  <c r="I107" i="7"/>
  <c r="J100" i="7"/>
  <c r="J107" i="7"/>
  <c r="K100" i="7"/>
  <c r="K107" i="7"/>
  <c r="L100" i="7"/>
  <c r="L107" i="7"/>
  <c r="N100" i="7"/>
  <c r="N107" i="7"/>
  <c r="O100" i="7"/>
  <c r="O107" i="7"/>
  <c r="P100" i="7"/>
  <c r="P107" i="7"/>
  <c r="Q100" i="7"/>
  <c r="Q107" i="7"/>
  <c r="S100" i="7"/>
  <c r="S107" i="7"/>
  <c r="T100" i="7"/>
  <c r="T107" i="7"/>
  <c r="U100" i="7"/>
  <c r="U107" i="7"/>
  <c r="V100" i="7"/>
  <c r="V107" i="7"/>
  <c r="X100" i="7"/>
  <c r="X107" i="7"/>
  <c r="Y100" i="7"/>
  <c r="Y107" i="7"/>
  <c r="Z100" i="7"/>
  <c r="Z107" i="7"/>
  <c r="AA100" i="7"/>
  <c r="AA107" i="7"/>
  <c r="AC100" i="7"/>
  <c r="AC107" i="7"/>
  <c r="AD100" i="7"/>
  <c r="AD107" i="7"/>
  <c r="AE100" i="7"/>
  <c r="AE107" i="7"/>
  <c r="AF100" i="7"/>
  <c r="AF107" i="7"/>
  <c r="G99" i="7"/>
  <c r="I99" i="7"/>
  <c r="J99" i="7"/>
  <c r="K99" i="7"/>
  <c r="L99" i="7"/>
  <c r="N99" i="7"/>
  <c r="O99" i="7"/>
  <c r="P99" i="7"/>
  <c r="Q99" i="7"/>
  <c r="S99" i="7"/>
  <c r="T99" i="7"/>
  <c r="U99" i="7"/>
  <c r="V99" i="7"/>
  <c r="X99" i="7"/>
  <c r="Y99" i="7"/>
  <c r="Z99" i="7"/>
  <c r="AA99" i="7"/>
  <c r="AC99" i="7"/>
  <c r="AD99" i="7"/>
  <c r="AE99" i="7"/>
  <c r="AF99" i="7"/>
  <c r="G78" i="7"/>
  <c r="G79" i="7"/>
  <c r="G85" i="7"/>
  <c r="I78" i="7"/>
  <c r="I79" i="7"/>
  <c r="I85" i="7"/>
  <c r="J78" i="7"/>
  <c r="J79" i="7"/>
  <c r="J85" i="7"/>
  <c r="K78" i="7"/>
  <c r="K79" i="7"/>
  <c r="K85" i="7"/>
  <c r="L78" i="7"/>
  <c r="L79" i="7"/>
  <c r="L85" i="7"/>
  <c r="N78" i="7"/>
  <c r="N79" i="7"/>
  <c r="N85" i="7"/>
  <c r="O78" i="7"/>
  <c r="O79" i="7"/>
  <c r="O85" i="7"/>
  <c r="P78" i="7"/>
  <c r="P79" i="7"/>
  <c r="P85" i="7"/>
  <c r="Q78" i="7"/>
  <c r="Q79" i="7"/>
  <c r="Q85" i="7"/>
  <c r="S78" i="7"/>
  <c r="S79" i="7"/>
  <c r="S85" i="7"/>
  <c r="T78" i="7"/>
  <c r="T79" i="7"/>
  <c r="T85" i="7"/>
  <c r="U78" i="7"/>
  <c r="U79" i="7"/>
  <c r="U85" i="7"/>
  <c r="V78" i="7"/>
  <c r="V79" i="7"/>
  <c r="V85" i="7"/>
  <c r="X78" i="7"/>
  <c r="X79" i="7"/>
  <c r="X85" i="7"/>
  <c r="Y78" i="7"/>
  <c r="Y79" i="7"/>
  <c r="Y85" i="7"/>
  <c r="Z78" i="7"/>
  <c r="Z79" i="7"/>
  <c r="Z85" i="7"/>
  <c r="AA78" i="7"/>
  <c r="AA79" i="7"/>
  <c r="AA85" i="7"/>
  <c r="AC78" i="7"/>
  <c r="AC79" i="7"/>
  <c r="AC85" i="7"/>
  <c r="AD78" i="7"/>
  <c r="AD79" i="7"/>
  <c r="AD85" i="7"/>
  <c r="AE78" i="7"/>
  <c r="AE79" i="7"/>
  <c r="AE85" i="7"/>
  <c r="AF78" i="7"/>
  <c r="AF79" i="7"/>
  <c r="AF85" i="7"/>
  <c r="G72" i="7"/>
  <c r="G73" i="7"/>
  <c r="G77" i="7"/>
  <c r="I72" i="7"/>
  <c r="I73" i="7"/>
  <c r="I77" i="7"/>
  <c r="J72" i="7"/>
  <c r="J73" i="7"/>
  <c r="J77" i="7"/>
  <c r="K72" i="7"/>
  <c r="K73" i="7"/>
  <c r="K77" i="7"/>
  <c r="L72" i="7"/>
  <c r="L73" i="7"/>
  <c r="L77" i="7"/>
  <c r="N72" i="7"/>
  <c r="N73" i="7"/>
  <c r="N77" i="7"/>
  <c r="O72" i="7"/>
  <c r="O73" i="7"/>
  <c r="O77" i="7"/>
  <c r="P72" i="7"/>
  <c r="P73" i="7"/>
  <c r="P77" i="7"/>
  <c r="Q72" i="7"/>
  <c r="Q73" i="7"/>
  <c r="Q77" i="7"/>
  <c r="S72" i="7"/>
  <c r="S73" i="7"/>
  <c r="S77" i="7"/>
  <c r="T72" i="7"/>
  <c r="T73" i="7"/>
  <c r="T77" i="7"/>
  <c r="U72" i="7"/>
  <c r="U73" i="7"/>
  <c r="U77" i="7"/>
  <c r="V72" i="7"/>
  <c r="V73" i="7"/>
  <c r="V77" i="7"/>
  <c r="X72" i="7"/>
  <c r="X73" i="7"/>
  <c r="X77" i="7"/>
  <c r="Y72" i="7"/>
  <c r="Y73" i="7"/>
  <c r="Y77" i="7"/>
  <c r="Z72" i="7"/>
  <c r="Z73" i="7"/>
  <c r="Z77" i="7"/>
  <c r="AA72" i="7"/>
  <c r="AA73" i="7"/>
  <c r="AA77" i="7"/>
  <c r="AC72" i="7"/>
  <c r="AC73" i="7"/>
  <c r="AC77" i="7"/>
  <c r="AD72" i="7"/>
  <c r="AD73" i="7"/>
  <c r="AD77" i="7"/>
  <c r="AE72" i="7"/>
  <c r="AE73" i="7"/>
  <c r="AE77" i="7"/>
  <c r="AF72" i="7"/>
  <c r="AF73" i="7"/>
  <c r="AF77" i="7"/>
  <c r="G59" i="7"/>
  <c r="G60" i="7"/>
  <c r="G64" i="7"/>
  <c r="I59" i="7"/>
  <c r="I60" i="7"/>
  <c r="I64" i="7"/>
  <c r="J59" i="7"/>
  <c r="J60" i="7"/>
  <c r="J64" i="7"/>
  <c r="K59" i="7"/>
  <c r="K60" i="7"/>
  <c r="K64" i="7"/>
  <c r="L59" i="7"/>
  <c r="L60" i="7"/>
  <c r="L64" i="7"/>
  <c r="N59" i="7"/>
  <c r="N60" i="7"/>
  <c r="N64" i="7"/>
  <c r="O59" i="7"/>
  <c r="O60" i="7"/>
  <c r="O64" i="7"/>
  <c r="P59" i="7"/>
  <c r="P60" i="7"/>
  <c r="P64" i="7"/>
  <c r="Q59" i="7"/>
  <c r="Q60" i="7"/>
  <c r="Q64" i="7"/>
  <c r="S59" i="7"/>
  <c r="S60" i="7"/>
  <c r="S64" i="7"/>
  <c r="T59" i="7"/>
  <c r="T60" i="7"/>
  <c r="T64" i="7"/>
  <c r="U59" i="7"/>
  <c r="U60" i="7"/>
  <c r="U64" i="7"/>
  <c r="V59" i="7"/>
  <c r="V60" i="7"/>
  <c r="V64" i="7"/>
  <c r="X59" i="7"/>
  <c r="X60" i="7"/>
  <c r="X64" i="7"/>
  <c r="Y59" i="7"/>
  <c r="Y60" i="7"/>
  <c r="Y64" i="7"/>
  <c r="Z59" i="7"/>
  <c r="Z60" i="7"/>
  <c r="Z64" i="7"/>
  <c r="AA59" i="7"/>
  <c r="AA60" i="7"/>
  <c r="AA64" i="7"/>
  <c r="AC59" i="7"/>
  <c r="AC60" i="7"/>
  <c r="AC64" i="7"/>
  <c r="AD59" i="7"/>
  <c r="AD60" i="7"/>
  <c r="AD64" i="7"/>
  <c r="AE59" i="7"/>
  <c r="AE60" i="7"/>
  <c r="AE64" i="7"/>
  <c r="AF59" i="7"/>
  <c r="AF60" i="7"/>
  <c r="AF64" i="7"/>
  <c r="G20" i="7"/>
  <c r="G21" i="7"/>
  <c r="G25" i="7"/>
  <c r="I20" i="7"/>
  <c r="I21" i="7"/>
  <c r="I25" i="7"/>
  <c r="J20" i="7"/>
  <c r="J21" i="7"/>
  <c r="J25" i="7"/>
  <c r="K20" i="7"/>
  <c r="K21" i="7"/>
  <c r="K25" i="7"/>
  <c r="L20" i="7"/>
  <c r="L21" i="7"/>
  <c r="L25" i="7"/>
  <c r="N20" i="7"/>
  <c r="N21" i="7"/>
  <c r="N25" i="7"/>
  <c r="O20" i="7"/>
  <c r="O21" i="7"/>
  <c r="O25" i="7"/>
  <c r="P20" i="7"/>
  <c r="P21" i="7"/>
  <c r="P25" i="7"/>
  <c r="Q20" i="7"/>
  <c r="Q21" i="7"/>
  <c r="Q25" i="7"/>
  <c r="S20" i="7"/>
  <c r="S21" i="7"/>
  <c r="S25" i="7"/>
  <c r="T20" i="7"/>
  <c r="T21" i="7"/>
  <c r="T25" i="7"/>
  <c r="U20" i="7"/>
  <c r="U21" i="7"/>
  <c r="U25" i="7"/>
  <c r="V20" i="7"/>
  <c r="V21" i="7"/>
  <c r="V25" i="7"/>
  <c r="X20" i="7"/>
  <c r="X21" i="7"/>
  <c r="X25" i="7"/>
  <c r="Y20" i="7"/>
  <c r="Y21" i="7"/>
  <c r="Y25" i="7"/>
  <c r="Z20" i="7"/>
  <c r="Z21" i="7"/>
  <c r="Z25" i="7"/>
  <c r="AA20" i="7"/>
  <c r="AA21" i="7"/>
  <c r="AA25" i="7"/>
  <c r="AC20" i="7"/>
  <c r="AC21" i="7"/>
  <c r="AC25" i="7"/>
  <c r="AD20" i="7"/>
  <c r="AD21" i="7"/>
  <c r="AD25" i="7"/>
  <c r="AE20" i="7"/>
  <c r="AE21" i="7"/>
  <c r="AE25" i="7"/>
  <c r="AF20" i="7"/>
  <c r="AF21" i="7"/>
  <c r="AF25" i="7"/>
  <c r="G31" i="7"/>
  <c r="G42" i="7"/>
  <c r="I31" i="7"/>
  <c r="I42" i="7"/>
  <c r="J31" i="7"/>
  <c r="J42" i="7"/>
  <c r="K31" i="7"/>
  <c r="K42" i="7"/>
  <c r="L31" i="7"/>
  <c r="L42" i="7"/>
  <c r="N31" i="7"/>
  <c r="N42" i="7"/>
  <c r="O31" i="7"/>
  <c r="O42" i="7"/>
  <c r="P31" i="7"/>
  <c r="P42" i="7"/>
  <c r="Q31" i="7"/>
  <c r="Q42" i="7"/>
  <c r="S31" i="7"/>
  <c r="S42" i="7"/>
  <c r="T31" i="7"/>
  <c r="T42" i="7"/>
  <c r="U31" i="7"/>
  <c r="U42" i="7"/>
  <c r="V31" i="7"/>
  <c r="V42" i="7"/>
  <c r="X31" i="7"/>
  <c r="X42" i="7"/>
  <c r="Y31" i="7"/>
  <c r="Y42" i="7"/>
  <c r="Z31" i="7"/>
  <c r="Z42" i="7"/>
  <c r="AA31" i="7"/>
  <c r="AA42" i="7"/>
  <c r="AC31" i="7"/>
  <c r="AC42" i="7"/>
  <c r="AD31" i="7"/>
  <c r="AD42" i="7"/>
  <c r="AE31" i="7"/>
  <c r="AE42" i="7"/>
  <c r="AF31" i="7"/>
  <c r="AF42" i="7"/>
  <c r="G48" i="7"/>
  <c r="G47" i="7"/>
  <c r="G51" i="7"/>
  <c r="G118" i="7"/>
  <c r="G117" i="7"/>
  <c r="G121" i="7"/>
  <c r="G142" i="7"/>
  <c r="G141" i="7"/>
  <c r="G145" i="7"/>
  <c r="I48" i="7"/>
  <c r="I47" i="7"/>
  <c r="I51" i="7"/>
  <c r="I118" i="7"/>
  <c r="I117" i="7"/>
  <c r="I121" i="7"/>
  <c r="I142" i="7"/>
  <c r="I141" i="7"/>
  <c r="I145" i="7"/>
  <c r="J48" i="7"/>
  <c r="J47" i="7"/>
  <c r="J51" i="7"/>
  <c r="J118" i="7"/>
  <c r="J117" i="7"/>
  <c r="J121" i="7"/>
  <c r="J142" i="7"/>
  <c r="J141" i="7"/>
  <c r="J145" i="7"/>
  <c r="K48" i="7"/>
  <c r="K47" i="7"/>
  <c r="K51" i="7"/>
  <c r="K118" i="7"/>
  <c r="K117" i="7"/>
  <c r="K121" i="7"/>
  <c r="K142" i="7"/>
  <c r="K141" i="7"/>
  <c r="K145" i="7"/>
  <c r="L48" i="7"/>
  <c r="L47" i="7"/>
  <c r="L51" i="7"/>
  <c r="L118" i="7"/>
  <c r="L117" i="7"/>
  <c r="L121" i="7"/>
  <c r="L142" i="7"/>
  <c r="L141" i="7"/>
  <c r="L145" i="7"/>
  <c r="N48" i="7"/>
  <c r="N47" i="7"/>
  <c r="N51" i="7"/>
  <c r="N118" i="7"/>
  <c r="N117" i="7"/>
  <c r="N121" i="7"/>
  <c r="N142" i="7"/>
  <c r="N141" i="7"/>
  <c r="N145" i="7"/>
  <c r="O48" i="7"/>
  <c r="O47" i="7"/>
  <c r="O51" i="7"/>
  <c r="O118" i="7"/>
  <c r="O117" i="7"/>
  <c r="O121" i="7"/>
  <c r="O142" i="7"/>
  <c r="O141" i="7"/>
  <c r="O145" i="7"/>
  <c r="P48" i="7"/>
  <c r="P47" i="7"/>
  <c r="P51" i="7"/>
  <c r="P118" i="7"/>
  <c r="P117" i="7"/>
  <c r="P121" i="7"/>
  <c r="P142" i="7"/>
  <c r="P141" i="7"/>
  <c r="P145" i="7"/>
  <c r="Q48" i="7"/>
  <c r="Q47" i="7"/>
  <c r="Q51" i="7"/>
  <c r="Q118" i="7"/>
  <c r="Q117" i="7"/>
  <c r="Q121" i="7"/>
  <c r="Q142" i="7"/>
  <c r="Q141" i="7"/>
  <c r="Q145" i="7"/>
  <c r="S48" i="7"/>
  <c r="S47" i="7"/>
  <c r="S51" i="7"/>
  <c r="S118" i="7"/>
  <c r="S117" i="7"/>
  <c r="S121" i="7"/>
  <c r="S142" i="7"/>
  <c r="S141" i="7"/>
  <c r="S145" i="7"/>
  <c r="T48" i="7"/>
  <c r="T47" i="7"/>
  <c r="T51" i="7"/>
  <c r="T118" i="7"/>
  <c r="T117" i="7"/>
  <c r="T121" i="7"/>
  <c r="T142" i="7"/>
  <c r="T141" i="7"/>
  <c r="T145" i="7"/>
  <c r="U48" i="7"/>
  <c r="U47" i="7"/>
  <c r="U51" i="7"/>
  <c r="U118" i="7"/>
  <c r="U117" i="7"/>
  <c r="U121" i="7"/>
  <c r="U142" i="7"/>
  <c r="U141" i="7"/>
  <c r="U145" i="7"/>
  <c r="V48" i="7"/>
  <c r="V47" i="7"/>
  <c r="V51" i="7"/>
  <c r="V118" i="7"/>
  <c r="V117" i="7"/>
  <c r="V121" i="7"/>
  <c r="V142" i="7"/>
  <c r="V141" i="7"/>
  <c r="V145" i="7"/>
  <c r="X48" i="7"/>
  <c r="X47" i="7"/>
  <c r="X51" i="7"/>
  <c r="X118" i="7"/>
  <c r="X117" i="7"/>
  <c r="X121" i="7"/>
  <c r="X142" i="7"/>
  <c r="X141" i="7"/>
  <c r="X145" i="7"/>
  <c r="Y48" i="7"/>
  <c r="Y47" i="7"/>
  <c r="Y51" i="7"/>
  <c r="Y118" i="7"/>
  <c r="Y117" i="7"/>
  <c r="Y121" i="7"/>
  <c r="Y142" i="7"/>
  <c r="Y141" i="7"/>
  <c r="Y145" i="7"/>
  <c r="Z48" i="7"/>
  <c r="Z47" i="7"/>
  <c r="Z51" i="7"/>
  <c r="Z118" i="7"/>
  <c r="Z117" i="7"/>
  <c r="Z121" i="7"/>
  <c r="Z142" i="7"/>
  <c r="Z141" i="7"/>
  <c r="Z145" i="7"/>
  <c r="AA48" i="7"/>
  <c r="AA47" i="7"/>
  <c r="AA51" i="7"/>
  <c r="AA118" i="7"/>
  <c r="AA117" i="7"/>
  <c r="AA121" i="7"/>
  <c r="AA142" i="7"/>
  <c r="AA141" i="7"/>
  <c r="AA145" i="7"/>
  <c r="AC48" i="7"/>
  <c r="AC47" i="7"/>
  <c r="AC51" i="7"/>
  <c r="AC118" i="7"/>
  <c r="AC117" i="7"/>
  <c r="AC121" i="7"/>
  <c r="AC142" i="7"/>
  <c r="AC141" i="7"/>
  <c r="AC145" i="7"/>
  <c r="AD48" i="7"/>
  <c r="AD47" i="7"/>
  <c r="AD51" i="7"/>
  <c r="AD118" i="7"/>
  <c r="AD117" i="7"/>
  <c r="AD121" i="7"/>
  <c r="AD142" i="7"/>
  <c r="AD141" i="7"/>
  <c r="AD145" i="7"/>
  <c r="AE48" i="7"/>
  <c r="AE47" i="7"/>
  <c r="AE51" i="7"/>
  <c r="AE118" i="7"/>
  <c r="AE117" i="7"/>
  <c r="AE121" i="7"/>
  <c r="AE142" i="7"/>
  <c r="AE141" i="7"/>
  <c r="AE145" i="7"/>
  <c r="AF48" i="7"/>
  <c r="AF47" i="7"/>
  <c r="AF51" i="7"/>
  <c r="AF118" i="7"/>
  <c r="AF117" i="7"/>
  <c r="AF121" i="7"/>
  <c r="AF142" i="7"/>
  <c r="AF141" i="7"/>
  <c r="AF145" i="7"/>
  <c r="AF97" i="7"/>
  <c r="AF93" i="7"/>
  <c r="AF94" i="7"/>
  <c r="AE97" i="7"/>
  <c r="AE93" i="7"/>
  <c r="AE94" i="7"/>
  <c r="AD97" i="7"/>
  <c r="AD93" i="7"/>
  <c r="AD94" i="7"/>
  <c r="AC97" i="7"/>
  <c r="AC93" i="7"/>
  <c r="AC94" i="7"/>
  <c r="AA97" i="7"/>
  <c r="AA93" i="7"/>
  <c r="AA94" i="7"/>
  <c r="Z97" i="7"/>
  <c r="Z93" i="7"/>
  <c r="Z94" i="7"/>
  <c r="Y97" i="7"/>
  <c r="Y93" i="7"/>
  <c r="Y94" i="7"/>
  <c r="X97" i="7"/>
  <c r="X93" i="7"/>
  <c r="X94" i="7"/>
  <c r="V97" i="7"/>
  <c r="V93" i="7"/>
  <c r="V94" i="7"/>
  <c r="U97" i="7"/>
  <c r="U93" i="7"/>
  <c r="U94" i="7"/>
  <c r="T97" i="7"/>
  <c r="T93" i="7"/>
  <c r="T94" i="7"/>
  <c r="S97" i="7"/>
  <c r="S93" i="7"/>
  <c r="S94" i="7"/>
  <c r="Q97" i="7"/>
  <c r="Q93" i="7"/>
  <c r="Q94" i="7"/>
  <c r="P97" i="7"/>
  <c r="P93" i="7"/>
  <c r="P94" i="7"/>
  <c r="O97" i="7"/>
  <c r="O93" i="7"/>
  <c r="O94" i="7"/>
  <c r="N97" i="7"/>
  <c r="N93" i="7"/>
  <c r="N94" i="7"/>
  <c r="L97" i="7"/>
  <c r="L93" i="7"/>
  <c r="L94" i="7"/>
  <c r="K97" i="7"/>
  <c r="K93" i="7"/>
  <c r="K94" i="7"/>
  <c r="J97" i="7"/>
  <c r="J93" i="7"/>
  <c r="J94" i="7"/>
  <c r="I97" i="7"/>
  <c r="I93" i="7"/>
  <c r="I94" i="7"/>
  <c r="G97" i="7"/>
  <c r="G93" i="7"/>
  <c r="G94" i="7"/>
  <c r="G129" i="7"/>
  <c r="G130" i="7"/>
  <c r="G131" i="7"/>
  <c r="I129" i="7"/>
  <c r="I130" i="7"/>
  <c r="I131" i="7"/>
  <c r="J129" i="7"/>
  <c r="J130" i="7"/>
  <c r="J131" i="7"/>
  <c r="K129" i="7"/>
  <c r="K130" i="7"/>
  <c r="K131" i="7"/>
  <c r="L129" i="7"/>
  <c r="L130" i="7"/>
  <c r="L131" i="7"/>
  <c r="N129" i="7"/>
  <c r="N130" i="7"/>
  <c r="N131" i="7"/>
  <c r="O129" i="7"/>
  <c r="O130" i="7"/>
  <c r="O131" i="7"/>
  <c r="P129" i="7"/>
  <c r="P130" i="7"/>
  <c r="P131" i="7"/>
  <c r="Q129" i="7"/>
  <c r="Q130" i="7"/>
  <c r="Q131" i="7"/>
  <c r="S129" i="7"/>
  <c r="S130" i="7"/>
  <c r="S131" i="7"/>
  <c r="T129" i="7"/>
  <c r="T130" i="7"/>
  <c r="T131" i="7"/>
  <c r="U129" i="7"/>
  <c r="U130" i="7"/>
  <c r="U131" i="7"/>
  <c r="V129" i="7"/>
  <c r="V130" i="7"/>
  <c r="V131" i="7"/>
  <c r="X129" i="7"/>
  <c r="X130" i="7"/>
  <c r="X131" i="7"/>
  <c r="Y129" i="7"/>
  <c r="Y130" i="7"/>
  <c r="Y131" i="7"/>
  <c r="Z129" i="7"/>
  <c r="Z130" i="7"/>
  <c r="Z131" i="7"/>
  <c r="AA129" i="7"/>
  <c r="AA130" i="7"/>
  <c r="AA131" i="7"/>
  <c r="AC129" i="7"/>
  <c r="AC130" i="7"/>
  <c r="AC131" i="7"/>
  <c r="AD129" i="7"/>
  <c r="AD130" i="7"/>
  <c r="AD131" i="7"/>
  <c r="AE129" i="7"/>
  <c r="AE130" i="7"/>
  <c r="AE131" i="7"/>
  <c r="AF129" i="7"/>
  <c r="AF130" i="7"/>
  <c r="AF131" i="7"/>
  <c r="G103" i="7"/>
  <c r="G102" i="7"/>
  <c r="G101" i="7"/>
  <c r="I103" i="7"/>
  <c r="I102" i="7"/>
  <c r="I101" i="7"/>
  <c r="J103" i="7"/>
  <c r="J102" i="7"/>
  <c r="J101" i="7"/>
  <c r="K103" i="7"/>
  <c r="K102" i="7"/>
  <c r="K101" i="7"/>
  <c r="L103" i="7"/>
  <c r="L102" i="7"/>
  <c r="L101" i="7"/>
  <c r="N103" i="7"/>
  <c r="N102" i="7"/>
  <c r="N101" i="7"/>
  <c r="O103" i="7"/>
  <c r="O102" i="7"/>
  <c r="O101" i="7"/>
  <c r="P103" i="7"/>
  <c r="P102" i="7"/>
  <c r="P101" i="7"/>
  <c r="Q103" i="7"/>
  <c r="Q102" i="7"/>
  <c r="Q101" i="7"/>
  <c r="S103" i="7"/>
  <c r="S102" i="7"/>
  <c r="S101" i="7"/>
  <c r="T103" i="7"/>
  <c r="T102" i="7"/>
  <c r="T101" i="7"/>
  <c r="U103" i="7"/>
  <c r="U102" i="7"/>
  <c r="U101" i="7"/>
  <c r="V103" i="7"/>
  <c r="V102" i="7"/>
  <c r="V101" i="7"/>
  <c r="X103" i="7"/>
  <c r="X102" i="7"/>
  <c r="X101" i="7"/>
  <c r="Y103" i="7"/>
  <c r="Y102" i="7"/>
  <c r="Y101" i="7"/>
  <c r="Z103" i="7"/>
  <c r="Z102" i="7"/>
  <c r="Z101" i="7"/>
  <c r="AA103" i="7"/>
  <c r="AA102" i="7"/>
  <c r="AA101" i="7"/>
  <c r="AC103" i="7"/>
  <c r="AC102" i="7"/>
  <c r="AC101" i="7"/>
  <c r="AD103" i="7"/>
  <c r="AD102" i="7"/>
  <c r="AD101" i="7"/>
  <c r="AE103" i="7"/>
  <c r="AE102" i="7"/>
  <c r="AE101" i="7"/>
  <c r="AF103" i="7"/>
  <c r="AF102" i="7"/>
  <c r="AF101" i="7"/>
  <c r="G82" i="7"/>
  <c r="G81" i="7"/>
  <c r="G83" i="7"/>
  <c r="I82" i="7"/>
  <c r="I81" i="7"/>
  <c r="I83" i="7"/>
  <c r="J82" i="7"/>
  <c r="J81" i="7"/>
  <c r="J83" i="7"/>
  <c r="K82" i="7"/>
  <c r="K81" i="7"/>
  <c r="K83" i="7"/>
  <c r="L82" i="7"/>
  <c r="L81" i="7"/>
  <c r="L83" i="7"/>
  <c r="N82" i="7"/>
  <c r="N81" i="7"/>
  <c r="N83" i="7"/>
  <c r="O82" i="7"/>
  <c r="O81" i="7"/>
  <c r="O83" i="7"/>
  <c r="P82" i="7"/>
  <c r="P81" i="7"/>
  <c r="P83" i="7"/>
  <c r="Q82" i="7"/>
  <c r="Q81" i="7"/>
  <c r="Q83" i="7"/>
  <c r="S82" i="7"/>
  <c r="S81" i="7"/>
  <c r="S83" i="7"/>
  <c r="T82" i="7"/>
  <c r="T81" i="7"/>
  <c r="T83" i="7"/>
  <c r="U82" i="7"/>
  <c r="U81" i="7"/>
  <c r="U83" i="7"/>
  <c r="V82" i="7"/>
  <c r="V81" i="7"/>
  <c r="V83" i="7"/>
  <c r="X82" i="7"/>
  <c r="X81" i="7"/>
  <c r="X83" i="7"/>
  <c r="Y82" i="7"/>
  <c r="Y81" i="7"/>
  <c r="Y83" i="7"/>
  <c r="Z82" i="7"/>
  <c r="Z81" i="7"/>
  <c r="Z83" i="7"/>
  <c r="AA82" i="7"/>
  <c r="AA81" i="7"/>
  <c r="AA83" i="7"/>
  <c r="AC82" i="7"/>
  <c r="AC81" i="7"/>
  <c r="AC83" i="7"/>
  <c r="AD82" i="7"/>
  <c r="AD81" i="7"/>
  <c r="AD83" i="7"/>
  <c r="AE82" i="7"/>
  <c r="AE81" i="7"/>
  <c r="AE83" i="7"/>
  <c r="AF82" i="7"/>
  <c r="AF81" i="7"/>
  <c r="AF83" i="7"/>
  <c r="G76" i="7"/>
  <c r="G74" i="7"/>
  <c r="I76" i="7"/>
  <c r="I74" i="7"/>
  <c r="J76" i="7"/>
  <c r="J74" i="7"/>
  <c r="K76" i="7"/>
  <c r="K74" i="7"/>
  <c r="L76" i="7"/>
  <c r="L74" i="7"/>
  <c r="N76" i="7"/>
  <c r="N74" i="7"/>
  <c r="O76" i="7"/>
  <c r="O74" i="7"/>
  <c r="P76" i="7"/>
  <c r="P74" i="7"/>
  <c r="Q76" i="7"/>
  <c r="Q74" i="7"/>
  <c r="S76" i="7"/>
  <c r="S74" i="7"/>
  <c r="T76" i="7"/>
  <c r="T74" i="7"/>
  <c r="U76" i="7"/>
  <c r="U74" i="7"/>
  <c r="V76" i="7"/>
  <c r="V74" i="7"/>
  <c r="X76" i="7"/>
  <c r="X74" i="7"/>
  <c r="Y76" i="7"/>
  <c r="Y74" i="7"/>
  <c r="Z76" i="7"/>
  <c r="Z74" i="7"/>
  <c r="AA76" i="7"/>
  <c r="AA74" i="7"/>
  <c r="AC76" i="7"/>
  <c r="AC74" i="7"/>
  <c r="AD76" i="7"/>
  <c r="AD74" i="7"/>
  <c r="AE76" i="7"/>
  <c r="AE74" i="7"/>
  <c r="AF76" i="7"/>
  <c r="AF74" i="7"/>
  <c r="G75" i="7"/>
  <c r="I75" i="7"/>
  <c r="J75" i="7"/>
  <c r="K75" i="7"/>
  <c r="L75" i="7"/>
  <c r="N75" i="7"/>
  <c r="O75" i="7"/>
  <c r="P75" i="7"/>
  <c r="Q75" i="7"/>
  <c r="S75" i="7"/>
  <c r="T75" i="7"/>
  <c r="U75" i="7"/>
  <c r="V75" i="7"/>
  <c r="X75" i="7"/>
  <c r="Y75" i="7"/>
  <c r="Z75" i="7"/>
  <c r="AA75" i="7"/>
  <c r="AC75" i="7"/>
  <c r="AD75" i="7"/>
  <c r="AE75" i="7"/>
  <c r="AF75" i="7"/>
  <c r="G62" i="7"/>
  <c r="G63" i="7"/>
  <c r="G61" i="7"/>
  <c r="I62" i="7"/>
  <c r="I63" i="7"/>
  <c r="I61" i="7"/>
  <c r="J62" i="7"/>
  <c r="J63" i="7"/>
  <c r="J61" i="7"/>
  <c r="K62" i="7"/>
  <c r="K63" i="7"/>
  <c r="K61" i="7"/>
  <c r="L62" i="7"/>
  <c r="L63" i="7"/>
  <c r="L61" i="7"/>
  <c r="N62" i="7"/>
  <c r="N63" i="7"/>
  <c r="N61" i="7"/>
  <c r="O62" i="7"/>
  <c r="O63" i="7"/>
  <c r="O61" i="7"/>
  <c r="P62" i="7"/>
  <c r="P63" i="7"/>
  <c r="P61" i="7"/>
  <c r="Q62" i="7"/>
  <c r="Q63" i="7"/>
  <c r="Q61" i="7"/>
  <c r="S62" i="7"/>
  <c r="S63" i="7"/>
  <c r="S61" i="7"/>
  <c r="T62" i="7"/>
  <c r="T63" i="7"/>
  <c r="T61" i="7"/>
  <c r="U62" i="7"/>
  <c r="U63" i="7"/>
  <c r="U61" i="7"/>
  <c r="V62" i="7"/>
  <c r="V63" i="7"/>
  <c r="V61" i="7"/>
  <c r="X62" i="7"/>
  <c r="X63" i="7"/>
  <c r="X61" i="7"/>
  <c r="Y62" i="7"/>
  <c r="Y63" i="7"/>
  <c r="Y61" i="7"/>
  <c r="Z62" i="7"/>
  <c r="Z63" i="7"/>
  <c r="Z61" i="7"/>
  <c r="AA62" i="7"/>
  <c r="AA63" i="7"/>
  <c r="AA61" i="7"/>
  <c r="AC62" i="7"/>
  <c r="AC63" i="7"/>
  <c r="AC61" i="7"/>
  <c r="AD62" i="7"/>
  <c r="AD63" i="7"/>
  <c r="AD61" i="7"/>
  <c r="AE62" i="7"/>
  <c r="AE63" i="7"/>
  <c r="AE61" i="7"/>
  <c r="AF62" i="7"/>
  <c r="AF63" i="7"/>
  <c r="AF61" i="7"/>
  <c r="G24" i="7"/>
  <c r="G22" i="7"/>
  <c r="I24" i="7"/>
  <c r="I22" i="7"/>
  <c r="J24" i="7"/>
  <c r="J22" i="7"/>
  <c r="K24" i="7"/>
  <c r="K22" i="7"/>
  <c r="L24" i="7"/>
  <c r="L22" i="7"/>
  <c r="N24" i="7"/>
  <c r="N22" i="7"/>
  <c r="O24" i="7"/>
  <c r="O22" i="7"/>
  <c r="P24" i="7"/>
  <c r="P22" i="7"/>
  <c r="Q24" i="7"/>
  <c r="Q22" i="7"/>
  <c r="S24" i="7"/>
  <c r="S22" i="7"/>
  <c r="T24" i="7"/>
  <c r="T22" i="7"/>
  <c r="U24" i="7"/>
  <c r="U22" i="7"/>
  <c r="V24" i="7"/>
  <c r="V22" i="7"/>
  <c r="X24" i="7"/>
  <c r="X22" i="7"/>
  <c r="Y24" i="7"/>
  <c r="Y22" i="7"/>
  <c r="Z24" i="7"/>
  <c r="Z22" i="7"/>
  <c r="AA24" i="7"/>
  <c r="AA22" i="7"/>
  <c r="AC24" i="7"/>
  <c r="AC22" i="7"/>
  <c r="AD24" i="7"/>
  <c r="AD22" i="7"/>
  <c r="AE24" i="7"/>
  <c r="AE22" i="7"/>
  <c r="AF24" i="7"/>
  <c r="AF22" i="7"/>
  <c r="G23" i="7"/>
  <c r="I23" i="7"/>
  <c r="J23" i="7"/>
  <c r="K23" i="7"/>
  <c r="L23" i="7"/>
  <c r="N23" i="7"/>
  <c r="O23" i="7"/>
  <c r="P23" i="7"/>
  <c r="Q23" i="7"/>
  <c r="S23" i="7"/>
  <c r="T23" i="7"/>
  <c r="U23" i="7"/>
  <c r="V23" i="7"/>
  <c r="X23" i="7"/>
  <c r="Y23" i="7"/>
  <c r="Z23" i="7"/>
  <c r="AA23" i="7"/>
  <c r="AC23" i="7"/>
  <c r="AD23" i="7"/>
  <c r="AE23" i="7"/>
  <c r="AF23" i="7"/>
  <c r="G36" i="7"/>
  <c r="G35" i="7"/>
  <c r="G40" i="7"/>
  <c r="I36" i="7"/>
  <c r="I35" i="7"/>
  <c r="I40" i="7"/>
  <c r="J36" i="7"/>
  <c r="J35" i="7"/>
  <c r="J40" i="7"/>
  <c r="K36" i="7"/>
  <c r="K35" i="7"/>
  <c r="K40" i="7"/>
  <c r="L36" i="7"/>
  <c r="L35" i="7"/>
  <c r="L40" i="7"/>
  <c r="N36" i="7"/>
  <c r="N35" i="7"/>
  <c r="N40" i="7"/>
  <c r="O36" i="7"/>
  <c r="O35" i="7"/>
  <c r="O40" i="7"/>
  <c r="P36" i="7"/>
  <c r="P35" i="7"/>
  <c r="P40" i="7"/>
  <c r="Q36" i="7"/>
  <c r="Q35" i="7"/>
  <c r="Q40" i="7"/>
  <c r="S36" i="7"/>
  <c r="S35" i="7"/>
  <c r="S40" i="7"/>
  <c r="T36" i="7"/>
  <c r="T35" i="7"/>
  <c r="T40" i="7"/>
  <c r="U36" i="7"/>
  <c r="U35" i="7"/>
  <c r="U40" i="7"/>
  <c r="V36" i="7"/>
  <c r="V35" i="7"/>
  <c r="V40" i="7"/>
  <c r="X36" i="7"/>
  <c r="X35" i="7"/>
  <c r="X40" i="7"/>
  <c r="Y36" i="7"/>
  <c r="Y35" i="7"/>
  <c r="Y40" i="7"/>
  <c r="Z36" i="7"/>
  <c r="Z35" i="7"/>
  <c r="Z40" i="7"/>
  <c r="AA36" i="7"/>
  <c r="AA35" i="7"/>
  <c r="AA40" i="7"/>
  <c r="AC36" i="7"/>
  <c r="AC35" i="7"/>
  <c r="AC40" i="7"/>
  <c r="AD36" i="7"/>
  <c r="AD35" i="7"/>
  <c r="AD40" i="7"/>
  <c r="AE36" i="7"/>
  <c r="AE35" i="7"/>
  <c r="AE40" i="7"/>
  <c r="AF36" i="7"/>
  <c r="AF35" i="7"/>
  <c r="AF40" i="7"/>
  <c r="G144" i="7"/>
  <c r="G146" i="7"/>
  <c r="G143" i="7"/>
  <c r="I144" i="7"/>
  <c r="I146" i="7"/>
  <c r="I143" i="7"/>
  <c r="J144" i="7"/>
  <c r="J146" i="7"/>
  <c r="J143" i="7"/>
  <c r="K144" i="7"/>
  <c r="K146" i="7"/>
  <c r="K143" i="7"/>
  <c r="L144" i="7"/>
  <c r="L146" i="7"/>
  <c r="L143" i="7"/>
  <c r="N144" i="7"/>
  <c r="N146" i="7"/>
  <c r="N143" i="7"/>
  <c r="O144" i="7"/>
  <c r="O146" i="7"/>
  <c r="O143" i="7"/>
  <c r="P144" i="7"/>
  <c r="P146" i="7"/>
  <c r="P143" i="7"/>
  <c r="Q144" i="7"/>
  <c r="Q146" i="7"/>
  <c r="Q143" i="7"/>
  <c r="S144" i="7"/>
  <c r="S146" i="7"/>
  <c r="S143" i="7"/>
  <c r="T144" i="7"/>
  <c r="T146" i="7"/>
  <c r="T143" i="7"/>
  <c r="U144" i="7"/>
  <c r="U146" i="7"/>
  <c r="U143" i="7"/>
  <c r="V144" i="7"/>
  <c r="V146" i="7"/>
  <c r="V143" i="7"/>
  <c r="X144" i="7"/>
  <c r="X146" i="7"/>
  <c r="X143" i="7"/>
  <c r="Y144" i="7"/>
  <c r="Y146" i="7"/>
  <c r="Y143" i="7"/>
  <c r="Z144" i="7"/>
  <c r="Z146" i="7"/>
  <c r="Z143" i="7"/>
  <c r="AA144" i="7"/>
  <c r="AA146" i="7"/>
  <c r="AA143" i="7"/>
  <c r="AC144" i="7"/>
  <c r="AC146" i="7"/>
  <c r="AC143" i="7"/>
  <c r="AD144" i="7"/>
  <c r="AD146" i="7"/>
  <c r="AD143" i="7"/>
  <c r="AE144" i="7"/>
  <c r="AE146" i="7"/>
  <c r="AE143" i="7"/>
  <c r="AF144" i="7"/>
  <c r="AF146" i="7"/>
  <c r="AF143" i="7"/>
  <c r="G122" i="7"/>
  <c r="G119" i="7"/>
  <c r="I122" i="7"/>
  <c r="I119" i="7"/>
  <c r="J122" i="7"/>
  <c r="J119" i="7"/>
  <c r="K122" i="7"/>
  <c r="K119" i="7"/>
  <c r="L122" i="7"/>
  <c r="L119" i="7"/>
  <c r="N122" i="7"/>
  <c r="N119" i="7"/>
  <c r="O122" i="7"/>
  <c r="O119" i="7"/>
  <c r="P122" i="7"/>
  <c r="P119" i="7"/>
  <c r="Q122" i="7"/>
  <c r="Q119" i="7"/>
  <c r="S122" i="7"/>
  <c r="S119" i="7"/>
  <c r="T122" i="7"/>
  <c r="T119" i="7"/>
  <c r="U122" i="7"/>
  <c r="U119" i="7"/>
  <c r="V122" i="7"/>
  <c r="V119" i="7"/>
  <c r="X122" i="7"/>
  <c r="X119" i="7"/>
  <c r="Y122" i="7"/>
  <c r="Y119" i="7"/>
  <c r="Z122" i="7"/>
  <c r="Z119" i="7"/>
  <c r="AA122" i="7"/>
  <c r="AA119" i="7"/>
  <c r="AC122" i="7"/>
  <c r="AC119" i="7"/>
  <c r="AD122" i="7"/>
  <c r="AD119" i="7"/>
  <c r="AE122" i="7"/>
  <c r="AE119" i="7"/>
  <c r="AF122" i="7"/>
  <c r="AF119" i="7"/>
  <c r="G120" i="7"/>
  <c r="I120" i="7"/>
  <c r="J120" i="7"/>
  <c r="K120" i="7"/>
  <c r="L120" i="7"/>
  <c r="N120" i="7"/>
  <c r="O120" i="7"/>
  <c r="P120" i="7"/>
  <c r="Q120" i="7"/>
  <c r="S120" i="7"/>
  <c r="T120" i="7"/>
  <c r="U120" i="7"/>
  <c r="V120" i="7"/>
  <c r="X120" i="7"/>
  <c r="Y120" i="7"/>
  <c r="Z120" i="7"/>
  <c r="AA120" i="7"/>
  <c r="AC120" i="7"/>
  <c r="AD120" i="7"/>
  <c r="AE120" i="7"/>
  <c r="AF120" i="7"/>
  <c r="G52" i="7"/>
  <c r="G49" i="7"/>
  <c r="I52" i="7"/>
  <c r="I49" i="7"/>
  <c r="J52" i="7"/>
  <c r="J49" i="7"/>
  <c r="K52" i="7"/>
  <c r="K49" i="7"/>
  <c r="L52" i="7"/>
  <c r="L49" i="7"/>
  <c r="N52" i="7"/>
  <c r="N49" i="7"/>
  <c r="O52" i="7"/>
  <c r="O49" i="7"/>
  <c r="P52" i="7"/>
  <c r="P49" i="7"/>
  <c r="Q52" i="7"/>
  <c r="Q49" i="7"/>
  <c r="S52" i="7"/>
  <c r="S49" i="7"/>
  <c r="T52" i="7"/>
  <c r="T49" i="7"/>
  <c r="U52" i="7"/>
  <c r="U49" i="7"/>
  <c r="V52" i="7"/>
  <c r="V49" i="7"/>
  <c r="X52" i="7"/>
  <c r="X49" i="7"/>
  <c r="Y52" i="7"/>
  <c r="Y49" i="7"/>
  <c r="Z52" i="7"/>
  <c r="Z49" i="7"/>
  <c r="AA52" i="7"/>
  <c r="AA49" i="7"/>
  <c r="AC52" i="7"/>
  <c r="AC49" i="7"/>
  <c r="AD52" i="7"/>
  <c r="AD49" i="7"/>
  <c r="AE52" i="7"/>
  <c r="AE49" i="7"/>
  <c r="AF52" i="7"/>
  <c r="AF49" i="7"/>
  <c r="G50" i="7"/>
  <c r="I50" i="7"/>
  <c r="J50" i="7"/>
  <c r="K50" i="7"/>
  <c r="L50" i="7"/>
  <c r="N50" i="7"/>
  <c r="O50" i="7"/>
  <c r="P50" i="7"/>
  <c r="Q50" i="7"/>
  <c r="S50" i="7"/>
  <c r="T50" i="7"/>
  <c r="U50" i="7"/>
  <c r="V50" i="7"/>
  <c r="X50" i="7"/>
  <c r="Y50" i="7"/>
  <c r="Z50" i="7"/>
  <c r="AA50" i="7"/>
  <c r="AC50" i="7"/>
  <c r="AD50" i="7"/>
  <c r="AE50" i="7"/>
  <c r="AF50" i="7"/>
  <c r="G95" i="7"/>
  <c r="I95" i="7"/>
  <c r="J95" i="7"/>
  <c r="K95" i="7"/>
  <c r="L95" i="7"/>
  <c r="N95" i="7"/>
  <c r="O95" i="7"/>
  <c r="P95" i="7"/>
  <c r="Q95" i="7"/>
  <c r="S95" i="7"/>
  <c r="T95" i="7"/>
  <c r="U95" i="7"/>
  <c r="V95" i="7"/>
  <c r="X95" i="7"/>
  <c r="Y95" i="7"/>
  <c r="Z95" i="7"/>
  <c r="AA95" i="7"/>
  <c r="AC95" i="7"/>
  <c r="AD95" i="7"/>
  <c r="AE95" i="7"/>
  <c r="AF95" i="7"/>
  <c r="G98" i="7"/>
  <c r="I98" i="7"/>
  <c r="J98" i="7"/>
  <c r="K98" i="7"/>
  <c r="L98" i="7"/>
  <c r="N98" i="7"/>
  <c r="O98" i="7"/>
  <c r="P98" i="7"/>
  <c r="Q98" i="7"/>
  <c r="S98" i="7"/>
  <c r="T98" i="7"/>
  <c r="U98" i="7"/>
  <c r="V98" i="7"/>
  <c r="X98" i="7"/>
  <c r="Y98" i="7"/>
  <c r="Z98" i="7"/>
  <c r="AA98" i="7"/>
  <c r="AC98" i="7"/>
  <c r="AD98" i="7"/>
  <c r="AE98" i="7"/>
  <c r="AF98" i="7"/>
  <c r="G96" i="7"/>
  <c r="I96" i="7"/>
  <c r="J96" i="7"/>
  <c r="K96" i="7"/>
  <c r="L96" i="7"/>
  <c r="N96" i="7"/>
  <c r="O96" i="7"/>
  <c r="P96" i="7"/>
  <c r="Q96" i="7"/>
  <c r="S96" i="7"/>
  <c r="T96" i="7"/>
  <c r="U96" i="7"/>
  <c r="V96" i="7"/>
  <c r="X96" i="7"/>
  <c r="Y96" i="7"/>
  <c r="Z96" i="7"/>
  <c r="AA96" i="7"/>
  <c r="AC96" i="7"/>
  <c r="AD96" i="7"/>
  <c r="AE96" i="7"/>
  <c r="AF96" i="7"/>
  <c r="G159" i="7"/>
  <c r="G157" i="7"/>
  <c r="I159" i="7"/>
  <c r="I157" i="7"/>
  <c r="J159" i="7"/>
  <c r="J157" i="7"/>
  <c r="K159" i="7"/>
  <c r="K157" i="7"/>
  <c r="L159" i="7"/>
  <c r="L157" i="7"/>
  <c r="N159" i="7"/>
  <c r="N157" i="7"/>
  <c r="O159" i="7"/>
  <c r="O157" i="7"/>
  <c r="P159" i="7"/>
  <c r="P157" i="7"/>
  <c r="Q159" i="7"/>
  <c r="Q157" i="7"/>
  <c r="S159" i="7"/>
  <c r="S157" i="7"/>
  <c r="T159" i="7"/>
  <c r="T157" i="7"/>
  <c r="U159" i="7"/>
  <c r="U157" i="7"/>
  <c r="V159" i="7"/>
  <c r="V157" i="7"/>
  <c r="X159" i="7"/>
  <c r="X157" i="7"/>
  <c r="Y159" i="7"/>
  <c r="Y157" i="7"/>
  <c r="Z159" i="7"/>
  <c r="Z157" i="7"/>
  <c r="AA159" i="7"/>
  <c r="AA157" i="7"/>
  <c r="AC159" i="7"/>
  <c r="AC157" i="7"/>
  <c r="AD159" i="7"/>
  <c r="AD157" i="7"/>
  <c r="AE159" i="7"/>
  <c r="AE157" i="7"/>
  <c r="AF159" i="7"/>
  <c r="AF157" i="7"/>
  <c r="G160" i="7"/>
  <c r="I160" i="7"/>
  <c r="J160" i="7"/>
  <c r="K160" i="7"/>
  <c r="L160" i="7"/>
  <c r="N160" i="7"/>
  <c r="O160" i="7"/>
  <c r="P160" i="7"/>
  <c r="Q160" i="7"/>
  <c r="S160" i="7"/>
  <c r="T160" i="7"/>
  <c r="U160" i="7"/>
  <c r="V160" i="7"/>
  <c r="X160" i="7"/>
  <c r="Y160" i="7"/>
  <c r="Z160" i="7"/>
  <c r="AA160" i="7"/>
  <c r="AC160" i="7"/>
  <c r="AD160" i="7"/>
  <c r="AE160" i="7"/>
  <c r="AF160" i="7"/>
  <c r="G112" i="7"/>
  <c r="G104" i="7"/>
  <c r="I112" i="7"/>
  <c r="I104" i="7"/>
  <c r="J112" i="7"/>
  <c r="J104" i="7"/>
  <c r="K112" i="7"/>
  <c r="K104" i="7"/>
  <c r="L112" i="7"/>
  <c r="L104" i="7"/>
  <c r="N112" i="7"/>
  <c r="N104" i="7"/>
  <c r="O112" i="7"/>
  <c r="O104" i="7"/>
  <c r="P112" i="7"/>
  <c r="P104" i="7"/>
  <c r="Q112" i="7"/>
  <c r="Q104" i="7"/>
  <c r="S112" i="7"/>
  <c r="S104" i="7"/>
  <c r="T112" i="7"/>
  <c r="T104" i="7"/>
  <c r="U112" i="7"/>
  <c r="U104" i="7"/>
  <c r="V112" i="7"/>
  <c r="V104" i="7"/>
  <c r="X112" i="7"/>
  <c r="X104" i="7"/>
  <c r="Y112" i="7"/>
  <c r="Y104" i="7"/>
  <c r="Z112" i="7"/>
  <c r="Z104" i="7"/>
  <c r="AA112" i="7"/>
  <c r="AA104" i="7"/>
  <c r="AC112" i="7"/>
  <c r="AC104" i="7"/>
  <c r="AD112" i="7"/>
  <c r="AD104" i="7"/>
  <c r="AE112" i="7"/>
  <c r="AE104" i="7"/>
  <c r="AF112" i="7"/>
  <c r="AF104" i="7"/>
  <c r="G111" i="7"/>
  <c r="I111" i="7"/>
  <c r="J111" i="7"/>
  <c r="K111" i="7"/>
  <c r="L111" i="7"/>
  <c r="N111" i="7"/>
  <c r="O111" i="7"/>
  <c r="P111" i="7"/>
  <c r="Q111" i="7"/>
  <c r="S111" i="7"/>
  <c r="T111" i="7"/>
  <c r="U111" i="7"/>
  <c r="V111" i="7"/>
  <c r="X111" i="7"/>
  <c r="Y111" i="7"/>
  <c r="Z111" i="7"/>
  <c r="AA111" i="7"/>
  <c r="AC111" i="7"/>
  <c r="AD111" i="7"/>
  <c r="AE111" i="7"/>
  <c r="AF111" i="7"/>
  <c r="G91" i="7"/>
  <c r="I91" i="7"/>
  <c r="J91" i="7"/>
  <c r="K91" i="7"/>
  <c r="L91" i="7"/>
  <c r="N91" i="7"/>
  <c r="O91" i="7"/>
  <c r="P91" i="7"/>
  <c r="Q91" i="7"/>
  <c r="S91" i="7"/>
  <c r="T91" i="7"/>
  <c r="U91" i="7"/>
  <c r="V91" i="7"/>
  <c r="X91" i="7"/>
  <c r="Y91" i="7"/>
  <c r="Z91" i="7"/>
  <c r="AA91" i="7"/>
  <c r="AC91" i="7"/>
  <c r="AD91" i="7"/>
  <c r="AE91" i="7"/>
  <c r="AF91" i="7"/>
  <c r="G90" i="7"/>
  <c r="G88" i="7"/>
  <c r="I90" i="7"/>
  <c r="I88" i="7"/>
  <c r="J90" i="7"/>
  <c r="J88" i="7"/>
  <c r="K90" i="7"/>
  <c r="K88" i="7"/>
  <c r="L90" i="7"/>
  <c r="L88" i="7"/>
  <c r="N90" i="7"/>
  <c r="N88" i="7"/>
  <c r="O90" i="7"/>
  <c r="O88" i="7"/>
  <c r="P90" i="7"/>
  <c r="P88" i="7"/>
  <c r="Q90" i="7"/>
  <c r="Q88" i="7"/>
  <c r="S90" i="7"/>
  <c r="S88" i="7"/>
  <c r="T90" i="7"/>
  <c r="T88" i="7"/>
  <c r="U90" i="7"/>
  <c r="U88" i="7"/>
  <c r="V90" i="7"/>
  <c r="V88" i="7"/>
  <c r="X90" i="7"/>
  <c r="X88" i="7"/>
  <c r="Y90" i="7"/>
  <c r="Y88" i="7"/>
  <c r="Z90" i="7"/>
  <c r="Z88" i="7"/>
  <c r="AA90" i="7"/>
  <c r="AA88" i="7"/>
  <c r="AC90" i="7"/>
  <c r="AC88" i="7"/>
  <c r="AD90" i="7"/>
  <c r="AD88" i="7"/>
  <c r="AE90" i="7"/>
  <c r="AE88" i="7"/>
  <c r="AF90" i="7"/>
  <c r="AF88" i="7"/>
  <c r="G86" i="7"/>
  <c r="G80" i="7"/>
  <c r="I86" i="7"/>
  <c r="I80" i="7"/>
  <c r="J86" i="7"/>
  <c r="J80" i="7"/>
  <c r="K86" i="7"/>
  <c r="K80" i="7"/>
  <c r="L86" i="7"/>
  <c r="L80" i="7"/>
  <c r="N86" i="7"/>
  <c r="N80" i="7"/>
  <c r="O86" i="7"/>
  <c r="O80" i="7"/>
  <c r="P86" i="7"/>
  <c r="P80" i="7"/>
  <c r="Q86" i="7"/>
  <c r="Q80" i="7"/>
  <c r="S86" i="7"/>
  <c r="S80" i="7"/>
  <c r="T86" i="7"/>
  <c r="T80" i="7"/>
  <c r="U86" i="7"/>
  <c r="U80" i="7"/>
  <c r="V86" i="7"/>
  <c r="V80" i="7"/>
  <c r="X86" i="7"/>
  <c r="X80" i="7"/>
  <c r="Y86" i="7"/>
  <c r="Y80" i="7"/>
  <c r="Z86" i="7"/>
  <c r="Z80" i="7"/>
  <c r="AA86" i="7"/>
  <c r="AA80" i="7"/>
  <c r="AC86" i="7"/>
  <c r="AC80" i="7"/>
  <c r="AD86" i="7"/>
  <c r="AD80" i="7"/>
  <c r="AE86" i="7"/>
  <c r="AE80" i="7"/>
  <c r="AF86" i="7"/>
  <c r="AF80" i="7"/>
  <c r="G84" i="7"/>
  <c r="I84" i="7"/>
  <c r="J84" i="7"/>
  <c r="K84" i="7"/>
  <c r="L84" i="7"/>
  <c r="N84" i="7"/>
  <c r="O84" i="7"/>
  <c r="P84" i="7"/>
  <c r="Q84" i="7"/>
  <c r="S84" i="7"/>
  <c r="T84" i="7"/>
  <c r="U84" i="7"/>
  <c r="V84" i="7"/>
  <c r="X84" i="7"/>
  <c r="Y84" i="7"/>
  <c r="Z84" i="7"/>
  <c r="AA84" i="7"/>
  <c r="AC84" i="7"/>
  <c r="AD84" i="7"/>
  <c r="AE84" i="7"/>
  <c r="AF84" i="7"/>
  <c r="G46" i="7"/>
  <c r="G37" i="7"/>
  <c r="I46" i="7"/>
  <c r="I37" i="7"/>
  <c r="J46" i="7"/>
  <c r="J37" i="7"/>
  <c r="K46" i="7"/>
  <c r="K37" i="7"/>
  <c r="L46" i="7"/>
  <c r="L37" i="7"/>
  <c r="N46" i="7"/>
  <c r="N37" i="7"/>
  <c r="O46" i="7"/>
  <c r="O37" i="7"/>
  <c r="P46" i="7"/>
  <c r="P37" i="7"/>
  <c r="Q46" i="7"/>
  <c r="Q37" i="7"/>
  <c r="S46" i="7"/>
  <c r="S37" i="7"/>
  <c r="T46" i="7"/>
  <c r="T37" i="7"/>
  <c r="U46" i="7"/>
  <c r="U37" i="7"/>
  <c r="V46" i="7"/>
  <c r="V37" i="7"/>
  <c r="X46" i="7"/>
  <c r="X37" i="7"/>
  <c r="Y46" i="7"/>
  <c r="Y37" i="7"/>
  <c r="Z46" i="7"/>
  <c r="Z37" i="7"/>
  <c r="AA46" i="7"/>
  <c r="AA37" i="7"/>
  <c r="AC46" i="7"/>
  <c r="AC37" i="7"/>
  <c r="AD46" i="7"/>
  <c r="AD37" i="7"/>
  <c r="AE46" i="7"/>
  <c r="AE37" i="7"/>
  <c r="AF46" i="7"/>
  <c r="AF37" i="7"/>
  <c r="G44" i="7"/>
  <c r="I44" i="7"/>
  <c r="J44" i="7"/>
  <c r="K44" i="7"/>
  <c r="L44" i="7"/>
  <c r="N44" i="7"/>
  <c r="O44" i="7"/>
  <c r="P44" i="7"/>
  <c r="Q44" i="7"/>
  <c r="S44" i="7"/>
  <c r="T44" i="7"/>
  <c r="U44" i="7"/>
  <c r="V44" i="7"/>
  <c r="X44" i="7"/>
  <c r="Y44" i="7"/>
  <c r="Z44" i="7"/>
  <c r="AA44" i="7"/>
  <c r="AC44" i="7"/>
  <c r="AD44" i="7"/>
  <c r="AE44" i="7"/>
  <c r="AF44" i="7"/>
  <c r="G19" i="7"/>
  <c r="G18" i="7"/>
  <c r="I19" i="7"/>
  <c r="I18" i="7"/>
  <c r="J19" i="7"/>
  <c r="J18" i="7"/>
  <c r="K19" i="7"/>
  <c r="K18" i="7"/>
  <c r="L19" i="7"/>
  <c r="L18" i="7"/>
  <c r="N19" i="7"/>
  <c r="N18" i="7"/>
  <c r="O19" i="7"/>
  <c r="O18" i="7"/>
  <c r="P19" i="7"/>
  <c r="P18" i="7"/>
  <c r="Q19" i="7"/>
  <c r="Q18" i="7"/>
  <c r="S19" i="7"/>
  <c r="S18" i="7"/>
  <c r="T19" i="7"/>
  <c r="T18" i="7"/>
  <c r="U19" i="7"/>
  <c r="U18" i="7"/>
  <c r="V19" i="7"/>
  <c r="V18" i="7"/>
  <c r="X19" i="7"/>
  <c r="X18" i="7"/>
  <c r="Y19" i="7"/>
  <c r="Y18" i="7"/>
  <c r="Z19" i="7"/>
  <c r="Z18" i="7"/>
  <c r="AA19" i="7"/>
  <c r="AA18" i="7"/>
  <c r="AC19" i="7"/>
  <c r="AC18" i="7"/>
  <c r="AD19" i="7"/>
  <c r="AD18" i="7"/>
  <c r="AE19" i="7"/>
  <c r="AE18" i="7"/>
  <c r="AF19" i="7"/>
  <c r="AF18" i="7"/>
  <c r="G17" i="7"/>
  <c r="I17" i="7"/>
  <c r="J17" i="7"/>
  <c r="K17" i="7"/>
  <c r="L17" i="7"/>
  <c r="N17" i="7"/>
  <c r="O17" i="7"/>
  <c r="P17" i="7"/>
  <c r="Q17" i="7"/>
  <c r="S17" i="7"/>
  <c r="T17" i="7"/>
  <c r="U17" i="7"/>
  <c r="V17" i="7"/>
  <c r="X17" i="7"/>
  <c r="Y17" i="7"/>
  <c r="Z17" i="7"/>
  <c r="AA17" i="7"/>
  <c r="AC17" i="7"/>
  <c r="AD17" i="7"/>
  <c r="AE17" i="7"/>
  <c r="AF17" i="7"/>
  <c r="G10" i="7"/>
  <c r="I10" i="7"/>
  <c r="J10" i="7"/>
  <c r="K10" i="7"/>
  <c r="L10" i="7"/>
  <c r="N10" i="7"/>
  <c r="O10" i="7"/>
  <c r="P10" i="7"/>
  <c r="Q10" i="7"/>
  <c r="S10" i="7"/>
  <c r="T10" i="7"/>
  <c r="U10" i="7"/>
  <c r="V10" i="7"/>
  <c r="X10" i="7"/>
  <c r="Y10" i="7"/>
  <c r="Z10" i="7"/>
  <c r="AA10" i="7"/>
  <c r="AC10" i="7"/>
  <c r="AD10" i="7"/>
  <c r="AE10" i="7"/>
  <c r="AF10" i="7"/>
  <c r="G9" i="7"/>
  <c r="I9" i="7"/>
  <c r="J9" i="7"/>
  <c r="K9" i="7"/>
  <c r="L9" i="7"/>
  <c r="N9" i="7"/>
  <c r="O9" i="7"/>
  <c r="P9" i="7"/>
  <c r="Q9" i="7"/>
  <c r="S9" i="7"/>
  <c r="T9" i="7"/>
  <c r="U9" i="7"/>
  <c r="V9" i="7"/>
  <c r="X9" i="7"/>
  <c r="Y9" i="7"/>
  <c r="Z9" i="7"/>
  <c r="AA9" i="7"/>
  <c r="AC9" i="7"/>
  <c r="AD9" i="7"/>
  <c r="AE9" i="7"/>
  <c r="AF9" i="7"/>
  <c r="G8" i="7"/>
  <c r="I8" i="7"/>
  <c r="J8" i="7"/>
  <c r="K8" i="7"/>
  <c r="L8" i="7"/>
  <c r="N8" i="7"/>
  <c r="O8" i="7"/>
  <c r="P8" i="7"/>
  <c r="Q8" i="7"/>
  <c r="S8" i="7"/>
  <c r="T8" i="7"/>
  <c r="U8" i="7"/>
  <c r="V8" i="7"/>
  <c r="X8" i="7"/>
  <c r="Y8" i="7"/>
  <c r="Z8" i="7"/>
  <c r="AA8" i="7"/>
  <c r="AC8" i="7"/>
  <c r="AD8" i="7"/>
  <c r="AE8" i="7"/>
  <c r="AF8" i="7"/>
  <c r="AC12" i="7"/>
  <c r="AD12" i="7"/>
  <c r="AE12" i="7"/>
  <c r="AF12" i="7"/>
  <c r="AC13" i="7"/>
  <c r="AD13" i="7"/>
  <c r="AE13" i="7"/>
  <c r="AF13" i="7"/>
  <c r="AC41" i="7"/>
  <c r="AD41" i="7"/>
  <c r="AE41" i="7"/>
  <c r="AF41" i="7"/>
  <c r="AC43" i="7"/>
  <c r="AD43" i="7"/>
  <c r="AE43" i="7"/>
  <c r="AF43" i="7"/>
  <c r="AC34" i="7"/>
  <c r="AD34" i="7"/>
  <c r="AE34" i="7"/>
  <c r="AF34" i="7"/>
  <c r="AC53" i="7"/>
  <c r="AD53" i="7"/>
  <c r="AE53" i="7"/>
  <c r="AF53" i="7"/>
  <c r="AC54" i="7"/>
  <c r="AD54" i="7"/>
  <c r="AE54" i="7"/>
  <c r="AF54" i="7"/>
  <c r="AC55" i="7"/>
  <c r="AD55" i="7"/>
  <c r="AE55" i="7"/>
  <c r="AF55" i="7"/>
  <c r="AC56" i="7"/>
  <c r="AD56" i="7"/>
  <c r="AE56" i="7"/>
  <c r="AF56" i="7"/>
  <c r="AC57" i="7"/>
  <c r="AD57" i="7"/>
  <c r="AE57" i="7"/>
  <c r="AF57" i="7"/>
  <c r="AC58" i="7"/>
  <c r="AD58" i="7"/>
  <c r="AE58" i="7"/>
  <c r="AF58" i="7"/>
  <c r="AC65" i="7"/>
  <c r="AD65" i="7"/>
  <c r="AE65" i="7"/>
  <c r="AF65" i="7"/>
  <c r="AC66" i="7"/>
  <c r="AD66" i="7"/>
  <c r="AE66" i="7"/>
  <c r="AF66" i="7"/>
  <c r="AC67" i="7"/>
  <c r="AD67" i="7"/>
  <c r="AE67" i="7"/>
  <c r="AF67" i="7"/>
  <c r="AC69" i="7"/>
  <c r="AD69" i="7"/>
  <c r="AE69" i="7"/>
  <c r="AF69" i="7"/>
  <c r="AC70" i="7"/>
  <c r="AD70" i="7"/>
  <c r="AE70" i="7"/>
  <c r="AF70" i="7"/>
  <c r="AC71" i="7"/>
  <c r="AD71" i="7"/>
  <c r="AE71" i="7"/>
  <c r="AF71" i="7"/>
  <c r="AC87" i="7"/>
  <c r="AD87" i="7"/>
  <c r="AE87" i="7"/>
  <c r="AF87" i="7"/>
  <c r="AC89" i="7"/>
  <c r="AD89" i="7"/>
  <c r="AE89" i="7"/>
  <c r="AF89" i="7"/>
  <c r="AC92" i="7"/>
  <c r="AD92" i="7"/>
  <c r="AE92" i="7"/>
  <c r="AF92" i="7"/>
  <c r="AC108" i="7"/>
  <c r="AD108" i="7"/>
  <c r="AE108" i="7"/>
  <c r="AF108" i="7"/>
  <c r="AC110" i="7"/>
  <c r="AD110" i="7"/>
  <c r="AE110" i="7"/>
  <c r="AF110" i="7"/>
  <c r="AC113" i="7"/>
  <c r="AD113" i="7"/>
  <c r="AE113" i="7"/>
  <c r="AF113" i="7"/>
  <c r="AC123" i="7"/>
  <c r="AD123" i="7"/>
  <c r="AE123" i="7"/>
  <c r="AF123" i="7"/>
  <c r="AC124" i="7"/>
  <c r="AD124" i="7"/>
  <c r="AE124" i="7"/>
  <c r="AF124" i="7"/>
  <c r="AC125" i="7"/>
  <c r="AD125" i="7"/>
  <c r="AE125" i="7"/>
  <c r="AF125" i="7"/>
  <c r="AC132" i="7"/>
  <c r="AD132" i="7"/>
  <c r="AE132" i="7"/>
  <c r="AF132" i="7"/>
  <c r="AC133" i="7"/>
  <c r="AD133" i="7"/>
  <c r="AE133" i="7"/>
  <c r="AF133" i="7"/>
  <c r="AC128" i="7"/>
  <c r="AD128" i="7"/>
  <c r="AE128" i="7"/>
  <c r="AF128" i="7"/>
  <c r="AC135" i="7"/>
  <c r="AD135" i="7"/>
  <c r="AE135" i="7"/>
  <c r="AF135" i="7"/>
  <c r="AC136" i="7"/>
  <c r="AD136" i="7"/>
  <c r="AE136" i="7"/>
  <c r="AF136" i="7"/>
  <c r="AC137" i="7"/>
  <c r="AD137" i="7"/>
  <c r="AE137" i="7"/>
  <c r="AF137" i="7"/>
  <c r="AC138" i="7"/>
  <c r="AD138" i="7"/>
  <c r="AE138" i="7"/>
  <c r="AF138" i="7"/>
  <c r="AC139" i="7"/>
  <c r="AD139" i="7"/>
  <c r="AE139" i="7"/>
  <c r="AF139" i="7"/>
  <c r="AC140" i="7"/>
  <c r="AD140" i="7"/>
  <c r="AE140" i="7"/>
  <c r="AF140" i="7"/>
  <c r="AC147" i="7"/>
  <c r="AD147" i="7"/>
  <c r="AE147" i="7"/>
  <c r="AF147" i="7"/>
  <c r="AC148" i="7"/>
  <c r="AD148" i="7"/>
  <c r="AE148" i="7"/>
  <c r="AF148" i="7"/>
  <c r="AC149" i="7"/>
  <c r="AD149" i="7"/>
  <c r="AE149" i="7"/>
  <c r="AF149" i="7"/>
  <c r="AC156" i="7"/>
  <c r="AD156" i="7"/>
  <c r="AE156" i="7"/>
  <c r="AF156" i="7"/>
  <c r="AC158" i="7"/>
  <c r="AD158" i="7"/>
  <c r="AE158" i="7"/>
  <c r="AF158" i="7"/>
  <c r="AC161" i="7"/>
  <c r="AD161" i="7"/>
  <c r="AE161" i="7"/>
  <c r="AF161" i="7"/>
  <c r="AC5" i="7"/>
  <c r="AD5" i="7"/>
  <c r="AE5" i="7"/>
  <c r="AF5" i="7"/>
  <c r="AC6" i="7"/>
  <c r="AD6" i="7"/>
  <c r="AE6" i="7"/>
  <c r="AF6" i="7"/>
  <c r="AC7" i="7"/>
  <c r="AD7" i="7"/>
  <c r="AE7" i="7"/>
  <c r="AF7" i="7"/>
  <c r="AD11" i="7"/>
  <c r="AE11" i="7"/>
  <c r="AF11" i="7"/>
  <c r="AC11" i="7"/>
  <c r="X12" i="7"/>
  <c r="Y12" i="7"/>
  <c r="Z12" i="7"/>
  <c r="AA12" i="7"/>
  <c r="X13" i="7"/>
  <c r="Y13" i="7"/>
  <c r="Z13" i="7"/>
  <c r="AA13" i="7"/>
  <c r="X41" i="7"/>
  <c r="Y41" i="7"/>
  <c r="Z41" i="7"/>
  <c r="AA41" i="7"/>
  <c r="X43" i="7"/>
  <c r="Y43" i="7"/>
  <c r="Z43" i="7"/>
  <c r="AA43" i="7"/>
  <c r="X34" i="7"/>
  <c r="Y34" i="7"/>
  <c r="Z34" i="7"/>
  <c r="AA34" i="7"/>
  <c r="X53" i="7"/>
  <c r="Y53" i="7"/>
  <c r="Z53" i="7"/>
  <c r="AA53" i="7"/>
  <c r="X54" i="7"/>
  <c r="Y54" i="7"/>
  <c r="Z54" i="7"/>
  <c r="AA54" i="7"/>
  <c r="X55" i="7"/>
  <c r="Y55" i="7"/>
  <c r="Z55" i="7"/>
  <c r="AA55" i="7"/>
  <c r="X56" i="7"/>
  <c r="Y56" i="7"/>
  <c r="Z56" i="7"/>
  <c r="AA56" i="7"/>
  <c r="X57" i="7"/>
  <c r="Y57" i="7"/>
  <c r="Z57" i="7"/>
  <c r="AA57" i="7"/>
  <c r="X58" i="7"/>
  <c r="Y58" i="7"/>
  <c r="Z58" i="7"/>
  <c r="AA58" i="7"/>
  <c r="X65" i="7"/>
  <c r="Y65" i="7"/>
  <c r="Z65" i="7"/>
  <c r="AA65" i="7"/>
  <c r="X66" i="7"/>
  <c r="Y66" i="7"/>
  <c r="Z66" i="7"/>
  <c r="AA66" i="7"/>
  <c r="X67" i="7"/>
  <c r="Y67" i="7"/>
  <c r="Z67" i="7"/>
  <c r="AA67" i="7"/>
  <c r="X69" i="7"/>
  <c r="Y69" i="7"/>
  <c r="Z69" i="7"/>
  <c r="AA69" i="7"/>
  <c r="X70" i="7"/>
  <c r="Y70" i="7"/>
  <c r="Z70" i="7"/>
  <c r="AA70" i="7"/>
  <c r="X71" i="7"/>
  <c r="Y71" i="7"/>
  <c r="Z71" i="7"/>
  <c r="AA71" i="7"/>
  <c r="X87" i="7"/>
  <c r="Y87" i="7"/>
  <c r="Z87" i="7"/>
  <c r="AA87" i="7"/>
  <c r="X89" i="7"/>
  <c r="Y89" i="7"/>
  <c r="Z89" i="7"/>
  <c r="AA89" i="7"/>
  <c r="X92" i="7"/>
  <c r="Y92" i="7"/>
  <c r="Z92" i="7"/>
  <c r="AA92" i="7"/>
  <c r="X108" i="7"/>
  <c r="Y108" i="7"/>
  <c r="Z108" i="7"/>
  <c r="AA108" i="7"/>
  <c r="X110" i="7"/>
  <c r="Y110" i="7"/>
  <c r="Z110" i="7"/>
  <c r="AA110" i="7"/>
  <c r="X113" i="7"/>
  <c r="Y113" i="7"/>
  <c r="Z113" i="7"/>
  <c r="AA113" i="7"/>
  <c r="X123" i="7"/>
  <c r="Y123" i="7"/>
  <c r="Z123" i="7"/>
  <c r="AA123" i="7"/>
  <c r="X124" i="7"/>
  <c r="Y124" i="7"/>
  <c r="Z124" i="7"/>
  <c r="AA124" i="7"/>
  <c r="X125" i="7"/>
  <c r="Y125" i="7"/>
  <c r="Z125" i="7"/>
  <c r="AA125" i="7"/>
  <c r="X132" i="7"/>
  <c r="Y132" i="7"/>
  <c r="Z132" i="7"/>
  <c r="AA132" i="7"/>
  <c r="X133" i="7"/>
  <c r="Y133" i="7"/>
  <c r="Z133" i="7"/>
  <c r="AA133" i="7"/>
  <c r="X128" i="7"/>
  <c r="Y128" i="7"/>
  <c r="Z128" i="7"/>
  <c r="AA128" i="7"/>
  <c r="X135" i="7"/>
  <c r="Y135" i="7"/>
  <c r="Z135" i="7"/>
  <c r="AA135" i="7"/>
  <c r="X136" i="7"/>
  <c r="Y136" i="7"/>
  <c r="Z136" i="7"/>
  <c r="AA136" i="7"/>
  <c r="X137" i="7"/>
  <c r="Y137" i="7"/>
  <c r="Z137" i="7"/>
  <c r="AA137" i="7"/>
  <c r="X138" i="7"/>
  <c r="Y138" i="7"/>
  <c r="Z138" i="7"/>
  <c r="AA138" i="7"/>
  <c r="X139" i="7"/>
  <c r="Y139" i="7"/>
  <c r="Z139" i="7"/>
  <c r="AA139" i="7"/>
  <c r="X140" i="7"/>
  <c r="Y140" i="7"/>
  <c r="Z140" i="7"/>
  <c r="AA140" i="7"/>
  <c r="X147" i="7"/>
  <c r="Y147" i="7"/>
  <c r="Z147" i="7"/>
  <c r="AA147" i="7"/>
  <c r="X148" i="7"/>
  <c r="Y148" i="7"/>
  <c r="Z148" i="7"/>
  <c r="AA148" i="7"/>
  <c r="X149" i="7"/>
  <c r="Y149" i="7"/>
  <c r="Z149" i="7"/>
  <c r="AA149" i="7"/>
  <c r="X156" i="7"/>
  <c r="Y156" i="7"/>
  <c r="Z156" i="7"/>
  <c r="AA156" i="7"/>
  <c r="X158" i="7"/>
  <c r="Y158" i="7"/>
  <c r="Z158" i="7"/>
  <c r="AA158" i="7"/>
  <c r="X161" i="7"/>
  <c r="Y161" i="7"/>
  <c r="Z161" i="7"/>
  <c r="AA161" i="7"/>
  <c r="X5" i="7"/>
  <c r="Y5" i="7"/>
  <c r="Z5" i="7"/>
  <c r="AA5" i="7"/>
  <c r="X6" i="7"/>
  <c r="Y6" i="7"/>
  <c r="Z6" i="7"/>
  <c r="AA6" i="7"/>
  <c r="X7" i="7"/>
  <c r="Y7" i="7"/>
  <c r="Z7" i="7"/>
  <c r="AA7" i="7"/>
  <c r="Y11" i="7"/>
  <c r="Z11" i="7"/>
  <c r="AA11" i="7"/>
  <c r="X11" i="7"/>
  <c r="S12" i="7"/>
  <c r="T12" i="7"/>
  <c r="U12" i="7"/>
  <c r="V12" i="7"/>
  <c r="S13" i="7"/>
  <c r="T13" i="7"/>
  <c r="U13" i="7"/>
  <c r="V13" i="7"/>
  <c r="S41" i="7"/>
  <c r="T41" i="7"/>
  <c r="U41" i="7"/>
  <c r="V41" i="7"/>
  <c r="S43" i="7"/>
  <c r="T43" i="7"/>
  <c r="U43" i="7"/>
  <c r="V43" i="7"/>
  <c r="S34" i="7"/>
  <c r="T34" i="7"/>
  <c r="U34" i="7"/>
  <c r="V34" i="7"/>
  <c r="S53" i="7"/>
  <c r="T53" i="7"/>
  <c r="U53" i="7"/>
  <c r="V53" i="7"/>
  <c r="S54" i="7"/>
  <c r="T54" i="7"/>
  <c r="U54" i="7"/>
  <c r="V54" i="7"/>
  <c r="S55" i="7"/>
  <c r="T55" i="7"/>
  <c r="U55" i="7"/>
  <c r="V55" i="7"/>
  <c r="S56" i="7"/>
  <c r="T56" i="7"/>
  <c r="U56" i="7"/>
  <c r="V56" i="7"/>
  <c r="S57" i="7"/>
  <c r="T57" i="7"/>
  <c r="U57" i="7"/>
  <c r="V57" i="7"/>
  <c r="S58" i="7"/>
  <c r="T58" i="7"/>
  <c r="U58" i="7"/>
  <c r="V58" i="7"/>
  <c r="S65" i="7"/>
  <c r="T65" i="7"/>
  <c r="U65" i="7"/>
  <c r="V65" i="7"/>
  <c r="S66" i="7"/>
  <c r="T66" i="7"/>
  <c r="U66" i="7"/>
  <c r="V66" i="7"/>
  <c r="S67" i="7"/>
  <c r="T67" i="7"/>
  <c r="U67" i="7"/>
  <c r="V67" i="7"/>
  <c r="S69" i="7"/>
  <c r="T69" i="7"/>
  <c r="U69" i="7"/>
  <c r="V69" i="7"/>
  <c r="S70" i="7"/>
  <c r="T70" i="7"/>
  <c r="U70" i="7"/>
  <c r="V70" i="7"/>
  <c r="S71" i="7"/>
  <c r="T71" i="7"/>
  <c r="U71" i="7"/>
  <c r="V71" i="7"/>
  <c r="S87" i="7"/>
  <c r="T87" i="7"/>
  <c r="U87" i="7"/>
  <c r="V87" i="7"/>
  <c r="S89" i="7"/>
  <c r="T89" i="7"/>
  <c r="U89" i="7"/>
  <c r="V89" i="7"/>
  <c r="S92" i="7"/>
  <c r="T92" i="7"/>
  <c r="U92" i="7"/>
  <c r="V92" i="7"/>
  <c r="S108" i="7"/>
  <c r="T108" i="7"/>
  <c r="U108" i="7"/>
  <c r="V108" i="7"/>
  <c r="S110" i="7"/>
  <c r="T110" i="7"/>
  <c r="U110" i="7"/>
  <c r="V110" i="7"/>
  <c r="S113" i="7"/>
  <c r="T113" i="7"/>
  <c r="U113" i="7"/>
  <c r="V113" i="7"/>
  <c r="S123" i="7"/>
  <c r="T123" i="7"/>
  <c r="U123" i="7"/>
  <c r="V123" i="7"/>
  <c r="S124" i="7"/>
  <c r="T124" i="7"/>
  <c r="U124" i="7"/>
  <c r="V124" i="7"/>
  <c r="S125" i="7"/>
  <c r="T125" i="7"/>
  <c r="U125" i="7"/>
  <c r="V125" i="7"/>
  <c r="S132" i="7"/>
  <c r="T132" i="7"/>
  <c r="U132" i="7"/>
  <c r="V132" i="7"/>
  <c r="S133" i="7"/>
  <c r="T133" i="7"/>
  <c r="U133" i="7"/>
  <c r="V133" i="7"/>
  <c r="S128" i="7"/>
  <c r="T128" i="7"/>
  <c r="U128" i="7"/>
  <c r="V128" i="7"/>
  <c r="S135" i="7"/>
  <c r="T135" i="7"/>
  <c r="U135" i="7"/>
  <c r="V135" i="7"/>
  <c r="S136" i="7"/>
  <c r="T136" i="7"/>
  <c r="U136" i="7"/>
  <c r="V136" i="7"/>
  <c r="S137" i="7"/>
  <c r="T137" i="7"/>
  <c r="U137" i="7"/>
  <c r="V137" i="7"/>
  <c r="S138" i="7"/>
  <c r="T138" i="7"/>
  <c r="U138" i="7"/>
  <c r="V138" i="7"/>
  <c r="S139" i="7"/>
  <c r="T139" i="7"/>
  <c r="U139" i="7"/>
  <c r="V139" i="7"/>
  <c r="S140" i="7"/>
  <c r="T140" i="7"/>
  <c r="U140" i="7"/>
  <c r="V140" i="7"/>
  <c r="S147" i="7"/>
  <c r="T147" i="7"/>
  <c r="U147" i="7"/>
  <c r="V147" i="7"/>
  <c r="S148" i="7"/>
  <c r="T148" i="7"/>
  <c r="U148" i="7"/>
  <c r="V148" i="7"/>
  <c r="S149" i="7"/>
  <c r="T149" i="7"/>
  <c r="U149" i="7"/>
  <c r="V149" i="7"/>
  <c r="S156" i="7"/>
  <c r="T156" i="7"/>
  <c r="U156" i="7"/>
  <c r="V156" i="7"/>
  <c r="S158" i="7"/>
  <c r="T158" i="7"/>
  <c r="U158" i="7"/>
  <c r="V158" i="7"/>
  <c r="S161" i="7"/>
  <c r="T161" i="7"/>
  <c r="U161" i="7"/>
  <c r="V161" i="7"/>
  <c r="S5" i="7"/>
  <c r="T5" i="7"/>
  <c r="U5" i="7"/>
  <c r="V5" i="7"/>
  <c r="S6" i="7"/>
  <c r="T6" i="7"/>
  <c r="U6" i="7"/>
  <c r="V6" i="7"/>
  <c r="S7" i="7"/>
  <c r="T7" i="7"/>
  <c r="U7" i="7"/>
  <c r="V7" i="7"/>
  <c r="T11" i="7"/>
  <c r="U11" i="7"/>
  <c r="V11" i="7"/>
  <c r="S11" i="7"/>
  <c r="N12" i="7"/>
  <c r="O12" i="7"/>
  <c r="P12" i="7"/>
  <c r="Q12" i="7"/>
  <c r="N13" i="7"/>
  <c r="O13" i="7"/>
  <c r="P13" i="7"/>
  <c r="Q13" i="7"/>
  <c r="N41" i="7"/>
  <c r="O41" i="7"/>
  <c r="P41" i="7"/>
  <c r="Q41" i="7"/>
  <c r="N43" i="7"/>
  <c r="O43" i="7"/>
  <c r="P43" i="7"/>
  <c r="Q43" i="7"/>
  <c r="N34" i="7"/>
  <c r="O34" i="7"/>
  <c r="P34" i="7"/>
  <c r="Q34" i="7"/>
  <c r="N53" i="7"/>
  <c r="O53" i="7"/>
  <c r="P53" i="7"/>
  <c r="Q53" i="7"/>
  <c r="N54" i="7"/>
  <c r="O54" i="7"/>
  <c r="P54" i="7"/>
  <c r="Q54" i="7"/>
  <c r="N55" i="7"/>
  <c r="O55" i="7"/>
  <c r="P55" i="7"/>
  <c r="Q55" i="7"/>
  <c r="N56" i="7"/>
  <c r="O56" i="7"/>
  <c r="P56" i="7"/>
  <c r="Q56" i="7"/>
  <c r="N57" i="7"/>
  <c r="O57" i="7"/>
  <c r="P57" i="7"/>
  <c r="Q57" i="7"/>
  <c r="N58" i="7"/>
  <c r="O58" i="7"/>
  <c r="P58" i="7"/>
  <c r="Q58" i="7"/>
  <c r="N65" i="7"/>
  <c r="O65" i="7"/>
  <c r="P65" i="7"/>
  <c r="Q65" i="7"/>
  <c r="N66" i="7"/>
  <c r="O66" i="7"/>
  <c r="P66" i="7"/>
  <c r="Q66" i="7"/>
  <c r="N67" i="7"/>
  <c r="O67" i="7"/>
  <c r="P67" i="7"/>
  <c r="Q67" i="7"/>
  <c r="N69" i="7"/>
  <c r="O69" i="7"/>
  <c r="P69" i="7"/>
  <c r="Q69" i="7"/>
  <c r="N70" i="7"/>
  <c r="O70" i="7"/>
  <c r="P70" i="7"/>
  <c r="Q70" i="7"/>
  <c r="N71" i="7"/>
  <c r="O71" i="7"/>
  <c r="P71" i="7"/>
  <c r="Q71" i="7"/>
  <c r="N87" i="7"/>
  <c r="O87" i="7"/>
  <c r="P87" i="7"/>
  <c r="Q87" i="7"/>
  <c r="N89" i="7"/>
  <c r="O89" i="7"/>
  <c r="P89" i="7"/>
  <c r="Q89" i="7"/>
  <c r="N92" i="7"/>
  <c r="O92" i="7"/>
  <c r="P92" i="7"/>
  <c r="Q92" i="7"/>
  <c r="N108" i="7"/>
  <c r="O108" i="7"/>
  <c r="P108" i="7"/>
  <c r="Q108" i="7"/>
  <c r="N110" i="7"/>
  <c r="O110" i="7"/>
  <c r="P110" i="7"/>
  <c r="Q110" i="7"/>
  <c r="N113" i="7"/>
  <c r="O113" i="7"/>
  <c r="P113" i="7"/>
  <c r="Q113" i="7"/>
  <c r="N123" i="7"/>
  <c r="O123" i="7"/>
  <c r="P123" i="7"/>
  <c r="Q123" i="7"/>
  <c r="N124" i="7"/>
  <c r="O124" i="7"/>
  <c r="P124" i="7"/>
  <c r="Q124" i="7"/>
  <c r="N125" i="7"/>
  <c r="O125" i="7"/>
  <c r="P125" i="7"/>
  <c r="Q125" i="7"/>
  <c r="N132" i="7"/>
  <c r="O132" i="7"/>
  <c r="P132" i="7"/>
  <c r="Q132" i="7"/>
  <c r="N133" i="7"/>
  <c r="O133" i="7"/>
  <c r="P133" i="7"/>
  <c r="Q133" i="7"/>
  <c r="N128" i="7"/>
  <c r="O128" i="7"/>
  <c r="P128" i="7"/>
  <c r="Q128" i="7"/>
  <c r="N135" i="7"/>
  <c r="O135" i="7"/>
  <c r="P135" i="7"/>
  <c r="Q135" i="7"/>
  <c r="N136" i="7"/>
  <c r="O136" i="7"/>
  <c r="P136" i="7"/>
  <c r="Q136" i="7"/>
  <c r="N137" i="7"/>
  <c r="O137" i="7"/>
  <c r="P137" i="7"/>
  <c r="Q137" i="7"/>
  <c r="N138" i="7"/>
  <c r="O138" i="7"/>
  <c r="P138" i="7"/>
  <c r="Q138" i="7"/>
  <c r="N139" i="7"/>
  <c r="O139" i="7"/>
  <c r="P139" i="7"/>
  <c r="Q139" i="7"/>
  <c r="N140" i="7"/>
  <c r="O140" i="7"/>
  <c r="P140" i="7"/>
  <c r="Q140" i="7"/>
  <c r="N147" i="7"/>
  <c r="O147" i="7"/>
  <c r="P147" i="7"/>
  <c r="Q147" i="7"/>
  <c r="N148" i="7"/>
  <c r="O148" i="7"/>
  <c r="P148" i="7"/>
  <c r="Q148" i="7"/>
  <c r="N149" i="7"/>
  <c r="O149" i="7"/>
  <c r="P149" i="7"/>
  <c r="Q149" i="7"/>
  <c r="N156" i="7"/>
  <c r="O156" i="7"/>
  <c r="P156" i="7"/>
  <c r="Q156" i="7"/>
  <c r="N158" i="7"/>
  <c r="O158" i="7"/>
  <c r="P158" i="7"/>
  <c r="Q158" i="7"/>
  <c r="N161" i="7"/>
  <c r="O161" i="7"/>
  <c r="P161" i="7"/>
  <c r="Q161" i="7"/>
  <c r="N5" i="7"/>
  <c r="O5" i="7"/>
  <c r="P5" i="7"/>
  <c r="Q5" i="7"/>
  <c r="N6" i="7"/>
  <c r="O6" i="7"/>
  <c r="P6" i="7"/>
  <c r="Q6" i="7"/>
  <c r="N7" i="7"/>
  <c r="O7" i="7"/>
  <c r="P7" i="7"/>
  <c r="Q7" i="7"/>
  <c r="O11" i="7"/>
  <c r="P11" i="7"/>
  <c r="Q11" i="7"/>
  <c r="N11" i="7"/>
  <c r="I12" i="7"/>
  <c r="J12" i="7"/>
  <c r="K12" i="7"/>
  <c r="L12" i="7"/>
  <c r="I13" i="7"/>
  <c r="J13" i="7"/>
  <c r="K13" i="7"/>
  <c r="L13" i="7"/>
  <c r="I41" i="7"/>
  <c r="J41" i="7"/>
  <c r="K41" i="7"/>
  <c r="L41" i="7"/>
  <c r="J43" i="7"/>
  <c r="K43" i="7"/>
  <c r="L43" i="7"/>
  <c r="I34" i="7"/>
  <c r="J34" i="7"/>
  <c r="K34" i="7"/>
  <c r="L34" i="7"/>
  <c r="I53" i="7"/>
  <c r="J53" i="7"/>
  <c r="K53" i="7"/>
  <c r="L53" i="7"/>
  <c r="I54" i="7"/>
  <c r="J54" i="7"/>
  <c r="K54" i="7"/>
  <c r="L54" i="7"/>
  <c r="I55" i="7"/>
  <c r="J55" i="7"/>
  <c r="K55" i="7"/>
  <c r="L55" i="7"/>
  <c r="I56" i="7"/>
  <c r="J56" i="7"/>
  <c r="K56" i="7"/>
  <c r="L56" i="7"/>
  <c r="I57" i="7"/>
  <c r="J57" i="7"/>
  <c r="K57" i="7"/>
  <c r="L57" i="7"/>
  <c r="I58" i="7"/>
  <c r="J58" i="7"/>
  <c r="K58" i="7"/>
  <c r="L58" i="7"/>
  <c r="I65" i="7"/>
  <c r="J65" i="7"/>
  <c r="K65" i="7"/>
  <c r="L65" i="7"/>
  <c r="I66" i="7"/>
  <c r="J66" i="7"/>
  <c r="K66" i="7"/>
  <c r="L66" i="7"/>
  <c r="I67" i="7"/>
  <c r="J67" i="7"/>
  <c r="K67" i="7"/>
  <c r="L67" i="7"/>
  <c r="I69" i="7"/>
  <c r="J69" i="7"/>
  <c r="K69" i="7"/>
  <c r="L69" i="7"/>
  <c r="I70" i="7"/>
  <c r="J70" i="7"/>
  <c r="K70" i="7"/>
  <c r="L70" i="7"/>
  <c r="I71" i="7"/>
  <c r="J71" i="7"/>
  <c r="K71" i="7"/>
  <c r="L71" i="7"/>
  <c r="I87" i="7"/>
  <c r="J87" i="7"/>
  <c r="K87" i="7"/>
  <c r="L87" i="7"/>
  <c r="I89" i="7"/>
  <c r="J89" i="7"/>
  <c r="K89" i="7"/>
  <c r="L89" i="7"/>
  <c r="I92" i="7"/>
  <c r="J92" i="7"/>
  <c r="K92" i="7"/>
  <c r="L92" i="7"/>
  <c r="I108" i="7"/>
  <c r="J108" i="7"/>
  <c r="K108" i="7"/>
  <c r="L108" i="7"/>
  <c r="I110" i="7"/>
  <c r="J110" i="7"/>
  <c r="K110" i="7"/>
  <c r="L110" i="7"/>
  <c r="I113" i="7"/>
  <c r="J113" i="7"/>
  <c r="K113" i="7"/>
  <c r="L113" i="7"/>
  <c r="I123" i="7"/>
  <c r="J123" i="7"/>
  <c r="K123" i="7"/>
  <c r="L123" i="7"/>
  <c r="I124" i="7"/>
  <c r="J124" i="7"/>
  <c r="K124" i="7"/>
  <c r="L124" i="7"/>
  <c r="I125" i="7"/>
  <c r="J125" i="7"/>
  <c r="K125" i="7"/>
  <c r="L125" i="7"/>
  <c r="I132" i="7"/>
  <c r="J132" i="7"/>
  <c r="K132" i="7"/>
  <c r="L132" i="7"/>
  <c r="I133" i="7"/>
  <c r="J133" i="7"/>
  <c r="K133" i="7"/>
  <c r="L133" i="7"/>
  <c r="I128" i="7"/>
  <c r="J128" i="7"/>
  <c r="K128" i="7"/>
  <c r="L128" i="7"/>
  <c r="I135" i="7"/>
  <c r="J135" i="7"/>
  <c r="K135" i="7"/>
  <c r="L135" i="7"/>
  <c r="I136" i="7"/>
  <c r="J136" i="7"/>
  <c r="K136" i="7"/>
  <c r="L136" i="7"/>
  <c r="I137" i="7"/>
  <c r="J137" i="7"/>
  <c r="K137" i="7"/>
  <c r="L137" i="7"/>
  <c r="I138" i="7"/>
  <c r="J138" i="7"/>
  <c r="K138" i="7"/>
  <c r="L138" i="7"/>
  <c r="I139" i="7"/>
  <c r="J139" i="7"/>
  <c r="K139" i="7"/>
  <c r="L139" i="7"/>
  <c r="I140" i="7"/>
  <c r="J140" i="7"/>
  <c r="K140" i="7"/>
  <c r="L140" i="7"/>
  <c r="I147" i="7"/>
  <c r="J147" i="7"/>
  <c r="K147" i="7"/>
  <c r="L147" i="7"/>
  <c r="I148" i="7"/>
  <c r="J148" i="7"/>
  <c r="K148" i="7"/>
  <c r="L148" i="7"/>
  <c r="I149" i="7"/>
  <c r="J149" i="7"/>
  <c r="K149" i="7"/>
  <c r="L149" i="7"/>
  <c r="I156" i="7"/>
  <c r="J156" i="7"/>
  <c r="K156" i="7"/>
  <c r="L156" i="7"/>
  <c r="I158" i="7"/>
  <c r="J158" i="7"/>
  <c r="K158" i="7"/>
  <c r="L158" i="7"/>
  <c r="I161" i="7"/>
  <c r="J161" i="7"/>
  <c r="K161" i="7"/>
  <c r="L161" i="7"/>
  <c r="I5" i="7"/>
  <c r="J5" i="7"/>
  <c r="K5" i="7"/>
  <c r="L5" i="7"/>
  <c r="I6" i="7"/>
  <c r="J6" i="7"/>
  <c r="K6" i="7"/>
  <c r="L6" i="7"/>
  <c r="I7" i="7"/>
  <c r="J7" i="7"/>
  <c r="K7" i="7"/>
  <c r="L7" i="7"/>
  <c r="J11" i="7"/>
  <c r="K11" i="7"/>
  <c r="L11" i="7"/>
  <c r="I11" i="7"/>
  <c r="G5" i="7"/>
  <c r="G6" i="7"/>
  <c r="G7" i="7"/>
  <c r="G13" i="7"/>
  <c r="G41" i="7"/>
  <c r="G43" i="7"/>
  <c r="G34" i="7"/>
  <c r="G53" i="7"/>
  <c r="G54" i="7"/>
  <c r="G55" i="7"/>
  <c r="G56" i="7"/>
  <c r="G57" i="7"/>
  <c r="G58" i="7"/>
  <c r="G65" i="7"/>
  <c r="G66" i="7"/>
  <c r="G67" i="7"/>
  <c r="G69" i="7"/>
  <c r="G70" i="7"/>
  <c r="G71" i="7"/>
  <c r="G87" i="7"/>
  <c r="G89" i="7"/>
  <c r="G92" i="7"/>
  <c r="G108" i="7"/>
  <c r="G110" i="7"/>
  <c r="G113" i="7"/>
  <c r="G123" i="7"/>
  <c r="G124" i="7"/>
  <c r="G125" i="7"/>
  <c r="G132" i="7"/>
  <c r="G133" i="7"/>
  <c r="G128" i="7"/>
  <c r="G135" i="7"/>
  <c r="G136" i="7"/>
  <c r="G137" i="7"/>
  <c r="G138" i="7"/>
  <c r="G139" i="7"/>
  <c r="G140" i="7"/>
  <c r="G147" i="7"/>
  <c r="G148" i="7"/>
  <c r="G149" i="7"/>
  <c r="G156" i="7"/>
  <c r="G158" i="7"/>
  <c r="G161" i="7"/>
  <c r="G12" i="7"/>
  <c r="G11" i="7"/>
  <c r="AH18" i="7" l="1"/>
  <c r="AH88" i="7"/>
  <c r="AH104" i="7"/>
  <c r="AH119" i="7"/>
  <c r="AH63" i="7"/>
  <c r="AH130" i="7"/>
  <c r="AH47" i="7"/>
  <c r="AH73" i="7"/>
  <c r="AH151" i="7"/>
  <c r="AH28" i="7"/>
  <c r="AH155" i="7"/>
  <c r="AH9" i="7"/>
  <c r="AH19" i="7"/>
  <c r="AH84" i="7"/>
  <c r="AH90" i="7"/>
  <c r="AH112" i="7"/>
  <c r="AH96" i="7"/>
  <c r="AH122" i="7"/>
  <c r="AH143" i="7"/>
  <c r="AH62" i="7"/>
  <c r="AH129" i="7"/>
  <c r="AH145" i="7"/>
  <c r="AH48" i="7"/>
  <c r="AH72" i="7"/>
  <c r="AH85" i="7"/>
  <c r="AH99" i="7"/>
  <c r="AH150" i="7"/>
  <c r="AH27" i="7"/>
  <c r="AH106" i="7"/>
  <c r="AH154" i="7"/>
  <c r="AH16" i="7"/>
  <c r="AH140" i="7"/>
  <c r="AH37" i="7"/>
  <c r="AH157" i="7"/>
  <c r="AH146" i="7"/>
  <c r="AH74" i="7"/>
  <c r="AH94" i="7"/>
  <c r="AH141" i="7"/>
  <c r="AH42" i="7"/>
  <c r="AH79" i="7"/>
  <c r="AH30" i="7"/>
  <c r="AH116" i="7"/>
  <c r="AH136" i="7"/>
  <c r="AH87" i="7"/>
  <c r="AH8" i="7"/>
  <c r="AH46" i="7"/>
  <c r="AH159" i="7"/>
  <c r="AH50" i="7"/>
  <c r="AH144" i="7"/>
  <c r="AH40" i="7"/>
  <c r="AH23" i="7"/>
  <c r="AH76" i="7"/>
  <c r="AH83" i="7"/>
  <c r="AH93" i="7"/>
  <c r="AH142" i="7"/>
  <c r="AH31" i="7"/>
  <c r="AH25" i="7"/>
  <c r="AH78" i="7"/>
  <c r="AH32" i="7"/>
  <c r="AH4" i="7"/>
  <c r="AH38" i="7"/>
  <c r="AH115" i="7"/>
  <c r="AH162" i="7"/>
  <c r="AH132" i="7"/>
  <c r="AH58" i="7"/>
  <c r="AH12" i="7"/>
  <c r="AH149" i="7"/>
  <c r="AH110" i="7"/>
  <c r="AH53" i="7"/>
  <c r="AH80" i="7"/>
  <c r="AH35" i="7"/>
  <c r="AH81" i="7"/>
  <c r="AH97" i="7"/>
  <c r="AH121" i="7"/>
  <c r="AH21" i="7"/>
  <c r="AH107" i="7"/>
  <c r="AH3" i="7"/>
  <c r="AH109" i="7"/>
  <c r="AH113" i="7"/>
  <c r="AH54" i="7"/>
  <c r="AH139" i="7"/>
  <c r="AH67" i="7"/>
  <c r="AH161" i="7"/>
  <c r="AH138" i="7"/>
  <c r="AH124" i="7"/>
  <c r="AH71" i="7"/>
  <c r="AH56" i="7"/>
  <c r="AH34" i="7"/>
  <c r="AH7" i="7"/>
  <c r="AH17" i="7"/>
  <c r="AH86" i="7"/>
  <c r="AH111" i="7"/>
  <c r="AH95" i="7"/>
  <c r="AH120" i="7"/>
  <c r="AH36" i="7"/>
  <c r="AH82" i="7"/>
  <c r="AH101" i="7"/>
  <c r="AH117" i="7"/>
  <c r="AH20" i="7"/>
  <c r="AH64" i="7"/>
  <c r="AH100" i="7"/>
  <c r="AH134" i="7"/>
  <c r="AH2" i="7"/>
  <c r="AH26" i="7"/>
  <c r="AH105" i="7"/>
  <c r="AH153" i="7"/>
  <c r="AH11" i="7"/>
  <c r="AH89" i="7"/>
  <c r="AH41" i="7"/>
  <c r="AH125" i="7"/>
  <c r="AH13" i="7"/>
  <c r="AH148" i="7"/>
  <c r="AH128" i="7"/>
  <c r="AH108" i="7"/>
  <c r="AH66" i="7"/>
  <c r="AH49" i="7"/>
  <c r="AH22" i="7"/>
  <c r="AH102" i="7"/>
  <c r="AH118" i="7"/>
  <c r="AH60" i="7"/>
  <c r="AH127" i="7"/>
  <c r="AH45" i="7"/>
  <c r="AH164" i="7"/>
  <c r="AH156" i="7"/>
  <c r="AH69" i="7"/>
  <c r="AH5" i="7"/>
  <c r="AH135" i="7"/>
  <c r="AH57" i="7"/>
  <c r="AH158" i="7"/>
  <c r="AH147" i="7"/>
  <c r="AH137" i="7"/>
  <c r="AH133" i="7"/>
  <c r="AH123" i="7"/>
  <c r="AH92" i="7"/>
  <c r="AH70" i="7"/>
  <c r="AH65" i="7"/>
  <c r="AH55" i="7"/>
  <c r="AH43" i="7"/>
  <c r="AH6" i="7"/>
  <c r="AH10" i="7"/>
  <c r="AH44" i="7"/>
  <c r="AH91" i="7"/>
  <c r="AH160" i="7"/>
  <c r="AH98" i="7"/>
  <c r="AH52" i="7"/>
  <c r="AH24" i="7"/>
  <c r="AH61" i="7"/>
  <c r="AH75" i="7"/>
  <c r="AH103" i="7"/>
  <c r="AH131" i="7"/>
  <c r="AH51" i="7"/>
  <c r="AH29" i="7"/>
  <c r="AH59" i="7"/>
  <c r="AH77" i="7"/>
  <c r="AH126" i="7"/>
  <c r="AH152" i="7"/>
  <c r="AH33" i="7"/>
  <c r="AH39" i="7"/>
  <c r="AH114" i="7"/>
  <c r="AH163" i="7"/>
  <c r="AZ17" i="4"/>
  <c r="AZ9" i="4"/>
  <c r="AP17" i="4"/>
  <c r="AP9" i="4"/>
  <c r="AF9" i="4"/>
  <c r="AF17" i="4"/>
  <c r="AY17" i="4"/>
  <c r="AY9" i="4"/>
  <c r="AO9" i="4"/>
  <c r="AO17" i="4"/>
  <c r="AE9" i="4"/>
  <c r="AE17" i="4"/>
  <c r="AX17" i="4"/>
  <c r="AX9" i="4"/>
  <c r="AN9" i="4"/>
  <c r="AN17" i="4"/>
  <c r="AD9" i="4"/>
  <c r="AD17" i="4"/>
  <c r="AW9" i="4"/>
  <c r="AW17" i="4"/>
  <c r="AM9" i="4"/>
  <c r="AM17" i="4"/>
  <c r="AC17" i="4"/>
  <c r="AC9" i="4"/>
  <c r="AU9" i="4"/>
  <c r="AU17" i="4"/>
  <c r="AK17" i="4"/>
  <c r="AK9" i="4"/>
  <c r="AA17" i="4"/>
  <c r="AA9" i="4"/>
  <c r="AT9" i="4"/>
  <c r="AT17" i="4"/>
  <c r="AJ17" i="4"/>
  <c r="AJ9" i="4"/>
  <c r="Z17" i="4"/>
  <c r="Z9" i="4"/>
  <c r="Z10" i="4" s="1"/>
  <c r="Z11" i="4" s="1"/>
  <c r="AS17" i="4"/>
  <c r="AS9" i="4"/>
  <c r="AI9" i="4"/>
  <c r="AI17" i="4"/>
  <c r="AR17" i="4"/>
  <c r="AR9" i="4"/>
  <c r="AH17" i="4"/>
  <c r="AH9" i="4"/>
  <c r="G5" i="4"/>
  <c r="F8" i="4"/>
  <c r="AA15" i="7"/>
  <c r="V15" i="7"/>
  <c r="S14" i="7"/>
  <c r="AH14" i="7" s="1"/>
  <c r="AH15" i="7" l="1"/>
  <c r="AA10" i="4"/>
  <c r="AB10" i="4" s="1"/>
  <c r="AB11" i="4" s="1"/>
  <c r="H5" i="4"/>
  <c r="G8" i="4"/>
  <c r="AA11" i="4" l="1"/>
  <c r="AC10" i="4"/>
  <c r="I5" i="4"/>
  <c r="H8" i="4"/>
  <c r="AC11" i="4" l="1"/>
  <c r="AD10" i="4"/>
  <c r="J5" i="4"/>
  <c r="I8" i="4"/>
  <c r="AD11" i="4" l="1"/>
  <c r="AE10" i="4"/>
  <c r="K5" i="4"/>
  <c r="J8" i="4"/>
  <c r="AE11" i="4" l="1"/>
  <c r="AF10" i="4"/>
  <c r="L5" i="4"/>
  <c r="K8" i="4"/>
  <c r="AG10" i="4" l="1"/>
  <c r="AF11" i="4"/>
  <c r="M5" i="4"/>
  <c r="L8" i="4"/>
  <c r="AG11" i="4" l="1"/>
  <c r="AH10" i="4"/>
  <c r="N5" i="4"/>
  <c r="M8" i="4"/>
  <c r="AH11" i="4" l="1"/>
  <c r="AI10" i="4"/>
  <c r="O5" i="4"/>
  <c r="N8" i="4"/>
  <c r="AI11" i="4" l="1"/>
  <c r="AJ10" i="4"/>
  <c r="P5" i="4"/>
  <c r="O8" i="4"/>
  <c r="AK10" i="4" l="1"/>
  <c r="AJ11" i="4"/>
  <c r="Q5" i="4"/>
  <c r="P8" i="4"/>
  <c r="AL10" i="4" l="1"/>
  <c r="AK11" i="4"/>
  <c r="R5" i="4"/>
  <c r="Q8" i="4"/>
  <c r="AM10" i="4" l="1"/>
  <c r="AL11" i="4"/>
  <c r="S5" i="4"/>
  <c r="R8" i="4"/>
  <c r="AN10" i="4" l="1"/>
  <c r="AM11" i="4"/>
  <c r="T5" i="4"/>
  <c r="S8" i="4"/>
  <c r="AO10" i="4" l="1"/>
  <c r="AN11" i="4"/>
  <c r="U5" i="4"/>
  <c r="T8" i="4"/>
  <c r="AP10" i="4" l="1"/>
  <c r="AO11" i="4"/>
  <c r="V5" i="4"/>
  <c r="U8" i="4"/>
  <c r="AQ10" i="4" l="1"/>
  <c r="AP11" i="4"/>
  <c r="W5" i="4"/>
  <c r="V8" i="4"/>
  <c r="AR10" i="4" l="1"/>
  <c r="AQ11" i="4"/>
  <c r="X5" i="4"/>
  <c r="X8" i="4" s="1"/>
  <c r="W8" i="4"/>
  <c r="AR11" i="4" l="1"/>
  <c r="AS10" i="4"/>
  <c r="AT10" i="4" l="1"/>
  <c r="AS11" i="4"/>
  <c r="AU10" i="4" l="1"/>
  <c r="AT11" i="4"/>
  <c r="AV10" i="4" l="1"/>
  <c r="AU11" i="4"/>
  <c r="AW10" i="4" l="1"/>
  <c r="AV11" i="4"/>
  <c r="AX10" i="4" l="1"/>
  <c r="AW11" i="4"/>
  <c r="AY10" i="4" l="1"/>
  <c r="AX11" i="4"/>
  <c r="AZ10" i="4" l="1"/>
  <c r="AY11" i="4"/>
  <c r="BA10" i="4" l="1"/>
  <c r="BA11" i="4" s="1"/>
  <c r="AZ11" i="4"/>
  <c r="W27" i="38" l="1"/>
  <c r="Z27" i="38" s="1"/>
  <c r="W30" i="38"/>
  <c r="Z30" i="38" s="1"/>
  <c r="Z57" i="38"/>
  <c r="Z58" i="38"/>
  <c r="Z59" i="38"/>
  <c r="Z53" i="3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BCB80D-B793-5D42-9335-DE1076656D17}" name="all data" type="6" refreshedVersion="8" background="1" saveData="1">
    <textPr codePage="65001" sourceFile="/Users/margueritefauroux/Downloads/all data.csv" decimal="," thousands=" " comma="1">
      <textFields count="3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10340DD2-A1E9-BB44-AEA3-84CCFEDAFA6C}" keepAlive="1" name="Requête - selected data 3" description="Connexion à la requête « selected data 3 » dans le classeur." type="5" refreshedVersion="8" background="1" saveData="1">
    <dbPr connection="Provider=Microsoft.Mashup.OleDb.1;Data Source=$Workbook$;Location=&quot;selected data 3&quot;;Extended Properties=&quot;&quot;" command="SELECT * FROM [selected data 3]"/>
  </connection>
</connections>
</file>

<file path=xl/sharedStrings.xml><?xml version="1.0" encoding="utf-8"?>
<sst xmlns="http://schemas.openxmlformats.org/spreadsheetml/2006/main" count="10984" uniqueCount="3711">
  <si>
    <t>Aluminium</t>
  </si>
  <si>
    <t>Cadmium</t>
  </si>
  <si>
    <t>Chromium</t>
  </si>
  <si>
    <t>Cobalt</t>
  </si>
  <si>
    <t>Copper</t>
  </si>
  <si>
    <t>Gallium</t>
  </si>
  <si>
    <t>Germanium</t>
  </si>
  <si>
    <t>Indium</t>
  </si>
  <si>
    <t>Lead</t>
  </si>
  <si>
    <t>Lithium</t>
  </si>
  <si>
    <t>Nickel</t>
  </si>
  <si>
    <t>Manganese</t>
  </si>
  <si>
    <t>Molybdenum</t>
  </si>
  <si>
    <t>PGM</t>
  </si>
  <si>
    <t>Selenium</t>
  </si>
  <si>
    <t>Silver</t>
  </si>
  <si>
    <t>Steel</t>
  </si>
  <si>
    <t>Tellurium</t>
  </si>
  <si>
    <t>Zinc</t>
  </si>
  <si>
    <t>Metal</t>
  </si>
  <si>
    <t>Wind</t>
  </si>
  <si>
    <t>EV</t>
  </si>
  <si>
    <t>Hydrogen</t>
  </si>
  <si>
    <t>Boron</t>
  </si>
  <si>
    <t>Graphite</t>
  </si>
  <si>
    <t>Silicon</t>
  </si>
  <si>
    <t>Tin</t>
  </si>
  <si>
    <t>Vanadium</t>
  </si>
  <si>
    <t>Zirconium</t>
  </si>
  <si>
    <t>Australia</t>
  </si>
  <si>
    <t>Canada</t>
  </si>
  <si>
    <t>Chile</t>
  </si>
  <si>
    <t>China</t>
  </si>
  <si>
    <t>Congo</t>
  </si>
  <si>
    <t>Germany</t>
  </si>
  <si>
    <t>Indonesia</t>
  </si>
  <si>
    <t>Japan</t>
  </si>
  <si>
    <t>Kazakhstan</t>
  </si>
  <si>
    <t>Mexico</t>
  </si>
  <si>
    <t>Peru</t>
  </si>
  <si>
    <t>Poland</t>
  </si>
  <si>
    <t>Russia</t>
  </si>
  <si>
    <t>Zambia</t>
  </si>
  <si>
    <t>Other</t>
  </si>
  <si>
    <t>kt</t>
  </si>
  <si>
    <t>%</t>
  </si>
  <si>
    <t>2002</t>
  </si>
  <si>
    <t>2003</t>
  </si>
  <si>
    <t>2004</t>
  </si>
  <si>
    <t>2005</t>
  </si>
  <si>
    <t>2006</t>
  </si>
  <si>
    <t>2007</t>
  </si>
  <si>
    <t>2008</t>
  </si>
  <si>
    <t>2009</t>
  </si>
  <si>
    <t>2010</t>
  </si>
  <si>
    <t>2011</t>
  </si>
  <si>
    <t>2012</t>
  </si>
  <si>
    <t>2013</t>
  </si>
  <si>
    <t>2014</t>
  </si>
  <si>
    <t>2015</t>
  </si>
  <si>
    <t>2016</t>
  </si>
  <si>
    <t>2017</t>
  </si>
  <si>
    <t>2018</t>
  </si>
  <si>
    <t>2019</t>
  </si>
  <si>
    <t>2020</t>
  </si>
  <si>
    <t>2021</t>
  </si>
  <si>
    <t>copper mine operation and beneficiation, sulfide ore</t>
  </si>
  <si>
    <t>Description</t>
  </si>
  <si>
    <t>Unit</t>
  </si>
  <si>
    <t>smelting of copper concentrate, sulfide ore</t>
  </si>
  <si>
    <t>Bolivia</t>
  </si>
  <si>
    <t>India</t>
  </si>
  <si>
    <t>Sweden</t>
  </si>
  <si>
    <t>Brazil</t>
  </si>
  <si>
    <t>New Caledonia</t>
  </si>
  <si>
    <t>Philippines</t>
  </si>
  <si>
    <t>Cuba</t>
  </si>
  <si>
    <t>Madagascar</t>
  </si>
  <si>
    <t>Morocco</t>
  </si>
  <si>
    <t>Turkey</t>
  </si>
  <si>
    <t>Argentina</t>
  </si>
  <si>
    <t>Portugal</t>
  </si>
  <si>
    <t>Zimbabwe</t>
  </si>
  <si>
    <t>Burma</t>
  </si>
  <si>
    <t>Georgia</t>
  </si>
  <si>
    <t>Ghana</t>
  </si>
  <si>
    <t>Malaysia</t>
  </si>
  <si>
    <t>South Africa</t>
  </si>
  <si>
    <t>Ukraine</t>
  </si>
  <si>
    <t>Technology</t>
  </si>
  <si>
    <t>Detail</t>
  </si>
  <si>
    <t>Solar PV</t>
  </si>
  <si>
    <t>CdTe</t>
  </si>
  <si>
    <t>Scenario</t>
  </si>
  <si>
    <t>SPS</t>
  </si>
  <si>
    <t>APS</t>
  </si>
  <si>
    <t>NZE</t>
  </si>
  <si>
    <t>All</t>
  </si>
  <si>
    <t>CIGS</t>
  </si>
  <si>
    <t>a-Si</t>
  </si>
  <si>
    <t>PSC</t>
  </si>
  <si>
    <t>a-Si, c-Si</t>
  </si>
  <si>
    <t>c-Si</t>
  </si>
  <si>
    <t>Arsenic</t>
  </si>
  <si>
    <t>CIGS, GaAs</t>
  </si>
  <si>
    <t>GaAs</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</si>
  <si>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</si>
  <si>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</si>
  <si>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</si>
  <si>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</si>
  <si>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</si>
  <si>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</si>
  <si>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</si>
  <si>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</si>
  <si>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</si>
  <si>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</si>
  <si>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</si>
  <si>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</si>
  <si>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</si>
  <si>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</si>
  <si>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</si>
  <si>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</si>
  <si>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</si>
  <si>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</si>
  <si>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</si>
  <si>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</si>
  <si>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</si>
  <si>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</si>
  <si>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</si>
  <si>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</si>
  <si>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</si>
  <si>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</si>
  <si>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</si>
  <si>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</si>
  <si>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</si>
  <si>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PMSG</t>
  </si>
  <si>
    <t>Coating</t>
  </si>
  <si>
    <t>Neodymium</t>
  </si>
  <si>
    <t>Dysprosium</t>
  </si>
  <si>
    <t>Praseodymium</t>
  </si>
  <si>
    <t>Terbium</t>
  </si>
  <si>
    <t>Battery</t>
  </si>
  <si>
    <t>Battery Storage</t>
  </si>
  <si>
    <t>Electricity Networks</t>
  </si>
  <si>
    <t>Wire</t>
  </si>
  <si>
    <t>Yttrium</t>
  </si>
  <si>
    <t>Cochilco</t>
  </si>
  <si>
    <t>Source</t>
  </si>
  <si>
    <t>Country</t>
  </si>
  <si>
    <t>cobalt sulfate</t>
  </si>
  <si>
    <t>copper, cathode</t>
  </si>
  <si>
    <t>GLO</t>
  </si>
  <si>
    <t>synthetic graphite, battery grade</t>
  </si>
  <si>
    <t>lead</t>
  </si>
  <si>
    <t>neodymium oxide</t>
  </si>
  <si>
    <t>dysprosium oxide</t>
  </si>
  <si>
    <t>praseodymium oxide</t>
  </si>
  <si>
    <t>terbium oxide</t>
  </si>
  <si>
    <t>selenium</t>
  </si>
  <si>
    <t>zinc</t>
  </si>
  <si>
    <t>zirconium oxide</t>
  </si>
  <si>
    <t>kilogram</t>
  </si>
  <si>
    <t>unit</t>
  </si>
  <si>
    <t>nickel, class 1</t>
  </si>
  <si>
    <t>silicon, metallurgical grade</t>
  </si>
  <si>
    <t>aluminium, wrought alloy</t>
  </si>
  <si>
    <t>copper, anode</t>
  </si>
  <si>
    <t>lithium hydroxide</t>
  </si>
  <si>
    <t>manganese sulfate</t>
  </si>
  <si>
    <t>treatment of aluminium scrap, new, at remelter</t>
  </si>
  <si>
    <t>treatment of aluminium scrap, post-consumer, prepared for recycling, at remelter</t>
  </si>
  <si>
    <t>cobalt</t>
  </si>
  <si>
    <t>copper concentrate, sulfide ore</t>
  </si>
  <si>
    <t>silver</t>
  </si>
  <si>
    <t>RoW</t>
  </si>
  <si>
    <t>cadmium, semiconductor-grade</t>
  </si>
  <si>
    <t>ferrochromium, high-carbon, 68% Cr</t>
  </si>
  <si>
    <t>CN</t>
  </si>
  <si>
    <t>copper production, cathode, solvent extraction and electrowinning process</t>
  </si>
  <si>
    <t>treatment of metal part of electronics scrap, in copper, anode, by electrolytic refining</t>
  </si>
  <si>
    <t>treatment of copper scrap by electrolytic refining</t>
  </si>
  <si>
    <t>electrorefining of copper, anode</t>
  </si>
  <si>
    <t>gallium, semiconductor-grade</t>
  </si>
  <si>
    <t>lithium carbonate</t>
  </si>
  <si>
    <t>market for cobalt sulfate</t>
  </si>
  <si>
    <t>market for lithium carbonate</t>
  </si>
  <si>
    <t>market for lithium hydroxide</t>
  </si>
  <si>
    <t>manganese dioxide</t>
  </si>
  <si>
    <t>market for manganese dioxide</t>
  </si>
  <si>
    <t>ferronickel</t>
  </si>
  <si>
    <t>nickel concentrate, 16% Ni</t>
  </si>
  <si>
    <t>market for aluminium, wrought alloy</t>
  </si>
  <si>
    <t>market group for electricity, medium voltage</t>
  </si>
  <si>
    <t>market for heat, district or industrial, natural gas</t>
  </si>
  <si>
    <t>market for electricity, medium voltage</t>
  </si>
  <si>
    <t>kg</t>
  </si>
  <si>
    <t>kWh</t>
  </si>
  <si>
    <t>MJ</t>
  </si>
  <si>
    <t>market for wastewater, average</t>
  </si>
  <si>
    <t>aluminium production, primary, ingot</t>
  </si>
  <si>
    <t>aluminium, primary, ingot</t>
  </si>
  <si>
    <t>aluminium production, primary, liquid, prebake</t>
  </si>
  <si>
    <t>market for electricity, medium voltage, aluminium industry</t>
  </si>
  <si>
    <t>heat production, heavy fuel oil, at industrial furnace 1MW</t>
  </si>
  <si>
    <t>bauxite mine operation</t>
  </si>
  <si>
    <t>aluminium hydroxide production</t>
  </si>
  <si>
    <t>aluminium oxide production</t>
  </si>
  <si>
    <t>aluminium production, primary, liquid, Söderberg</t>
  </si>
  <si>
    <t>bauxite</t>
  </si>
  <si>
    <t>heat production, light fuel oil, at industrial furnace 1MW</t>
  </si>
  <si>
    <t>market for inert waste</t>
  </si>
  <si>
    <t>x</t>
  </si>
  <si>
    <t>aluminium hydroxide</t>
  </si>
  <si>
    <t>REGION 1</t>
  </si>
  <si>
    <t>heat production, at hard coal industrial furnace 1-10MW</t>
  </si>
  <si>
    <t>market for quicklime, milled, loose</t>
  </si>
  <si>
    <t>market for aluminium hydroxide factory</t>
  </si>
  <si>
    <t>market for redmud from bauxite digestion</t>
  </si>
  <si>
    <t>market for sodium hydroxide, without water, in 50% solution state</t>
  </si>
  <si>
    <t>market for mine infrastructure, bauxite</t>
  </si>
  <si>
    <t>market for recultivation, bauxite mine</t>
  </si>
  <si>
    <t>market for blasting</t>
  </si>
  <si>
    <t>m2</t>
  </si>
  <si>
    <t>y</t>
  </si>
  <si>
    <t>market for inert waste, for final disposal</t>
  </si>
  <si>
    <t>aluminium oxide, metallurgical</t>
  </si>
  <si>
    <t>market for aluminium oxide factory</t>
  </si>
  <si>
    <t>aluminium, primary, liquid</t>
  </si>
  <si>
    <t>market for aluminium electrolysis facility</t>
  </si>
  <si>
    <t>market for aluminium fluoride</t>
  </si>
  <si>
    <t>market for anode, prebake, for aluminium electrolysis</t>
  </si>
  <si>
    <t>market for cast iron</t>
  </si>
  <si>
    <t>market for cathode, for aluminium electrolysis</t>
  </si>
  <si>
    <t>market for coke</t>
  </si>
  <si>
    <t>market for cryolite</t>
  </si>
  <si>
    <t>market for filter dust from Al electrolysis</t>
  </si>
  <si>
    <t>market for pitch</t>
  </si>
  <si>
    <t>market for refractory spent pot liner from Al electrolysis</t>
  </si>
  <si>
    <t>market for refractory, fireclay, packed</t>
  </si>
  <si>
    <t>market for reinforcing steel</t>
  </si>
  <si>
    <t>market for scrap steel</t>
  </si>
  <si>
    <t>market for waste asphalt</t>
  </si>
  <si>
    <t>z</t>
  </si>
  <si>
    <t>market for anode, paste, for aluminium electrolysis</t>
  </si>
  <si>
    <t>market for aluminium casting facility</t>
  </si>
  <si>
    <t>market for argon, liquid</t>
  </si>
  <si>
    <t>market for chlorine, liquid</t>
  </si>
  <si>
    <t>market for corrugated board box</t>
  </si>
  <si>
    <t>market for dross from Al electrolysis</t>
  </si>
  <si>
    <t>market for nitrogen, liquid</t>
  </si>
  <si>
    <t>market for palm oil, crude</t>
  </si>
  <si>
    <t>market for silicon, metallurgical grade</t>
  </si>
  <si>
    <t>market for stone wool</t>
  </si>
  <si>
    <t>market for aluminium sulfate, powder</t>
  </si>
  <si>
    <t>market for carbon disulfide</t>
  </si>
  <si>
    <t>market for chemical, inorganic</t>
  </si>
  <si>
    <t>market for chemical, organic</t>
  </si>
  <si>
    <t>market for conveyor belt</t>
  </si>
  <si>
    <t>market for copper sulfate</t>
  </si>
  <si>
    <t>market for diesel</t>
  </si>
  <si>
    <t>market for diesel, burned in building machine</t>
  </si>
  <si>
    <t>market for dithiocarbamate-compound</t>
  </si>
  <si>
    <t>market for electricity, high voltage</t>
  </si>
  <si>
    <t>market for iron pellet</t>
  </si>
  <si>
    <t>market for lime, packed</t>
  </si>
  <si>
    <t>market for mine infrastructure, open cast, non-ferrous metal</t>
  </si>
  <si>
    <t>market for mine infrastructure, underground, non-ferrous metal</t>
  </si>
  <si>
    <t>market for non-sulfidic tailing, off-site</t>
  </si>
  <si>
    <t>market for potassium carbonate</t>
  </si>
  <si>
    <t>market for sodium cyanide</t>
  </si>
  <si>
    <t>market for steel, chromium steel 18/8, hot rolled</t>
  </si>
  <si>
    <t>market for sulfidic tailings, from copper mine operation</t>
  </si>
  <si>
    <t>market for synthetic rubber</t>
  </si>
  <si>
    <t>m</t>
  </si>
  <si>
    <t>market for ammonia, anhydrous, liquid</t>
  </si>
  <si>
    <t>market for chemical factory, organics</t>
  </si>
  <si>
    <t>market for anode, for metal electrolysis</t>
  </si>
  <si>
    <t>market for blast furnace sludge</t>
  </si>
  <si>
    <t>REGION 2</t>
  </si>
  <si>
    <t>market for copper slag</t>
  </si>
  <si>
    <t>market for heat, district or industrial, other than natural gas</t>
  </si>
  <si>
    <t>market for non-ferrous metal smelter</t>
  </si>
  <si>
    <t>market for oxygen, liquid</t>
  </si>
  <si>
    <t>market for silica sand</t>
  </si>
  <si>
    <t>market for wastewater, unpolluted</t>
  </si>
  <si>
    <t>m3</t>
  </si>
  <si>
    <t>market for copper-rich materials</t>
  </si>
  <si>
    <t>market for electrolyte, copper-rich</t>
  </si>
  <si>
    <t>nickel mine operation and benefication to nickel concentrate, 7% Ni</t>
  </si>
  <si>
    <t>smelting and refining of nickel concentrate, 16% Ni</t>
  </si>
  <si>
    <t>nickel mine operation and benefication to nickel concentrate, 16% Ni</t>
  </si>
  <si>
    <t>nickel concentrate, 7% Ni</t>
  </si>
  <si>
    <t>market for hard coal</t>
  </si>
  <si>
    <t>market for natural gas, high pressure</t>
  </si>
  <si>
    <t>market for petroleum</t>
  </si>
  <si>
    <t>market for sulfidic tailings, from nickel mine operation</t>
  </si>
  <si>
    <t>market for ammonium nitrate</t>
  </si>
  <si>
    <t>market for carboxymethyl cellulose, powder</t>
  </si>
  <si>
    <t>market for cement, CEM II/B</t>
  </si>
  <si>
    <t>market for diesel, burned in diesel-electric generating set, 10MW</t>
  </si>
  <si>
    <t>market for diesel, low-sulfur</t>
  </si>
  <si>
    <t>market for ethylene glycol</t>
  </si>
  <si>
    <t>market for foaming agent</t>
  </si>
  <si>
    <t>market for lime, hydrated, packed</t>
  </si>
  <si>
    <t>market for lubricating oil</t>
  </si>
  <si>
    <t>market for polyacrylamide</t>
  </si>
  <si>
    <t>market for sand</t>
  </si>
  <si>
    <t>market for soda ash, dense</t>
  </si>
  <si>
    <t xml:space="preserve">smelting and refining of nickel concentrate, 7% </t>
  </si>
  <si>
    <t>market for hydrochloric acid, without water, in 30% solution state</t>
  </si>
  <si>
    <t>market for nickel smelter slag</t>
  </si>
  <si>
    <t>market for sulfuric acid</t>
  </si>
  <si>
    <t>market for hydrogen, liquid</t>
  </si>
  <si>
    <t>ferronickel production</t>
  </si>
  <si>
    <t>processing of nickel-rich materials</t>
  </si>
  <si>
    <t>Date</t>
  </si>
  <si>
    <t>Guinea</t>
  </si>
  <si>
    <t>Ireland</t>
  </si>
  <si>
    <t>Jamaica</t>
  </si>
  <si>
    <t>Saudi Arabia</t>
  </si>
  <si>
    <t>Spain</t>
  </si>
  <si>
    <t>Vietnam</t>
  </si>
  <si>
    <t>Bahrain</t>
  </si>
  <si>
    <t>Iceland</t>
  </si>
  <si>
    <t>Norway</t>
  </si>
  <si>
    <t>Oceania</t>
  </si>
  <si>
    <t>market for alumnium production, primary, ingot</t>
  </si>
  <si>
    <t>cutoff391</t>
  </si>
  <si>
    <t>Mongolia</t>
  </si>
  <si>
    <t>Azerbaijan</t>
  </si>
  <si>
    <t>amount</t>
  </si>
  <si>
    <t>location</t>
  </si>
  <si>
    <t>reference product</t>
  </si>
  <si>
    <t>source</t>
  </si>
  <si>
    <t>name</t>
  </si>
  <si>
    <t>database</t>
  </si>
  <si>
    <t>scenario</t>
  </si>
  <si>
    <t>region</t>
  </si>
  <si>
    <t>electricity production, hydro, run-of-river</t>
  </si>
  <si>
    <t>silicon, metallurgical grade | market for silicon, metallurgical grade | GLO | kilogram | cutoff391</t>
  </si>
  <si>
    <t>market for zirconium oxide</t>
  </si>
  <si>
    <t>zirconium oxide | market for zirconium oxide | GLO | kilogram | cutoff391</t>
  </si>
  <si>
    <t>market for zinc</t>
  </si>
  <si>
    <t>zinc | market for zinc | GLO | kilogram | cutoff391</t>
  </si>
  <si>
    <t>market for tellurium, semiconductor-grade</t>
  </si>
  <si>
    <t>tellurium, semiconductor-grade</t>
  </si>
  <si>
    <t>tellurium, semiconductor-grade | market for tellurium, semiconductor-grade | GLO | kilogram | cutoff391</t>
  </si>
  <si>
    <t>market for silver</t>
  </si>
  <si>
    <t>silver | market for silver | GLO | kilogram | cutoff391</t>
  </si>
  <si>
    <t>market for selenium</t>
  </si>
  <si>
    <t>selenium | market for selenium | GLO | kilogram | cutoff391</t>
  </si>
  <si>
    <t>market for terbium oxide</t>
  </si>
  <si>
    <t>terbium oxide | market for terbium oxide | GLO | kilogram | cutoff391</t>
  </si>
  <si>
    <t>market for praseodymium oxide</t>
  </si>
  <si>
    <t>praseodymium oxide | market for praseodymium oxide | GLO | kilogram | cutoff391</t>
  </si>
  <si>
    <t>market for dysprosium oxide</t>
  </si>
  <si>
    <t>dysprosium oxide | market for dysprosium oxide | GLO | kilogram | cutoff391</t>
  </si>
  <si>
    <t>market for neodymium oxide</t>
  </si>
  <si>
    <t>neodymium oxide | market for neodymium oxide | GLO | kilogram | cutoff391</t>
  </si>
  <si>
    <t>market for platinum</t>
  </si>
  <si>
    <t>platinum</t>
  </si>
  <si>
    <t>platinum | market for platinum | GLO | kilogram | cutoff391</t>
  </si>
  <si>
    <t>market for ferronickel</t>
  </si>
  <si>
    <t>ferronickel | market for ferronickel | GLO | kilogram | cutoff391</t>
  </si>
  <si>
    <t>market for nickel, class 1</t>
  </si>
  <si>
    <t>nickel, class 1 | market for nickel, class 1 | GLO | kilogram | cutoff391</t>
  </si>
  <si>
    <t>market for molybdenite</t>
  </si>
  <si>
    <t>molybdenite</t>
  </si>
  <si>
    <t>molybdenite | market for molybdenite | GLO | kilogram | cutoff391</t>
  </si>
  <si>
    <t>manganese dioxide | market for manganese dioxide | GLO | kilogram | cutoff391</t>
  </si>
  <si>
    <t>market for ferromanganese, high-coal, 74.5% Mn</t>
  </si>
  <si>
    <t>ferromanganese, high-coal, 74.5% Mn</t>
  </si>
  <si>
    <t>ferromanganese, high-coal, 74.5% Mn | market for ferromanganese, high-coal, 74.5% Mn | GLO | kilogram | cutoff391</t>
  </si>
  <si>
    <t>lithium carbonate | market for lithium carbonate | GLO | kilogram | cutoff391</t>
  </si>
  <si>
    <t>lithium hydroxide | market for lithium hydroxide | GLO | kilogram | cutoff391</t>
  </si>
  <si>
    <t>market for lead</t>
  </si>
  <si>
    <t>lead | market for lead | GLO | kilogram | cutoff391</t>
  </si>
  <si>
    <t>market for indium</t>
  </si>
  <si>
    <t>indium</t>
  </si>
  <si>
    <t>indium | market for indium | GLO | kilogram | cutoff391</t>
  </si>
  <si>
    <t>market for synthetic graphite, battery grade</t>
  </si>
  <si>
    <t>synthetic graphite, battery grade | market for synthetic graphite, battery grade | CN | kilogram | cutoff391</t>
  </si>
  <si>
    <t>market for gallium, semiconductor-grade</t>
  </si>
  <si>
    <t>gallium, semiconductor-grade | market for gallium, semiconductor-grade | GLO | kilogram | cutoff391</t>
  </si>
  <si>
    <t>market for copper, cathode</t>
  </si>
  <si>
    <t>copper, cathode | market for copper, cathode | GLO | kilogram | cutoff391</t>
  </si>
  <si>
    <t>cobalt sulfate | market for cobalt sulfate | CN | kilogram | cutoff391</t>
  </si>
  <si>
    <t>market for ferrochromium, high-carbon, 55% Cr</t>
  </si>
  <si>
    <t>ferrochromium, high-carbon, 55% Cr</t>
  </si>
  <si>
    <t>ferrochromium, high-carbon, 55% Cr | market for ferrochromium, high-carbon, 55% Cr | GLO | kilogram | cutoff391</t>
  </si>
  <si>
    <t>market for cadmium, semiconductor-grade</t>
  </si>
  <si>
    <t>cadmium, semiconductor-grade | market for cadmium, semiconductor-grade | GLO | kilogram | cutoff391</t>
  </si>
  <si>
    <t>market for boron carbide</t>
  </si>
  <si>
    <t>boron carbide</t>
  </si>
  <si>
    <t>boron carbide | market for boron carbide | GLO | kilogram | cutoff391</t>
  </si>
  <si>
    <t>aluminium, wrought alloy | market for aluminium, wrought alloy | GLO | kilogram | cutoff391</t>
  </si>
  <si>
    <t>IMPACT World+ Midpoint 2.0.1 | Midpoint | Water scarcity</t>
  </si>
  <si>
    <t>IMPACT World+ Midpoint 2.0.1 | Midpoint | Terrestrial acidification</t>
  </si>
  <si>
    <t>IMPACT World+ Midpoint 2.0.1 | Midpoint | Photochemical oxidant formation</t>
  </si>
  <si>
    <t>IMPACT World+ Midpoint 2.0.1 | Midpoint | Particulate matter formation</t>
  </si>
  <si>
    <t>IMPACT World+ Midpoint 2.0.1 | Midpoint | Ozone layer depletion</t>
  </si>
  <si>
    <t>IMPACT World+ Midpoint 2.0.1 | Midpoint | Mineral resources use</t>
  </si>
  <si>
    <t>IMPACT World+ Midpoint 2.0.1 | Midpoint | Marine eutrophication</t>
  </si>
  <si>
    <t>IMPACT World+ Midpoint 2.0.1 | Midpoint | Land transformation, biodiversity</t>
  </si>
  <si>
    <t>IMPACT World+ Midpoint 2.0.1 | Midpoint | Land occupation, biodiversity</t>
  </si>
  <si>
    <t>IMPACT World+ Midpoint 2.0.1 | Midpoint | Ionizing radiations</t>
  </si>
  <si>
    <t>IMPACT World+ Midpoint 2.0.1 | Midpoint | Human toxicity non-cancer</t>
  </si>
  <si>
    <t>IMPACT World+ Midpoint 2.0.1 | Midpoint | Human toxicity cancer</t>
  </si>
  <si>
    <t>IMPACT World+ Midpoint 2.0.1 | Midpoint | Freshwater eutrophication</t>
  </si>
  <si>
    <t>IMPACT World+ Midpoint 2.0.1 | Midpoint | Freshwater ecotoxicity</t>
  </si>
  <si>
    <t>IMPACT World+ Midpoint 2.0.1 | Midpoint | Freshwater acidification</t>
  </si>
  <si>
    <t>IMPACT World+ Midpoint 2.0.1 | Midpoint | Fossil and nuclear energy use</t>
  </si>
  <si>
    <t>IMPACT World+ Midpoint 2.0.1 | Midpoint | Climate change, short term</t>
  </si>
  <si>
    <t>IMPACT World+ Midpoint 2.0.1 | Midpoint | Climate change, long term</t>
  </si>
  <si>
    <t>index</t>
  </si>
  <si>
    <t>Colonne1</t>
  </si>
  <si>
    <t>Region</t>
  </si>
  <si>
    <t>From</t>
  </si>
  <si>
    <t>To</t>
  </si>
  <si>
    <t>Power Mix</t>
  </si>
  <si>
    <t>Hydro</t>
  </si>
  <si>
    <t>Coal</t>
  </si>
  <si>
    <t>Oil</t>
  </si>
  <si>
    <t>Natural Gas</t>
  </si>
  <si>
    <t>Nuclear</t>
  </si>
  <si>
    <t>Other Renewable</t>
  </si>
  <si>
    <t>Other non-renewable</t>
  </si>
  <si>
    <t>Gulf Cooperation Council</t>
  </si>
  <si>
    <t>Africa</t>
  </si>
  <si>
    <t>North America</t>
  </si>
  <si>
    <t>South America</t>
  </si>
  <si>
    <t>Asia (ex China)</t>
  </si>
  <si>
    <t>Europe</t>
  </si>
  <si>
    <t>World Reported</t>
  </si>
  <si>
    <t>Power Source</t>
  </si>
  <si>
    <t>Self-Generated</t>
  </si>
  <si>
    <t>Purchased from Supplier(s)</t>
  </si>
  <si>
    <t>USA</t>
  </si>
  <si>
    <t>World</t>
  </si>
  <si>
    <t>secondary production</t>
  </si>
  <si>
    <t>copper</t>
  </si>
  <si>
    <t>nickel</t>
  </si>
  <si>
    <t>share pyro</t>
  </si>
  <si>
    <t>mine production</t>
  </si>
  <si>
    <t>cum mine production</t>
  </si>
  <si>
    <t>average ore grade</t>
  </si>
  <si>
    <t>ore grade - pyro</t>
  </si>
  <si>
    <t>ore grade - hydro</t>
  </si>
  <si>
    <t>pyro prod</t>
  </si>
  <si>
    <t>cum pyro prod</t>
  </si>
  <si>
    <t>hydro prod</t>
  </si>
  <si>
    <t>cum hydro prod</t>
  </si>
  <si>
    <t>Agua Rica</t>
  </si>
  <si>
    <t>Bajo de la Alumbrera-Bajo el Durazno</t>
  </si>
  <si>
    <t>Bentley</t>
  </si>
  <si>
    <t>Boddington</t>
  </si>
  <si>
    <t>Cadia East</t>
  </si>
  <si>
    <t>Cadia Hill</t>
  </si>
  <si>
    <t>Carrapateena</t>
  </si>
  <si>
    <t>Chillagoe-Mungana/Mungana Deeps</t>
  </si>
  <si>
    <t>Cobar-CSA</t>
  </si>
  <si>
    <t>Copernicus</t>
  </si>
  <si>
    <t>Deflector</t>
  </si>
  <si>
    <t>Doolgunna-DeGrussa-Conductor</t>
  </si>
  <si>
    <t>Endeavor (Elura)</t>
  </si>
  <si>
    <t>Ernest Henry</t>
  </si>
  <si>
    <t>Girilambone Group</t>
  </si>
  <si>
    <t>Golden Grove</t>
  </si>
  <si>
    <t>Great Southern Group</t>
  </si>
  <si>
    <t>Hera</t>
  </si>
  <si>
    <t>Hillside</t>
  </si>
  <si>
    <t>Kambalda Field</t>
  </si>
  <si>
    <t>Kanmantoo</t>
  </si>
  <si>
    <t>Lady Annie</t>
  </si>
  <si>
    <t>Mons Cupri</t>
  </si>
  <si>
    <t>Mount Carlton</t>
  </si>
  <si>
    <t>Mount Gordon</t>
  </si>
  <si>
    <t>Mount Isa (Cu)</t>
  </si>
  <si>
    <t>Nifty</t>
  </si>
  <si>
    <t xml:space="preserve">Northparkes </t>
  </si>
  <si>
    <t>Nova-Bollinger</t>
  </si>
  <si>
    <t>O'Callaghans</t>
  </si>
  <si>
    <t>Olympic Dam</t>
  </si>
  <si>
    <t>Panorama-Sulphur Springs</t>
  </si>
  <si>
    <t>Peak (NSW)</t>
  </si>
  <si>
    <t>Prominent Hill</t>
  </si>
  <si>
    <t>Renison Bell</t>
  </si>
  <si>
    <t>Ridgeway</t>
  </si>
  <si>
    <t>Rosebery-South Hercules</t>
  </si>
  <si>
    <t>Roseby Group</t>
  </si>
  <si>
    <t>Savannah-Sally Malay</t>
  </si>
  <si>
    <t>Starra Line (222-276)</t>
  </si>
  <si>
    <t>Stockman (Currawong-Wilga)</t>
  </si>
  <si>
    <t>Telfer Group</t>
  </si>
  <si>
    <t>Thalanga Group</t>
  </si>
  <si>
    <t>Tritton-Budgerygar-Budgery</t>
  </si>
  <si>
    <t>Whim Creek</t>
  </si>
  <si>
    <t>Gedabek (Kedabek)</t>
  </si>
  <si>
    <t>Don Mario-UMZ-LMZ-Cerro Felix</t>
  </si>
  <si>
    <t>Mowana</t>
  </si>
  <si>
    <t>Plutus</t>
  </si>
  <si>
    <t>Selebi-Phikwe</t>
  </si>
  <si>
    <t>Thakadu (Matsitama-Makala)</t>
  </si>
  <si>
    <t>Zeta-Zeta NE</t>
  </si>
  <si>
    <t>Antas North/South</t>
  </si>
  <si>
    <t>Chapada</t>
  </si>
  <si>
    <t>Mirabela-Santa Rita</t>
  </si>
  <si>
    <t>Salobo</t>
  </si>
  <si>
    <t>Serrote da Laje-Caboclo (Rogerio-Zeze)</t>
  </si>
  <si>
    <t>Sossego</t>
  </si>
  <si>
    <t>Chelopech</t>
  </si>
  <si>
    <t>Ajax-Afton-E-W</t>
  </si>
  <si>
    <t>Akasaba</t>
  </si>
  <si>
    <t>Bracemac-McLeod</t>
  </si>
  <si>
    <t>Bucko Lake</t>
  </si>
  <si>
    <t>Casino</t>
  </si>
  <si>
    <t>Copper Mountain (Similkameen)</t>
  </si>
  <si>
    <t>Eagle's Nest</t>
  </si>
  <si>
    <t>Estrades-Caribou</t>
  </si>
  <si>
    <t>Galore Creek</t>
  </si>
  <si>
    <t>Getty North/South</t>
  </si>
  <si>
    <t>Gibraltar</t>
  </si>
  <si>
    <t>Hart</t>
  </si>
  <si>
    <t xml:space="preserve">Highland Valley </t>
  </si>
  <si>
    <t>Huckleberry</t>
  </si>
  <si>
    <t>Hudson Bay-777</t>
  </si>
  <si>
    <t>Hudson Bay-Lalor</t>
  </si>
  <si>
    <t>Hudson Bay-Reed</t>
  </si>
  <si>
    <t>Kemess-Kemess East</t>
  </si>
  <si>
    <t>Kidd Creek</t>
  </si>
  <si>
    <t>Kutcho</t>
  </si>
  <si>
    <t>Lac des Iles</t>
  </si>
  <si>
    <t>Lac Rocher</t>
  </si>
  <si>
    <t>Langlois</t>
  </si>
  <si>
    <t>LaRonde</t>
  </si>
  <si>
    <t>Lockerby</t>
  </si>
  <si>
    <t xml:space="preserve">Marathon </t>
  </si>
  <si>
    <t>Minto</t>
  </si>
  <si>
    <t>Mount Milligan</t>
  </si>
  <si>
    <t>Mount Polley</t>
  </si>
  <si>
    <t>Myra Falls</t>
  </si>
  <si>
    <t>New Afton</t>
  </si>
  <si>
    <t>Nico</t>
  </si>
  <si>
    <t>Raglan</t>
  </si>
  <si>
    <t>Rambler-Ming</t>
  </si>
  <si>
    <t>Red Chris</t>
  </si>
  <si>
    <t>Redstone (Sudbury)</t>
  </si>
  <si>
    <t>Schaft Creek (Liard)</t>
  </si>
  <si>
    <t xml:space="preserve">Shakespeare </t>
  </si>
  <si>
    <t>Sudbury (Glencore)</t>
  </si>
  <si>
    <t>Sudbury (KGHM)</t>
  </si>
  <si>
    <t>Sudbury (Vale)</t>
  </si>
  <si>
    <t>Thompson</t>
  </si>
  <si>
    <t>Tulsequah Chief</t>
  </si>
  <si>
    <t>Voisey's Bay</t>
  </si>
  <si>
    <t>Wolverine</t>
  </si>
  <si>
    <t>Andacollo</t>
  </si>
  <si>
    <t>Andina</t>
  </si>
  <si>
    <t>Antucoya</t>
  </si>
  <si>
    <t>Candelaria-Ojos del Salado</t>
  </si>
  <si>
    <t>Caserones</t>
  </si>
  <si>
    <t>Centinela</t>
  </si>
  <si>
    <t>Cerro Casale</t>
  </si>
  <si>
    <t>Cerro Colorado (Chile)</t>
  </si>
  <si>
    <t>Chuquicamata</t>
  </si>
  <si>
    <t>Collahuasi</t>
  </si>
  <si>
    <t>El Abra</t>
  </si>
  <si>
    <t>El Morro (La Fortuna)</t>
  </si>
  <si>
    <t>El Salvador (Chile)</t>
  </si>
  <si>
    <t>El Soldado</t>
  </si>
  <si>
    <t>El Teniente</t>
  </si>
  <si>
    <t>Encuentro</t>
  </si>
  <si>
    <t>Escondida-Main</t>
  </si>
  <si>
    <t xml:space="preserve">Franke </t>
  </si>
  <si>
    <t>Gabriela Mistral (Minera Gaby)</t>
  </si>
  <si>
    <t>Lomas Bayas</t>
  </si>
  <si>
    <t>Los Bronces-Los Bonces Sur</t>
  </si>
  <si>
    <t xml:space="preserve">Los Pelambres </t>
  </si>
  <si>
    <t>Mantos Blancos</t>
  </si>
  <si>
    <t>Mantoverde</t>
  </si>
  <si>
    <t>Ministro Hales</t>
  </si>
  <si>
    <t>Pascua-Lama</t>
  </si>
  <si>
    <t>Pimenton</t>
  </si>
  <si>
    <t>Productora</t>
  </si>
  <si>
    <t>Punitaqui</t>
  </si>
  <si>
    <t>Quebrada Blanca</t>
  </si>
  <si>
    <t>Radomiro Tomic</t>
  </si>
  <si>
    <t>Relincho</t>
  </si>
  <si>
    <t>Santo Domingo</t>
  </si>
  <si>
    <t>Sierra Gorda</t>
  </si>
  <si>
    <t>Spence</t>
  </si>
  <si>
    <t>Zaldivar</t>
  </si>
  <si>
    <t>Ashele</t>
  </si>
  <si>
    <t>Chimashan</t>
  </si>
  <si>
    <t>Damajianshan</t>
  </si>
  <si>
    <t>Dishui</t>
  </si>
  <si>
    <t>Duobaoshan</t>
  </si>
  <si>
    <t>Fengshan</t>
  </si>
  <si>
    <t>Huangshandong-Huangshan-Xiangshan</t>
  </si>
  <si>
    <t>Hunchun Xiaoxinancha (Hunchun Zijin)</t>
  </si>
  <si>
    <t>Jiama</t>
  </si>
  <si>
    <t>Kalatongke</t>
  </si>
  <si>
    <t>Sanfengshan</t>
  </si>
  <si>
    <t>Sareke</t>
  </si>
  <si>
    <t>Tonghui</t>
  </si>
  <si>
    <t>Tonglvshan (Tongshan)</t>
  </si>
  <si>
    <t>Tongshankou</t>
  </si>
  <si>
    <t>Xietongmen</t>
  </si>
  <si>
    <t>Zijinshan</t>
  </si>
  <si>
    <t>Frontier</t>
  </si>
  <si>
    <t>Kabolela</t>
  </si>
  <si>
    <t>Kalukundi</t>
  </si>
  <si>
    <t>Kamoto Group</t>
  </si>
  <si>
    <t>Kapulo (Shaba-Safari)</t>
  </si>
  <si>
    <t>Kinsevere</t>
  </si>
  <si>
    <t>Kipoi Group</t>
  </si>
  <si>
    <t>Mashitu (Principal-Safwe Nord-Sud)</t>
  </si>
  <si>
    <t>Miniere de Musoshi et Kinsenda SARL</t>
  </si>
  <si>
    <t>Mukondo Mountain</t>
  </si>
  <si>
    <t>Mutanda</t>
  </si>
  <si>
    <t>Ruashi</t>
  </si>
  <si>
    <t>Tenke Fungurume</t>
  </si>
  <si>
    <t>Pueblo Viejo</t>
  </si>
  <si>
    <t>Loma Larga (Quimsacocha)</t>
  </si>
  <si>
    <t>Asmara-Adi Nefas</t>
  </si>
  <si>
    <t>Asmara-Debarwa</t>
  </si>
  <si>
    <t>Asmara-Emba Derho</t>
  </si>
  <si>
    <t>Bisha</t>
  </si>
  <si>
    <t>Bisha-Harena</t>
  </si>
  <si>
    <t>Namosi JV (Waisoi-Wainaulo)</t>
  </si>
  <si>
    <t>Hannukainen-Kuervitikko</t>
  </si>
  <si>
    <t>Hitura</t>
  </si>
  <si>
    <t>Kevitsa</t>
  </si>
  <si>
    <t>Kylylahti</t>
  </si>
  <si>
    <t>Pyhäsalmi</t>
  </si>
  <si>
    <t>Skouries</t>
  </si>
  <si>
    <t>Indian Copper Complex Group</t>
  </si>
  <si>
    <t>Khetri-Kolihan</t>
  </si>
  <si>
    <t>Malanjkhand</t>
  </si>
  <si>
    <t>Batu Hijau</t>
  </si>
  <si>
    <t>Ertsberg-Grasberg Group</t>
  </si>
  <si>
    <t>Wetar-(Kali Kuning-Lerokis)</t>
  </si>
  <si>
    <t>Aktogay (Aktogai)</t>
  </si>
  <si>
    <t>Bozshakol (Boshekul)</t>
  </si>
  <si>
    <t>Central Region-Balkhash Complex</t>
  </si>
  <si>
    <t>East Region</t>
  </si>
  <si>
    <t>Karchiga</t>
  </si>
  <si>
    <t>Maleevsky</t>
  </si>
  <si>
    <t>Ridder-Sokolny</t>
  </si>
  <si>
    <t>Shubinsky</t>
  </si>
  <si>
    <t>Tarutin (Tarutinskoye)</t>
  </si>
  <si>
    <t>Tishinsky</t>
  </si>
  <si>
    <t>Varvara (Varvarinskoye)</t>
  </si>
  <si>
    <t>Zhezkazgan-Zhomart Complex</t>
  </si>
  <si>
    <t>Andash</t>
  </si>
  <si>
    <t>Bozymchak (Boz Emchek)</t>
  </si>
  <si>
    <t>Phu Kham</t>
  </si>
  <si>
    <t>Sepon (Cu-Au)</t>
  </si>
  <si>
    <t>Ilovica (Ilovitza)</t>
  </si>
  <si>
    <t>Guelb Moghrein</t>
  </si>
  <si>
    <t>Angangueo</t>
  </si>
  <si>
    <t>Arista-El Aguila</t>
  </si>
  <si>
    <t>Bahuerachi</t>
  </si>
  <si>
    <t>Bismark</t>
  </si>
  <si>
    <t>Bolivar</t>
  </si>
  <si>
    <t>Buenavista del Cobre (Cananea)</t>
  </si>
  <si>
    <t>Cerro del Gallo</t>
  </si>
  <si>
    <t>Cozamin</t>
  </si>
  <si>
    <t>El Arco</t>
  </si>
  <si>
    <t>El Pilar</t>
  </si>
  <si>
    <t>IMMSA Group</t>
  </si>
  <si>
    <t>La Caridad</t>
  </si>
  <si>
    <t>Luz del Cobre-Calvario</t>
  </si>
  <si>
    <t>Madero (Francisco I. Madero)</t>
  </si>
  <si>
    <t>Milpillas</t>
  </si>
  <si>
    <t>Naica</t>
  </si>
  <si>
    <t>Cosalá (Nuestra Señora-Zone 120)</t>
  </si>
  <si>
    <t>Piedras Verdes (Cobre del Mayo)</t>
  </si>
  <si>
    <t>Rey de Plata</t>
  </si>
  <si>
    <t>Sabinas</t>
  </si>
  <si>
    <t>Tizapa</t>
  </si>
  <si>
    <t>Velardeña</t>
  </si>
  <si>
    <t>Lookout Hill</t>
  </si>
  <si>
    <t>Oyu Tolgoi-Oyut</t>
  </si>
  <si>
    <t>Oyu Tolgoi-Hugo Dummett North</t>
  </si>
  <si>
    <t>Oyu Tolgoi-Hugo Dummett North Extension</t>
  </si>
  <si>
    <t>Akka</t>
  </si>
  <si>
    <t>CMG (Hajar-Draâ Sfar-Tighardine-Amensif)</t>
  </si>
  <si>
    <t>Oumejrane (CMO)</t>
  </si>
  <si>
    <t>Monywa-Letpadaung</t>
  </si>
  <si>
    <t>Monywa-Sabetaung/Kyisintaung</t>
  </si>
  <si>
    <t>Matchless</t>
  </si>
  <si>
    <t>Otjihase</t>
  </si>
  <si>
    <t>Tschudi</t>
  </si>
  <si>
    <t>Cobre Panama-Balboa</t>
  </si>
  <si>
    <t>Cobre Panama-Botija</t>
  </si>
  <si>
    <t>Cobre Panama-Botija Abajo / Brazo</t>
  </si>
  <si>
    <t>Cobre Panama-Colina / Medio</t>
  </si>
  <si>
    <t>Cobre Panama-Valle Grande</t>
  </si>
  <si>
    <t>MMJV-Golpu</t>
  </si>
  <si>
    <t>Ok Tedi</t>
  </si>
  <si>
    <t>Alpamarca</t>
  </si>
  <si>
    <t>Antamina</t>
  </si>
  <si>
    <t>Antapaccay</t>
  </si>
  <si>
    <t>Atacocha</t>
  </si>
  <si>
    <t>Cañariaco Norte</t>
  </si>
  <si>
    <t>Cerro Corona</t>
  </si>
  <si>
    <t>Cerro de Pasco</t>
  </si>
  <si>
    <t>Cerro Lindo</t>
  </si>
  <si>
    <t>Cerro Verde</t>
  </si>
  <si>
    <t>Chungar</t>
  </si>
  <si>
    <t>Cobriza</t>
  </si>
  <si>
    <t>Colquijirca</t>
  </si>
  <si>
    <t>Condestable-Raúl</t>
  </si>
  <si>
    <t>Constancia-Pampacancha</t>
  </si>
  <si>
    <t>Contonga</t>
  </si>
  <si>
    <t>Coricancha</t>
  </si>
  <si>
    <t>Cuajone</t>
  </si>
  <si>
    <t>El Galeno</t>
  </si>
  <si>
    <t>El Porvenir</t>
  </si>
  <si>
    <t>Huaron</t>
  </si>
  <si>
    <t>Julcani</t>
  </si>
  <si>
    <t>Las Bambas</t>
  </si>
  <si>
    <t>Los Quenuales (Iscaycruz-Yauliyacu)</t>
  </si>
  <si>
    <t>Marcapunta North/East</t>
  </si>
  <si>
    <t>Morococha</t>
  </si>
  <si>
    <t>Quellaveco</t>
  </si>
  <si>
    <t>Raura</t>
  </si>
  <si>
    <t>Rio Blanco-Whiteriver</t>
  </si>
  <si>
    <t>Santa-Ana</t>
  </si>
  <si>
    <t>Tajo Norte (El Brocal North/West)</t>
  </si>
  <si>
    <t>Tia Maria</t>
  </si>
  <si>
    <t>Toquepala</t>
  </si>
  <si>
    <t>Toromocho</t>
  </si>
  <si>
    <t>Yauli</t>
  </si>
  <si>
    <t>Yauricocha</t>
  </si>
  <si>
    <t>Zafranal-Victoria</t>
  </si>
  <si>
    <t>Bumolo</t>
  </si>
  <si>
    <t>Didipio (Dinkidi)</t>
  </si>
  <si>
    <t>King-King (Kingking)</t>
  </si>
  <si>
    <t>Mankayan (Guinaoang)</t>
  </si>
  <si>
    <t>Padcal-Santo Tomas II</t>
  </si>
  <si>
    <t>Taysan</t>
  </si>
  <si>
    <t>Toledo-Carmen</t>
  </si>
  <si>
    <t>Toledo-Lutopan</t>
  </si>
  <si>
    <t>Lubin-Małomice</t>
  </si>
  <si>
    <t>Polkowice-Sieroszowice</t>
  </si>
  <si>
    <t>Rudna</t>
  </si>
  <si>
    <t>Neves Corvo</t>
  </si>
  <si>
    <t>Valea Morii</t>
  </si>
  <si>
    <t>Kola Peninsula</t>
  </si>
  <si>
    <t>Kun-Manie Group</t>
  </si>
  <si>
    <t>Taimyr Peninsula (Nor’ilsk-Talnakh)</t>
  </si>
  <si>
    <t>Udokan</t>
  </si>
  <si>
    <t>Jabal Sayid-Citadel</t>
  </si>
  <si>
    <t>Khnaiguiyah</t>
  </si>
  <si>
    <t>Bafokeng-Rasimone</t>
  </si>
  <si>
    <t>Bakubung (Ledig-Frischgewaagd)</t>
  </si>
  <si>
    <t>Bathopele</t>
  </si>
  <si>
    <t>Black Mountain (Deeps-Swartberg)</t>
  </si>
  <si>
    <t>Bokoni-Ga Phasha</t>
  </si>
  <si>
    <t>Booysendal North / South</t>
  </si>
  <si>
    <t>Crocodile River</t>
  </si>
  <si>
    <t>Dishaba</t>
  </si>
  <si>
    <t>Everest</t>
  </si>
  <si>
    <t>Impala</t>
  </si>
  <si>
    <t>Kroondal (PSA)</t>
  </si>
  <si>
    <t>Lesego</t>
  </si>
  <si>
    <t>Limpopo-Dwaalkop</t>
  </si>
  <si>
    <t>Mareesburg</t>
  </si>
  <si>
    <t>Marikana (Lonmin)</t>
  </si>
  <si>
    <t>Marikana (PSA)</t>
  </si>
  <si>
    <t>Marula</t>
  </si>
  <si>
    <t>Maseve-1/1a</t>
  </si>
  <si>
    <t>Modikwa</t>
  </si>
  <si>
    <t>Mogalakwena</t>
  </si>
  <si>
    <t>Mototolo</t>
  </si>
  <si>
    <t>Nkomati</t>
  </si>
  <si>
    <t>Phalaborwa (Palabora)</t>
  </si>
  <si>
    <t>Pandora JV</t>
  </si>
  <si>
    <t>Pilanesburg (Tuschenkomst-Ruighoek)</t>
  </si>
  <si>
    <t>Siphumelele</t>
  </si>
  <si>
    <t>Smokey Hills</t>
  </si>
  <si>
    <t>Thembelani-Khuseleka</t>
  </si>
  <si>
    <t>Tumela</t>
  </si>
  <si>
    <t>Twickenham</t>
  </si>
  <si>
    <t>Two Rivers</t>
  </si>
  <si>
    <t>Union North/South</t>
  </si>
  <si>
    <t>Zondereinde (Northam)</t>
  </si>
  <si>
    <t>Cobre Las Cruces</t>
  </si>
  <si>
    <t>El Valle-Boinás/Carlés</t>
  </si>
  <si>
    <t>Rio Tinto</t>
  </si>
  <si>
    <t xml:space="preserve">Aitik </t>
  </si>
  <si>
    <t>Boliden Group</t>
  </si>
  <si>
    <t>Garpenberg</t>
  </si>
  <si>
    <t>Zinkgruvan (Cu-Zn only)</t>
  </si>
  <si>
    <t>Bulyanhulu</t>
  </si>
  <si>
    <t>Buzwagi</t>
  </si>
  <si>
    <t>Çayeli</t>
  </si>
  <si>
    <t>Çöpler (Cukurdere)</t>
  </si>
  <si>
    <t>Bagdad</t>
  </si>
  <si>
    <t>Bingham Canyon</t>
  </si>
  <si>
    <t>Butte Group</t>
  </si>
  <si>
    <t>Cashin</t>
  </si>
  <si>
    <t>Chino (Santa Rita)</t>
  </si>
  <si>
    <t xml:space="preserve">Cobre </t>
  </si>
  <si>
    <t>Eagle (USA)</t>
  </si>
  <si>
    <t>Florence (Poston Butte)</t>
  </si>
  <si>
    <t>Galena (AgCu)</t>
  </si>
  <si>
    <t>Golden Dream-Elkhorn</t>
  </si>
  <si>
    <t>Gunnison-North Star</t>
  </si>
  <si>
    <t>Johnson Camp</t>
  </si>
  <si>
    <t>Liberty (Hall-Tonopah)</t>
  </si>
  <si>
    <t>Mineral Park (Ithaca Peak)</t>
  </si>
  <si>
    <t>Mission</t>
  </si>
  <si>
    <t>Morenci</t>
  </si>
  <si>
    <t>NorthMet (Dunka Road)</t>
  </si>
  <si>
    <t>Phoenix (mill+heap leach)</t>
  </si>
  <si>
    <t>Pinto Valley</t>
  </si>
  <si>
    <t>Pumpkin Hollow (West/East)</t>
  </si>
  <si>
    <t>Ray</t>
  </si>
  <si>
    <t>Robinson (Ely-Ruth)</t>
  </si>
  <si>
    <t>Rosemont (Helvetia)</t>
  </si>
  <si>
    <t>Safford (Dos Pobres)</t>
  </si>
  <si>
    <t>Sierrita</t>
  </si>
  <si>
    <t>Silver Bell</t>
  </si>
  <si>
    <t>Stillwater-East Boulder</t>
  </si>
  <si>
    <t>Troy (Spar Lake)</t>
  </si>
  <si>
    <t>Tyrone</t>
  </si>
  <si>
    <t>Ban Phuc</t>
  </si>
  <si>
    <t>Nui Phao</t>
  </si>
  <si>
    <t>Baluba (Center)</t>
  </si>
  <si>
    <t>Baluba East</t>
  </si>
  <si>
    <t>Chambishi (Main)</t>
  </si>
  <si>
    <t>Chambishi (West)</t>
  </si>
  <si>
    <t>Chambishi (Southeast)</t>
  </si>
  <si>
    <t>Chibuluma South</t>
  </si>
  <si>
    <t>Chifupu</t>
  </si>
  <si>
    <t>Kansanshi</t>
  </si>
  <si>
    <t>Konkola-Nchanga-Nampundwe</t>
  </si>
  <si>
    <t>Lubambe-Lubambe Extension</t>
  </si>
  <si>
    <t>Lumwana (Chimiwungo / Malundwe)</t>
  </si>
  <si>
    <t>Mashiba</t>
  </si>
  <si>
    <t>Mashiba B</t>
  </si>
  <si>
    <t>Mopani-Mufulira</t>
  </si>
  <si>
    <t>Mopani-Nkana</t>
  </si>
  <si>
    <t>Muliashi North</t>
  </si>
  <si>
    <t>Muliashi South</t>
  </si>
  <si>
    <t>Mumbwa-Kitumba</t>
  </si>
  <si>
    <t>Trident-Sentinel</t>
  </si>
  <si>
    <t>Unki-Main Sulphide Zone</t>
  </si>
  <si>
    <t>Mimosa Group (North Hill-South Hill-Far South Hill)</t>
  </si>
  <si>
    <t>Bokai North/South</t>
  </si>
  <si>
    <t>Zimplats Group (Ngezi-Hartley)</t>
  </si>
  <si>
    <t>Cleveland-Luina Tailings</t>
  </si>
  <si>
    <t>Renison Bell Tailings</t>
  </si>
  <si>
    <t>Marikana Tailings</t>
  </si>
  <si>
    <t>Phoenix Chrome-PGE Tailings</t>
  </si>
  <si>
    <t>Rustenburg-Union Tailings</t>
  </si>
  <si>
    <t>Botswana</t>
  </si>
  <si>
    <t>Bulgaria</t>
  </si>
  <si>
    <t>Dominican Republic</t>
  </si>
  <si>
    <t>Ecuador</t>
  </si>
  <si>
    <t>Eritrea</t>
  </si>
  <si>
    <t>Fiji</t>
  </si>
  <si>
    <t>Finland</t>
  </si>
  <si>
    <t>Greece</t>
  </si>
  <si>
    <t>Kyrgyzstan</t>
  </si>
  <si>
    <t>Laos</t>
  </si>
  <si>
    <t>Macedonia</t>
  </si>
  <si>
    <t>Mauritania</t>
  </si>
  <si>
    <t>Namibia</t>
  </si>
  <si>
    <t>Panama</t>
  </si>
  <si>
    <t>Papua New Guinea</t>
  </si>
  <si>
    <t>Romania</t>
  </si>
  <si>
    <t>Tanzania</t>
  </si>
  <si>
    <t>fuel use mine</t>
  </si>
  <si>
    <t>MJ/t copper content</t>
  </si>
  <si>
    <t>fuel use concentrator</t>
  </si>
  <si>
    <t>electricity use mine</t>
  </si>
  <si>
    <t>electricity use concentrator</t>
  </si>
  <si>
    <t xml:space="preserve">water </t>
  </si>
  <si>
    <t>tin</t>
  </si>
  <si>
    <t>CAZ</t>
  </si>
  <si>
    <t>CHA</t>
  </si>
  <si>
    <t>EUR</t>
  </si>
  <si>
    <t>IND</t>
  </si>
  <si>
    <t>MEA</t>
  </si>
  <si>
    <t>NEU</t>
  </si>
  <si>
    <t>OAS</t>
  </si>
  <si>
    <t>REF</t>
  </si>
  <si>
    <t>SSA</t>
  </si>
  <si>
    <t>LAM</t>
  </si>
  <si>
    <t>Grade ResV</t>
  </si>
  <si>
    <t>Grade ResC</t>
  </si>
  <si>
    <t>Murrin Murrin</t>
  </si>
  <si>
    <t>NiWest-Hepi</t>
  </si>
  <si>
    <t>NiWest-Mount Kilkenny</t>
  </si>
  <si>
    <t>NiWest-Eucalyptus</t>
  </si>
  <si>
    <t>Ravensthorpe</t>
  </si>
  <si>
    <t>Wingellina</t>
  </si>
  <si>
    <t>Cawse</t>
  </si>
  <si>
    <t>Owendale</t>
  </si>
  <si>
    <t>Sunrise-Syerston</t>
  </si>
  <si>
    <t>Leinster</t>
  </si>
  <si>
    <t>Mount Keith</t>
  </si>
  <si>
    <t>Cliffs</t>
  </si>
  <si>
    <t>Yakabindie</t>
  </si>
  <si>
    <t>Kambalda-Mincor Group</t>
  </si>
  <si>
    <t>Kambalda-Lanfranchi Group</t>
  </si>
  <si>
    <t>Spotted Quoll-Beautiful Sunday</t>
  </si>
  <si>
    <t>Diggers</t>
  </si>
  <si>
    <t>Flying Fox-Lounge Lizard</t>
  </si>
  <si>
    <t>Black Swan-Silver Swan</t>
  </si>
  <si>
    <t>RAV 1-4-5-8</t>
  </si>
  <si>
    <t>Savannah-Copernicus</t>
  </si>
  <si>
    <t>Barro Alto</t>
  </si>
  <si>
    <t>Niquelândia-Codemin</t>
  </si>
  <si>
    <t>Onça Puma</t>
  </si>
  <si>
    <t>Cameroon</t>
  </si>
  <si>
    <t>Nkamouna-Mada</t>
  </si>
  <si>
    <t>Dumont</t>
  </si>
  <si>
    <t>Shaw Dome-McWatters</t>
  </si>
  <si>
    <t>Shaw Dome-Redstone</t>
  </si>
  <si>
    <t>Sudbury Group (Glencore)</t>
  </si>
  <si>
    <t>Sudbury Group (Vale)</t>
  </si>
  <si>
    <t>Sudbury-Lockerby / Conwest</t>
  </si>
  <si>
    <t>Shakespeare</t>
  </si>
  <si>
    <t>Colombia</t>
  </si>
  <si>
    <t>Cerro Matoso</t>
  </si>
  <si>
    <t>Moa Bay JV</t>
  </si>
  <si>
    <t>Moa Bay-Camarioca Norte/Sur</t>
  </si>
  <si>
    <t>Moa Bay-Eastern Satellites</t>
  </si>
  <si>
    <t>Falcondo</t>
  </si>
  <si>
    <t>East Halmahera Group (Saprolite)</t>
  </si>
  <si>
    <t>North Konawe Group (Saprolite)</t>
  </si>
  <si>
    <t>Pomalaa (Saprolite)</t>
  </si>
  <si>
    <t>Pulau-Gag Island (Saprolite)</t>
  </si>
  <si>
    <t>Sorowako</t>
  </si>
  <si>
    <t>East Halmahera Group (Limonite)</t>
  </si>
  <si>
    <t>North Konawe Group (Limonite)</t>
  </si>
  <si>
    <t>Pomalaa (Limonite)</t>
  </si>
  <si>
    <t>Pulau-Gag Island (Limonite)</t>
  </si>
  <si>
    <t>Ambatovy JV (incl. Anamalay)</t>
  </si>
  <si>
    <t>Bou-Azzer</t>
  </si>
  <si>
    <t>Koniambo</t>
  </si>
  <si>
    <t>Doniambo-SLN Group</t>
  </si>
  <si>
    <t>Hinatuan-Taganaan</t>
  </si>
  <si>
    <t>Rio Tuba</t>
  </si>
  <si>
    <t>Cagdianao (GFH)</t>
  </si>
  <si>
    <t>Cagdianao (NAC)</t>
  </si>
  <si>
    <t>Taganito</t>
  </si>
  <si>
    <t>Dinapigue</t>
  </si>
  <si>
    <t>Mindoro (Lower Kisluyan-Buraboy)</t>
  </si>
  <si>
    <t>Ramu</t>
  </si>
  <si>
    <t>Pana-Eastern</t>
  </si>
  <si>
    <t>Pana-Western</t>
  </si>
  <si>
    <t>Amandelbult-Dishaba</t>
  </si>
  <si>
    <t>Amandelbult-Tumela</t>
  </si>
  <si>
    <t>Booysendal North / South-Everest</t>
  </si>
  <si>
    <t>Eland</t>
  </si>
  <si>
    <t>Magazynskraal-Sedibelo East</t>
  </si>
  <si>
    <t>Mphahlele</t>
  </si>
  <si>
    <t>Pilanesburg-East / West Pits</t>
  </si>
  <si>
    <t>Ruighoek</t>
  </si>
  <si>
    <t>Rustenburg Group</t>
  </si>
  <si>
    <t>Sedibelo Central</t>
  </si>
  <si>
    <t>Siphumelele 3</t>
  </si>
  <si>
    <t>Platreef (Flatreef-Turfspruit)</t>
  </si>
  <si>
    <t>Mogalakwena-Boikgantsho</t>
  </si>
  <si>
    <t>Aguablanca</t>
  </si>
  <si>
    <t>Eagle-Eagle East (USA)</t>
  </si>
  <si>
    <t>Kalumbila-Enterprise</t>
  </si>
  <si>
    <t>Bindura (Trojan-Shangani-Hunter's Road)</t>
  </si>
  <si>
    <t>Unki Main Sulphide Zone</t>
  </si>
  <si>
    <t>Mimosa</t>
  </si>
  <si>
    <t>Zimplats</t>
  </si>
  <si>
    <t>ResV Mt</t>
  </si>
  <si>
    <t>ResC Mt</t>
  </si>
  <si>
    <t>Albania</t>
  </si>
  <si>
    <t>Kukes-Krume-Lure</t>
  </si>
  <si>
    <t>Librazhd-Pogradec</t>
  </si>
  <si>
    <t>Devolli Group</t>
  </si>
  <si>
    <t>Las Aguilas</t>
  </si>
  <si>
    <t>Stanton</t>
  </si>
  <si>
    <t>Avebury</t>
  </si>
  <si>
    <t>Mount Fitch (Ni-Cu-Co)</t>
  </si>
  <si>
    <t>Sherlock Bay</t>
  </si>
  <si>
    <t>Bamboo Creek</t>
  </si>
  <si>
    <t>KNP East-Bulong: Taurus</t>
  </si>
  <si>
    <t>KNP East-Bulong: Bulong East</t>
  </si>
  <si>
    <t>Lake Yindarlgooda</t>
  </si>
  <si>
    <t>NiWest-Wanbanna</t>
  </si>
  <si>
    <t>NiWest-Murrin North</t>
  </si>
  <si>
    <t>NiWest-Waite Kauri</t>
  </si>
  <si>
    <t>NiWest-Mertondale</t>
  </si>
  <si>
    <t>Coronation Dam-Duck Hill</t>
  </si>
  <si>
    <t>NiWest-Macey Hill</t>
  </si>
  <si>
    <t>Ghan Well</t>
  </si>
  <si>
    <t>Pyke Hill</t>
  </si>
  <si>
    <t>Pelican</t>
  </si>
  <si>
    <t>Larkins Find</t>
  </si>
  <si>
    <t>Mount Clifford-Marriotts</t>
  </si>
  <si>
    <t>Marlborough Group</t>
  </si>
  <si>
    <t>KNP East-Hampton: Kalpini (Lake Rebecca)</t>
  </si>
  <si>
    <t>Yerilla East / West</t>
  </si>
  <si>
    <t>Patch-Gulch (Canegrass)</t>
  </si>
  <si>
    <t>Kurnalpi-Grey Dam</t>
  </si>
  <si>
    <t>Barnes Hill</t>
  </si>
  <si>
    <t>Binti Binti</t>
  </si>
  <si>
    <t>Lake Innes (Hurll's Hill)</t>
  </si>
  <si>
    <t>Kurnalpi-Acra</t>
  </si>
  <si>
    <t>Goongarrie South (Fe)</t>
  </si>
  <si>
    <t>Wyo Well</t>
  </si>
  <si>
    <t>Avalon-Bulong</t>
  </si>
  <si>
    <t>Gordonbrook-Bungonia</t>
  </si>
  <si>
    <t>KNP West-Goongarrie: Big Four</t>
  </si>
  <si>
    <t>KNP West-Goongarrie: Goongarrie South</t>
  </si>
  <si>
    <t>KNP West-Goongarrie: Highway</t>
  </si>
  <si>
    <t>KNP West-Goongarrie: Scotia</t>
  </si>
  <si>
    <t>Pacific Highway</t>
  </si>
  <si>
    <t>Limeburners Flat</t>
  </si>
  <si>
    <t>Pitkin-State Forest</t>
  </si>
  <si>
    <t>State Forest Lot 3</t>
  </si>
  <si>
    <t>Claude Hills</t>
  </si>
  <si>
    <t>Mount Thirsty</t>
  </si>
  <si>
    <t>Nindilbillup Group</t>
  </si>
  <si>
    <t>Sconi North-Bell Creek Group</t>
  </si>
  <si>
    <t>Sconi South-Kokomo</t>
  </si>
  <si>
    <t>Sconi North-Minnimoolka</t>
  </si>
  <si>
    <t>Sconi South-Lucknow</t>
  </si>
  <si>
    <t>Munglinup-Boanaernup (Young River)</t>
  </si>
  <si>
    <t>Coglia-Mineral Patch Hill</t>
  </si>
  <si>
    <t>Julia (Goblin / Leprechaun)</t>
  </si>
  <si>
    <t>Quicksilver</t>
  </si>
  <si>
    <t>Lawlers</t>
  </si>
  <si>
    <t>Marshall Pool</t>
  </si>
  <si>
    <t>Camelback Bore East</t>
  </si>
  <si>
    <t>Black Hills-North Monger</t>
  </si>
  <si>
    <t>KNP West-Goongarrie: Goongarrie Hill</t>
  </si>
  <si>
    <t>KNP West-Siberia: Siberia South</t>
  </si>
  <si>
    <t>KNP West-Siberia: Siberia North</t>
  </si>
  <si>
    <t>KNP West-Siberia: Black Range</t>
  </si>
  <si>
    <t>KNP West-Goongarrie: Ghost Rocks</t>
  </si>
  <si>
    <t>Honeymoon Well Group (laterite)</t>
  </si>
  <si>
    <t>Nico Young-Ardnaree</t>
  </si>
  <si>
    <t>Nico Young-Thuddungra</t>
  </si>
  <si>
    <t>KNP Yerilla: Jump-Up Dam</t>
  </si>
  <si>
    <t>KNP Yerilla: Boyce Creek</t>
  </si>
  <si>
    <t>KNP Yerilla: Aubils</t>
  </si>
  <si>
    <t>Wilconi (Wiluna)</t>
  </si>
  <si>
    <t>Nyngan-West Lynn</t>
  </si>
  <si>
    <t>Nyngan-Summervale</t>
  </si>
  <si>
    <t>Waite Kauri North / Extended</t>
  </si>
  <si>
    <t>Riverina-Martins</t>
  </si>
  <si>
    <t>Waite Kauri-Eagle Eye</t>
  </si>
  <si>
    <t>Lady Byron</t>
  </si>
  <si>
    <t>Collerina-Homeville</t>
  </si>
  <si>
    <t>Jimberlana-Bronzite Ridge</t>
  </si>
  <si>
    <t>Weld Range (Ni-Cr)</t>
  </si>
  <si>
    <t>Weld Range (laterite)</t>
  </si>
  <si>
    <t>Sconi South-Greenvale</t>
  </si>
  <si>
    <t>Venus</t>
  </si>
  <si>
    <t>Jericho</t>
  </si>
  <si>
    <t>Honeymoon Well Group (sulfide)</t>
  </si>
  <si>
    <t>Thunderbox-Waterloo / Amorac</t>
  </si>
  <si>
    <t>Kambalda-Blair</t>
  </si>
  <si>
    <t>Cosmos Group</t>
  </si>
  <si>
    <t>Mount Goode</t>
  </si>
  <si>
    <t>Kambalda-Beta Hunt Group</t>
  </si>
  <si>
    <t>Kambalda-Independence Group</t>
  </si>
  <si>
    <t>Windarra Group</t>
  </si>
  <si>
    <t>Radio Hill</t>
  </si>
  <si>
    <t>Lake Johnston-Maggie Hays</t>
  </si>
  <si>
    <t>New Morning-Daybreak</t>
  </si>
  <si>
    <t>Nepean</t>
  </si>
  <si>
    <t>Cosmic Boy-Seagull</t>
  </si>
  <si>
    <t>Wildara-The Horn</t>
  </si>
  <si>
    <t>Scotia Group</t>
  </si>
  <si>
    <t>Saints</t>
  </si>
  <si>
    <t>Munda</t>
  </si>
  <si>
    <t>Miriam</t>
  </si>
  <si>
    <t>Snake Hill-Cullens</t>
  </si>
  <si>
    <t>Kambalda-Spargoville</t>
  </si>
  <si>
    <t>Mount Jewell-GSP</t>
  </si>
  <si>
    <t>Fisher East</t>
  </si>
  <si>
    <t>Collurabbie-Olympia</t>
  </si>
  <si>
    <t>Kambalda-Mount Edwards/Armstrong Group</t>
  </si>
  <si>
    <t>Ruth Well</t>
  </si>
  <si>
    <t>Duketon-Rosie</t>
  </si>
  <si>
    <t>Duketon-C2</t>
  </si>
  <si>
    <t>Kambalda-Foster/Jan/Fisher</t>
  </si>
  <si>
    <t>Goodyear</t>
  </si>
  <si>
    <t>Mount Day-Cat Camp</t>
  </si>
  <si>
    <t>Sinclair</t>
  </si>
  <si>
    <t>Wildcatters</t>
  </si>
  <si>
    <t>Carr Boyd</t>
  </si>
  <si>
    <t>Melba Flats (North Cuni-Genets)</t>
  </si>
  <si>
    <t>Weld Range (PGEs)-Parks Reef (Central-Western)</t>
  </si>
  <si>
    <t>Pardoo-Highway</t>
  </si>
  <si>
    <t>Panton</t>
  </si>
  <si>
    <t>Munni Munni</t>
  </si>
  <si>
    <t>Byro East</t>
  </si>
  <si>
    <t>Gabanintha (Ni-Co-Cu zone only)</t>
  </si>
  <si>
    <t>Mount Sholl</t>
  </si>
  <si>
    <t>Cookes Creek-Anomaly Hill</t>
  </si>
  <si>
    <t>Keller Creek-Eskimo Knoll</t>
  </si>
  <si>
    <t>Corkwood</t>
  </si>
  <si>
    <t>Trough Well</t>
  </si>
  <si>
    <t>Mount Thirsty-Mission Sill</t>
  </si>
  <si>
    <t>Silver Knight</t>
  </si>
  <si>
    <t>Brown's-Brown's East</t>
  </si>
  <si>
    <t>Area 55</t>
  </si>
  <si>
    <t>West Musgrave-Nebo</t>
  </si>
  <si>
    <t>West Musgrave-Babel</t>
  </si>
  <si>
    <t>Prospect D-Barrow Creek</t>
  </si>
  <si>
    <t>Mt Keith Tailings</t>
  </si>
  <si>
    <t>Kambalda Tailings</t>
  </si>
  <si>
    <t>Leinster Tailings</t>
  </si>
  <si>
    <t>Mulga Rock East (base metals)</t>
  </si>
  <si>
    <t>Tati-Selkirk</t>
  </si>
  <si>
    <t>Dikoloti</t>
  </si>
  <si>
    <t>Tati-Phoenix</t>
  </si>
  <si>
    <t>Phikwe</t>
  </si>
  <si>
    <t>SE Extension</t>
  </si>
  <si>
    <t>Selebi</t>
  </si>
  <si>
    <t>Selebi Central</t>
  </si>
  <si>
    <t>Selebi North</t>
  </si>
  <si>
    <t>Jaguar-Onca Rosa</t>
  </si>
  <si>
    <t>Ipanema</t>
  </si>
  <si>
    <t>Piauí (São João do Piauí)</t>
  </si>
  <si>
    <t>Morro de Engenho</t>
  </si>
  <si>
    <t>Santa Fé-Iporá</t>
  </si>
  <si>
    <t>Jacupiranga</t>
  </si>
  <si>
    <t>Araguaia North / South</t>
  </si>
  <si>
    <t>Serra do Tapa</t>
  </si>
  <si>
    <t>Morro de Niquel</t>
  </si>
  <si>
    <t>Água Branca</t>
  </si>
  <si>
    <t>Diorama</t>
  </si>
  <si>
    <t>Tira Pressa</t>
  </si>
  <si>
    <t>Montes Claros</t>
  </si>
  <si>
    <t>Morro Sem Bone-Morro do Leme</t>
  </si>
  <si>
    <t>Vermelho</t>
  </si>
  <si>
    <t>Jacaré</t>
  </si>
  <si>
    <t>Serra do Quatipuru</t>
  </si>
  <si>
    <t>Santa Rita</t>
  </si>
  <si>
    <t>Caboclo dos Mangueiros</t>
  </si>
  <si>
    <t>Americano do Brasil</t>
  </si>
  <si>
    <t>Pedra Branca (PGEs)</t>
  </si>
  <si>
    <t>Limoeiro</t>
  </si>
  <si>
    <t>Burundi</t>
  </si>
  <si>
    <t>Nyabikere</t>
  </si>
  <si>
    <t>Waga</t>
  </si>
  <si>
    <t>Musongati</t>
  </si>
  <si>
    <t>Decar-Baptiste</t>
  </si>
  <si>
    <t>Old Nick</t>
  </si>
  <si>
    <t>Buckton-Buckton South</t>
  </si>
  <si>
    <t>Roughrider East/West</t>
  </si>
  <si>
    <t>Waterbury Lake</t>
  </si>
  <si>
    <t>Turnagain</t>
  </si>
  <si>
    <t>Alexo-Kelex</t>
  </si>
  <si>
    <t>Crawford</t>
  </si>
  <si>
    <t>Dundonald</t>
  </si>
  <si>
    <t>Grasset</t>
  </si>
  <si>
    <t>Junior Lake-B4-7 / Alpha</t>
  </si>
  <si>
    <t>Junior Lake-VW</t>
  </si>
  <si>
    <t>Marbridge-Cubric</t>
  </si>
  <si>
    <t>Shaw Dome-Hart</t>
  </si>
  <si>
    <t>Texmont</t>
  </si>
  <si>
    <t>Denison</t>
  </si>
  <si>
    <t>Nickel King (Thye Lake)</t>
  </si>
  <si>
    <t>Owen</t>
  </si>
  <si>
    <t>Sudbury-Aer-Kidd</t>
  </si>
  <si>
    <t>Sudbury-Parkin Offset</t>
  </si>
  <si>
    <t>Sudbury-Podolsky (KGHM)</t>
  </si>
  <si>
    <t>Sudbury-Lockerby East</t>
  </si>
  <si>
    <t>Sudbury-Nickel Lake / Foy Offset</t>
  </si>
  <si>
    <t>Sudbury-Victoria (KGHM)</t>
  </si>
  <si>
    <t>Sudbury-Kirkwood (KGHM)</t>
  </si>
  <si>
    <t>Sudbury-West Graham</t>
  </si>
  <si>
    <t>Cat Lake-New Manitoba</t>
  </si>
  <si>
    <t>Kenbridge</t>
  </si>
  <si>
    <t>Werner Lake-Norpax</t>
  </si>
  <si>
    <t>Werner Lake-Big Zone</t>
  </si>
  <si>
    <t>Mel</t>
  </si>
  <si>
    <t>Minago</t>
  </si>
  <si>
    <t>Raglan-Nunavik Group #1</t>
  </si>
  <si>
    <t>Raglan-Nunavik Group #2</t>
  </si>
  <si>
    <t>Blue Lake</t>
  </si>
  <si>
    <t>Canalask-Onion</t>
  </si>
  <si>
    <t>Ferguson Lake</t>
  </si>
  <si>
    <t>Geordie Lake</t>
  </si>
  <si>
    <t>Lac Kelly (Quebec)</t>
  </si>
  <si>
    <t>Lac Levac-Nisk 1</t>
  </si>
  <si>
    <t>Lynn Lake</t>
  </si>
  <si>
    <t>Makwa (Maskwa)</t>
  </si>
  <si>
    <t>Mayville</t>
  </si>
  <si>
    <t>Nicobi</t>
  </si>
  <si>
    <t>Norton Lake</t>
  </si>
  <si>
    <t>River Valley</t>
  </si>
  <si>
    <t>Shebandowan West</t>
  </si>
  <si>
    <t>Shining Tree</t>
  </si>
  <si>
    <t>Thunder Bay North-Current Lake</t>
  </si>
  <si>
    <t>Wellgreen</t>
  </si>
  <si>
    <t>Zulapa (Ni-Cu)</t>
  </si>
  <si>
    <t>Terra (Silver Bear) Tailings</t>
  </si>
  <si>
    <t>Eldorado-Port Radium Tailings</t>
  </si>
  <si>
    <t>Jinchuan</t>
  </si>
  <si>
    <t>Xiarihamu</t>
  </si>
  <si>
    <t>Baimazhai</t>
  </si>
  <si>
    <t>Zhouan</t>
  </si>
  <si>
    <t>Heishan</t>
  </si>
  <si>
    <t>Tianyu</t>
  </si>
  <si>
    <t>Yangliuping</t>
  </si>
  <si>
    <t>Zhubu</t>
  </si>
  <si>
    <t>Jinbaoshan</t>
  </si>
  <si>
    <t>Hongqiling</t>
  </si>
  <si>
    <t>Piaohechuan</t>
  </si>
  <si>
    <t>Huanshanxi</t>
  </si>
  <si>
    <t>Limahe</t>
  </si>
  <si>
    <t>Côte d'Ivoire</t>
  </si>
  <si>
    <t>Tiuba-Biankouma</t>
  </si>
  <si>
    <t>Samapleu</t>
  </si>
  <si>
    <t>Pinares de Mayari-Nicaro</t>
  </si>
  <si>
    <t>San Felipe</t>
  </si>
  <si>
    <t>Taco Bay</t>
  </si>
  <si>
    <t>Nicaro</t>
  </si>
  <si>
    <t>Punta Gorda</t>
  </si>
  <si>
    <t>Cajálbana</t>
  </si>
  <si>
    <t>Cumpié Hill-Cerro de Maimon</t>
  </si>
  <si>
    <t>Ethiopia</t>
  </si>
  <si>
    <t>Sidamo</t>
  </si>
  <si>
    <t>Jauratsi</t>
  </si>
  <si>
    <t>Kuhmo-Arola</t>
  </si>
  <si>
    <t>Kuhmo-Hietaharju</t>
  </si>
  <si>
    <t>Kuhmo-Kauniinlampi</t>
  </si>
  <si>
    <t>Kuhmo-Peura-Aho</t>
  </si>
  <si>
    <t>Kuhmo-Sika-Aho</t>
  </si>
  <si>
    <t>Kuhmo-Vaara</t>
  </si>
  <si>
    <t>Rautavaara R1</t>
  </si>
  <si>
    <t>Loukinen</t>
  </si>
  <si>
    <t>Talvivaara (Kolmisoppi-Kuusilampi)</t>
  </si>
  <si>
    <t>Luikonlahti-Hoikka</t>
  </si>
  <si>
    <t>Outokumpu-Hautalampi (Keretti)</t>
  </si>
  <si>
    <t>Outokumpu-Riihilahti</t>
  </si>
  <si>
    <t>Outokumpu-Saramäki</t>
  </si>
  <si>
    <t>Outokumpu-Sarkalahti</t>
  </si>
  <si>
    <t>Outokumpu-Särkiniemi</t>
  </si>
  <si>
    <t>Outokumpu-Valkeisenranta (Rytky)</t>
  </si>
  <si>
    <t>Outokumpu-Vuonos</t>
  </si>
  <si>
    <t>Perttilahti</t>
  </si>
  <si>
    <t>Riihilathi</t>
  </si>
  <si>
    <t>Vesilaskujänkä</t>
  </si>
  <si>
    <t>Hotinvaara</t>
  </si>
  <si>
    <t>Iso-Siettelöjoki</t>
  </si>
  <si>
    <t>Arctic-Suhanko</t>
  </si>
  <si>
    <t>Kaukua</t>
  </si>
  <si>
    <t>Ahokkala</t>
  </si>
  <si>
    <t>Haukiaho</t>
  </si>
  <si>
    <t>Ilmolahti-Ilmolahti</t>
  </si>
  <si>
    <t>Ilmolahti-Mäkisalo</t>
  </si>
  <si>
    <t>Ilmolahti-Ohensalo</t>
  </si>
  <si>
    <t>Ilmolahti-Törmälä</t>
  </si>
  <si>
    <t>Koivujoki</t>
  </si>
  <si>
    <t>Liuksiala</t>
  </si>
  <si>
    <t>Oravainen</t>
  </si>
  <si>
    <t>Puumala-Rantala</t>
  </si>
  <si>
    <t>Ruimu</t>
  </si>
  <si>
    <t>Sampolanmäki</t>
  </si>
  <si>
    <t>Tallas-Tuliniemi</t>
  </si>
  <si>
    <t>Vammala-Ekojoki</t>
  </si>
  <si>
    <t>Vammala-Sahakoski</t>
  </si>
  <si>
    <t>Vammala-Soukko</t>
  </si>
  <si>
    <t>Vammala-Stormi</t>
  </si>
  <si>
    <t>Vehmasjoki</t>
  </si>
  <si>
    <t>Kuusijärvi</t>
  </si>
  <si>
    <t>Agios Ioannis</t>
  </si>
  <si>
    <t>Evvoia</t>
  </si>
  <si>
    <t>Kastoria</t>
  </si>
  <si>
    <t>Guatemala</t>
  </si>
  <si>
    <t>Baja Verapaz</t>
  </si>
  <si>
    <t>Fenix-Exmibal (Saprolite+Limonite)</t>
  </si>
  <si>
    <t>Mayaniquel-Sechol Group</t>
  </si>
  <si>
    <t>Gogota</t>
  </si>
  <si>
    <t>Kansa</t>
  </si>
  <si>
    <t xml:space="preserve">Simlipal </t>
  </si>
  <si>
    <t>Bhimatangar</t>
  </si>
  <si>
    <t>Kaliapani</t>
  </si>
  <si>
    <t>Saruabil</t>
  </si>
  <si>
    <t>South-east Kalimantan</t>
  </si>
  <si>
    <t>Bahodopi</t>
  </si>
  <si>
    <t>Buli</t>
  </si>
  <si>
    <t>Cycloops (Cyclops)</t>
  </si>
  <si>
    <t>Gebe Island</t>
  </si>
  <si>
    <t>North Konawe Group (Hanking)</t>
  </si>
  <si>
    <t>Obi Island</t>
  </si>
  <si>
    <t>South-east Sulawesi Coastal</t>
  </si>
  <si>
    <t>Sulawesi JV</t>
  </si>
  <si>
    <t>Weda Bay</t>
  </si>
  <si>
    <t>Hengjaya Mineralindo (HM)</t>
  </si>
  <si>
    <t>Kempirsai (Kempirsay)</t>
  </si>
  <si>
    <t>Gornostai</t>
  </si>
  <si>
    <t>Shevchenko Group</t>
  </si>
  <si>
    <t>Kosovo</t>
  </si>
  <si>
    <t>Çikatovë (Čikatovo)</t>
  </si>
  <si>
    <t>Trstenik</t>
  </si>
  <si>
    <t>Valozoro</t>
  </si>
  <si>
    <t>Malawi</t>
  </si>
  <si>
    <t>Chimimbe Hill</t>
  </si>
  <si>
    <t>Myanmar</t>
  </si>
  <si>
    <t>Tagaung Taung</t>
  </si>
  <si>
    <t>Mwetaung</t>
  </si>
  <si>
    <t>Goro</t>
  </si>
  <si>
    <t>Prony</t>
  </si>
  <si>
    <t>Dalen (Espedalen)</t>
  </si>
  <si>
    <t>Ertelien (Ertelia)</t>
  </si>
  <si>
    <t>Stormyra</t>
  </si>
  <si>
    <t>Vakkerlien</t>
  </si>
  <si>
    <t>Flåt</t>
  </si>
  <si>
    <t>Bruvann (Råna)</t>
  </si>
  <si>
    <t>Oman</t>
  </si>
  <si>
    <t>Ibra Group</t>
  </si>
  <si>
    <t>Berong</t>
  </si>
  <si>
    <t>Moorsom</t>
  </si>
  <si>
    <t>Rapid City II-Dinagat Island</t>
  </si>
  <si>
    <t>Agata Group</t>
  </si>
  <si>
    <t>Alpha</t>
  </si>
  <si>
    <t>Botolan</t>
  </si>
  <si>
    <t>Manticao</t>
  </si>
  <si>
    <t>Toronto</t>
  </si>
  <si>
    <t>Pulot</t>
  </si>
  <si>
    <t>Zambales-Global</t>
  </si>
  <si>
    <t>Manicani</t>
  </si>
  <si>
    <t>Zambales Chromite</t>
  </si>
  <si>
    <t>Infanta</t>
  </si>
  <si>
    <t>Nonoc</t>
  </si>
  <si>
    <t>Santa Cruz</t>
  </si>
  <si>
    <t>Acoje</t>
  </si>
  <si>
    <t>Casiguran</t>
  </si>
  <si>
    <t>Long Point</t>
  </si>
  <si>
    <t>Pujada</t>
  </si>
  <si>
    <t>Ipilan-Celestial</t>
  </si>
  <si>
    <t>Masinloc</t>
  </si>
  <si>
    <t>Lagonoy</t>
  </si>
  <si>
    <t>Isabela-New Frontier</t>
  </si>
  <si>
    <t>Romblon</t>
  </si>
  <si>
    <t>Carrascal</t>
  </si>
  <si>
    <t>MMDC (Cabangahan-Sipangpang-Pili)</t>
  </si>
  <si>
    <t>Marcventures-BRC</t>
  </si>
  <si>
    <t>Mambare</t>
  </si>
  <si>
    <t>Wowo Gap</t>
  </si>
  <si>
    <t>Lake Trist</t>
  </si>
  <si>
    <t>Frieda River</t>
  </si>
  <si>
    <t>Koreppa (Waria Valley-Bovio Hill)</t>
  </si>
  <si>
    <t>Szklary</t>
  </si>
  <si>
    <t>Puerto Rico</t>
  </si>
  <si>
    <t>Guanajibo-Punta Guanajibo</t>
  </si>
  <si>
    <t>Las Mesas</t>
  </si>
  <si>
    <t>Rosario</t>
  </si>
  <si>
    <t>Maricao</t>
  </si>
  <si>
    <t>Ishkinino (Russia)</t>
  </si>
  <si>
    <t>Serovskoe (Serov)</t>
  </si>
  <si>
    <t>Buruktal</t>
  </si>
  <si>
    <t xml:space="preserve">Cheremshanskoe </t>
  </si>
  <si>
    <t>Rogozhinskoe (Rogozha)</t>
  </si>
  <si>
    <t>Sinarskoe</t>
  </si>
  <si>
    <t>Aganozero-Ni-bearing serpentinite</t>
  </si>
  <si>
    <t>Hautavaara</t>
  </si>
  <si>
    <t>Hursulskoe</t>
  </si>
  <si>
    <t>Juzhno-Konzhozero</t>
  </si>
  <si>
    <t>Lebjazhinskoe</t>
  </si>
  <si>
    <t>Leschevskoe</t>
  </si>
  <si>
    <t>Rybozerskoe</t>
  </si>
  <si>
    <t>Severo-Konzhozerskoe</t>
  </si>
  <si>
    <t>Zapadno-Rybozero</t>
  </si>
  <si>
    <t>Zolotoprozhskoe</t>
  </si>
  <si>
    <t>Souker</t>
  </si>
  <si>
    <t>Chernogorskoye</t>
  </si>
  <si>
    <t>Fedorova Tundra</t>
  </si>
  <si>
    <t>Lambozero-1</t>
  </si>
  <si>
    <t>Malaya Pana-North Reef (Kiyevay)</t>
  </si>
  <si>
    <t>Monchegorsk-Njudaivench</t>
  </si>
  <si>
    <t>Monchegorsk-NKT</t>
  </si>
  <si>
    <t>Monchegorsk-Sopcha (Lodes)</t>
  </si>
  <si>
    <t>Monchegorsk-Sophuaivench</t>
  </si>
  <si>
    <t>Mountain General'skaya</t>
  </si>
  <si>
    <t>Svetloozerskoe</t>
  </si>
  <si>
    <t>Khikhnajarvi</t>
  </si>
  <si>
    <t>Nord Kamennik</t>
  </si>
  <si>
    <t>Akkim</t>
  </si>
  <si>
    <t>Kingash-Kingashsky</t>
  </si>
  <si>
    <t>Kingash-Kuyovsky</t>
  </si>
  <si>
    <t>Kingash-Verkhnekingashsky</t>
  </si>
  <si>
    <t>Kumbuksinskoe</t>
  </si>
  <si>
    <t>Laukku</t>
  </si>
  <si>
    <t>Lovnozerskoe</t>
  </si>
  <si>
    <t>Maslovskoye</t>
  </si>
  <si>
    <t>Runnijoki</t>
  </si>
  <si>
    <t>Sueinlagash</t>
  </si>
  <si>
    <t>Vozhma Massif Orebody No. 4</t>
  </si>
  <si>
    <t>Yunges</t>
  </si>
  <si>
    <t>Lunges</t>
  </si>
  <si>
    <t>Serbia</t>
  </si>
  <si>
    <t>Rudjinci</t>
  </si>
  <si>
    <t>Veluce (Veluca)</t>
  </si>
  <si>
    <t>Mokra Gora</t>
  </si>
  <si>
    <t>Ba</t>
  </si>
  <si>
    <t>Solomon Islands</t>
  </si>
  <si>
    <t>Isabela Island (San Jorge-Kolosori)</t>
  </si>
  <si>
    <t>Ngella-Floridas Islands</t>
  </si>
  <si>
    <t>Bon Accord-Segalla</t>
  </si>
  <si>
    <t>Afplats-Imbasa / Imkosi</t>
  </si>
  <si>
    <t>Afplats-Leeuwkop</t>
  </si>
  <si>
    <t>Berg</t>
  </si>
  <si>
    <t>Blue Ridge</t>
  </si>
  <si>
    <t>Chieftains Plain-Walhalla</t>
  </si>
  <si>
    <t>Der Brochen</t>
  </si>
  <si>
    <t>Everest North-Vygenhoek</t>
  </si>
  <si>
    <t>Everest South-Hoogland</t>
  </si>
  <si>
    <t>Garatau (Garatouw/Hoepakrantz/De Kom)</t>
  </si>
  <si>
    <t>Grootboom</t>
  </si>
  <si>
    <t>Hoedspruit</t>
  </si>
  <si>
    <t>Impala-RBR JV</t>
  </si>
  <si>
    <t>Kliprivier</t>
  </si>
  <si>
    <t>Kruidfontein</t>
  </si>
  <si>
    <t>Liger (Leeuwkop-Tigerpoort)</t>
  </si>
  <si>
    <t>Limpopo-Baobab/Doornvlei/Dwaalkop/Zebedelia</t>
  </si>
  <si>
    <t>Maseve-1 / 3</t>
  </si>
  <si>
    <t>Millenium</t>
  </si>
  <si>
    <t>Rooderand (Platinum Australia)</t>
  </si>
  <si>
    <t>Rooderand (Sedibelo)</t>
  </si>
  <si>
    <t>Spitzkop-Kennedy's Vale</t>
  </si>
  <si>
    <t>Tjate</t>
  </si>
  <si>
    <t>Tubatse (Eerste Geluk-Nooitverwacht)</t>
  </si>
  <si>
    <t>Witkleifontein</t>
  </si>
  <si>
    <t>Zondernaam</t>
  </si>
  <si>
    <t>Akanani</t>
  </si>
  <si>
    <t>Rooipoort</t>
  </si>
  <si>
    <t>Volspruit</t>
  </si>
  <si>
    <t>War Springs (Oorlogsfontein)</t>
  </si>
  <si>
    <t>Waterberg</t>
  </si>
  <si>
    <t>Aurora</t>
  </si>
  <si>
    <t>Mokopane</t>
  </si>
  <si>
    <t>Loskop JV (Rietfontein/De Wagendrift)</t>
  </si>
  <si>
    <t>Sheba's Ridge</t>
  </si>
  <si>
    <t>Jacomyns Pan</t>
  </si>
  <si>
    <t>Häggån</t>
  </si>
  <si>
    <t>Viken (Myrviken)</t>
  </si>
  <si>
    <t>Ror</t>
  </si>
  <si>
    <t>Lainejaur (Lainijaur)</t>
  </si>
  <si>
    <t>Lappvattnet</t>
  </si>
  <si>
    <t>Mojo</t>
  </si>
  <si>
    <t>Backviken</t>
  </si>
  <si>
    <t>Rörmyrberget</t>
  </si>
  <si>
    <t>Mjövattnet</t>
  </si>
  <si>
    <t>Rönnbäcksnäset (Rönnbäcken)</t>
  </si>
  <si>
    <t>Sundsberget</t>
  </si>
  <si>
    <t>Vinberget</t>
  </si>
  <si>
    <t>Dutwa (Wamangola-Ngasamo)</t>
  </si>
  <si>
    <t>Kapalagulu (Mibango)</t>
  </si>
  <si>
    <t>Kabanga</t>
  </si>
  <si>
    <t>Nachingwea-Ntaka Hill</t>
  </si>
  <si>
    <t>Togo</t>
  </si>
  <si>
    <t>Mount Kpote</t>
  </si>
  <si>
    <t>Manisa-Turgutlu Çaldağ</t>
  </si>
  <si>
    <t>Manisa Gördes</t>
  </si>
  <si>
    <t>Mine LaMotte-Fredericktown</t>
  </si>
  <si>
    <t>Higdon</t>
  </si>
  <si>
    <t>Gasquet Mountain</t>
  </si>
  <si>
    <t>Red Flat Mountain</t>
  </si>
  <si>
    <t>Riddle (Nickel Mountain)</t>
  </si>
  <si>
    <t>Mouat</t>
  </si>
  <si>
    <t>Nye Basin</t>
  </si>
  <si>
    <t>Birch Lake</t>
  </si>
  <si>
    <t>Maturi (incl. Nokomis)</t>
  </si>
  <si>
    <t>Maturi Southwest</t>
  </si>
  <si>
    <t>Mesaba (Babbit)</t>
  </si>
  <si>
    <t>Tamarack North</t>
  </si>
  <si>
    <t>Dunka Pit</t>
  </si>
  <si>
    <t>Gap</t>
  </si>
  <si>
    <t>Spruce Road</t>
  </si>
  <si>
    <t>Wetlegs</t>
  </si>
  <si>
    <t>Snipe Bay</t>
  </si>
  <si>
    <t>Serpentine</t>
  </si>
  <si>
    <t>Babbit-Minnamax</t>
  </si>
  <si>
    <t>Mirror Harbor</t>
  </si>
  <si>
    <t>Funter Bay</t>
  </si>
  <si>
    <t>Bohemia Basin (Basin-Takanis-Flapjack)</t>
  </si>
  <si>
    <t>Crescent Creek</t>
  </si>
  <si>
    <t>Benbow</t>
  </si>
  <si>
    <t>Local Boy</t>
  </si>
  <si>
    <t>Venezuela</t>
  </si>
  <si>
    <t>Loma de Niquel (Loma de Hierro)</t>
  </si>
  <si>
    <t>Nama (A-C-D)</t>
  </si>
  <si>
    <t>Munali</t>
  </si>
  <si>
    <t>Bokai North/South (Todal)</t>
  </si>
  <si>
    <t>Chironde</t>
  </si>
  <si>
    <t>Armenia</t>
  </si>
  <si>
    <t>Cyprus</t>
  </si>
  <si>
    <t>Iran</t>
  </si>
  <si>
    <t>Pakistan</t>
  </si>
  <si>
    <t>Uzbekistan</t>
  </si>
  <si>
    <t>Aynak</t>
  </si>
  <si>
    <t>Afghanistan</t>
  </si>
  <si>
    <t>Darband</t>
  </si>
  <si>
    <t>Ikar</t>
  </si>
  <si>
    <t>Kundalyan</t>
  </si>
  <si>
    <t>Shaida</t>
  </si>
  <si>
    <t>Derven</t>
  </si>
  <si>
    <t>Golajt</t>
  </si>
  <si>
    <t>Gurth</t>
  </si>
  <si>
    <t>Karma</t>
  </si>
  <si>
    <t>Lak Roshi</t>
  </si>
  <si>
    <t>Munella (Munelle)</t>
  </si>
  <si>
    <t>Nikoliq</t>
  </si>
  <si>
    <t>Perlat</t>
  </si>
  <si>
    <t>Qaf Bari</t>
  </si>
  <si>
    <t>Rehove</t>
  </si>
  <si>
    <t>Rubik</t>
  </si>
  <si>
    <t>Spaç</t>
  </si>
  <si>
    <t>Tuç</t>
  </si>
  <si>
    <t>Oued El Kebir</t>
  </si>
  <si>
    <t>Algeria</t>
  </si>
  <si>
    <t>Tan Chaffao East</t>
  </si>
  <si>
    <t>Cachoeiras de Binga</t>
  </si>
  <si>
    <t>Angola</t>
  </si>
  <si>
    <t>Arizaro</t>
  </si>
  <si>
    <t>Barda Gonzales</t>
  </si>
  <si>
    <t>Beatriz</t>
  </si>
  <si>
    <t>Caicayén</t>
  </si>
  <si>
    <t>Campana Mahuida</t>
  </si>
  <si>
    <t>Cerro Amarillo</t>
  </si>
  <si>
    <t>Cerro Granito</t>
  </si>
  <si>
    <t>Cerro Samenta</t>
  </si>
  <si>
    <t>El Altar</t>
  </si>
  <si>
    <t>El Pachon</t>
  </si>
  <si>
    <t>Eureka</t>
  </si>
  <si>
    <t>Filo Colorado</t>
  </si>
  <si>
    <t>Inca Viejo</t>
  </si>
  <si>
    <t>Josemaría</t>
  </si>
  <si>
    <t>Juramento (Juaramento)</t>
  </si>
  <si>
    <t>La Mejicana</t>
  </si>
  <si>
    <t>La Providencia</t>
  </si>
  <si>
    <t>La Voluntad</t>
  </si>
  <si>
    <t>Lindero</t>
  </si>
  <si>
    <t>Los Azules</t>
  </si>
  <si>
    <t>Martan Bronce</t>
  </si>
  <si>
    <t>Navidad</t>
  </si>
  <si>
    <t>Nevados de Famatina</t>
  </si>
  <si>
    <t>Papagayos</t>
  </si>
  <si>
    <t>Paramillos Norte / Sur</t>
  </si>
  <si>
    <t>Rincones de Araya</t>
  </si>
  <si>
    <t>Rio Grande</t>
  </si>
  <si>
    <t>Salto Albi-Tendal</t>
  </si>
  <si>
    <t>San Jorge</t>
  </si>
  <si>
    <t>San Romeleo</t>
  </si>
  <si>
    <t>Taca Taca</t>
  </si>
  <si>
    <t>Tango</t>
  </si>
  <si>
    <t>Agarak</t>
  </si>
  <si>
    <t>Akhtala (Alaverdi)</t>
  </si>
  <si>
    <t>Alaverdi (Alaverdi)</t>
  </si>
  <si>
    <t>Ankavan</t>
  </si>
  <si>
    <t>Armanis-Sagamar</t>
  </si>
  <si>
    <t>Drmbon (Mehmana)</t>
  </si>
  <si>
    <t>Kajaran (Kadjaran)</t>
  </si>
  <si>
    <t>Madneuli (Armenia)</t>
  </si>
  <si>
    <t>Marjan</t>
  </si>
  <si>
    <t>Kapan (Shahumyan)</t>
  </si>
  <si>
    <t>Kavarta</t>
  </si>
  <si>
    <t>Teghout</t>
  </si>
  <si>
    <t>Shamlugh</t>
  </si>
  <si>
    <t>Anaconda</t>
  </si>
  <si>
    <t>Angas</t>
  </si>
  <si>
    <t>Baal Gammon</t>
  </si>
  <si>
    <t>Balcooma-Surveyor-Dry River South</t>
  </si>
  <si>
    <t>Bali Lo (Bali Hi)</t>
  </si>
  <si>
    <t>Bamboo Creek-Breens</t>
  </si>
  <si>
    <t>Ban Ban</t>
  </si>
  <si>
    <t>Barbara-Lillymay</t>
  </si>
  <si>
    <t>Barbara North</t>
  </si>
  <si>
    <t>Barrow Creek-Home of Bullion</t>
  </si>
  <si>
    <t>Belara</t>
  </si>
  <si>
    <t>Ben Hur-John Hill</t>
  </si>
  <si>
    <t>Ben Mohr</t>
  </si>
  <si>
    <t>Big Stubby</t>
  </si>
  <si>
    <t>Brown's / Brown's East</t>
  </si>
  <si>
    <t>Browns Reef</t>
  </si>
  <si>
    <t>Burns Peak</t>
  </si>
  <si>
    <t>Bushranger</t>
  </si>
  <si>
    <t>Camp Dome (17 Mile Hill)</t>
  </si>
  <si>
    <t>Canbelego</t>
  </si>
  <si>
    <t>Carlow Castle-Carlow Castle South</t>
  </si>
  <si>
    <t>Carr Boyd Rocks</t>
  </si>
  <si>
    <t>Carson No. 9</t>
  </si>
  <si>
    <t>Chakola-Harnett Central</t>
  </si>
  <si>
    <t>Chillagoe-Griffiths Hill</t>
  </si>
  <si>
    <t>Chillagoe-King Vol</t>
  </si>
  <si>
    <t>Chillagoe-Red Dome</t>
  </si>
  <si>
    <t>Chillagoe-Orient</t>
  </si>
  <si>
    <t>Chillagoe-Red Cap (Penzance-Queenslader-Morrisons)</t>
  </si>
  <si>
    <t>Chillagoe-Victoria Main/South</t>
  </si>
  <si>
    <t>Chinaman's Creek</t>
  </si>
  <si>
    <t>Chunderloo North</t>
  </si>
  <si>
    <t>Citadel</t>
  </si>
  <si>
    <t>Cleveland-Luina</t>
  </si>
  <si>
    <t>Coalstoun Lakes</t>
  </si>
  <si>
    <t>Conrad-Kind Conrad-Greisen</t>
  </si>
  <si>
    <t>Copper Hill</t>
  </si>
  <si>
    <t>Cowley Hills</t>
  </si>
  <si>
    <t>Daly River Anomaly A</t>
  </si>
  <si>
    <t>Develin Creek-Rookwood/Foresthome</t>
  </si>
  <si>
    <t>Dimbulah</t>
  </si>
  <si>
    <t>Dugald River (Cu only)</t>
  </si>
  <si>
    <t>Duketon-South Boulder (Rosie)</t>
  </si>
  <si>
    <t>E1 Camp</t>
  </si>
  <si>
    <t>Eastman</t>
  </si>
  <si>
    <t>Einasleigh Group (Cu, PbZnCu)</t>
  </si>
  <si>
    <t>Elaine</t>
  </si>
  <si>
    <t>Eloise</t>
  </si>
  <si>
    <t>Emull-Lamboo</t>
  </si>
  <si>
    <t>Explorer 108</t>
  </si>
  <si>
    <t>Explorer 142</t>
  </si>
  <si>
    <t>Flamingo Group</t>
  </si>
  <si>
    <t>Florence Bore North / South</t>
  </si>
  <si>
    <t>Gabanintha (CuAu)</t>
  </si>
  <si>
    <t>Gem</t>
  </si>
  <si>
    <t>Great Australia</t>
  </si>
  <si>
    <t>Greater Whitewash</t>
  </si>
  <si>
    <t>Hellyer Tailings</t>
  </si>
  <si>
    <t>Home of Bullion</t>
  </si>
  <si>
    <t>Horseshoe (QLD)</t>
  </si>
  <si>
    <t>Horseshoe Lights (incl. Stockpiles)</t>
  </si>
  <si>
    <t>Horseshoe Lights Tailings</t>
  </si>
  <si>
    <t>Ilgarari</t>
  </si>
  <si>
    <t>Iron Blow-Burnside</t>
  </si>
  <si>
    <t>Jervois (all)</t>
  </si>
  <si>
    <t>John Fardy-Peelwood North/South</t>
  </si>
  <si>
    <t>Julivon Creek</t>
  </si>
  <si>
    <t>Juno (Tennant Creek)</t>
  </si>
  <si>
    <t>Just Desserts (Yuinmery)</t>
  </si>
  <si>
    <t>Kalkaroo</t>
  </si>
  <si>
    <t>Kalman</t>
  </si>
  <si>
    <t>Kangaroo Rat</t>
  </si>
  <si>
    <t>Kangiara</t>
  </si>
  <si>
    <t>Khamsin</t>
  </si>
  <si>
    <t>Khans Creek</t>
  </si>
  <si>
    <t>Kiwi Carpet</t>
  </si>
  <si>
    <t>Koonenberry-Grasmere</t>
  </si>
  <si>
    <t>Koongie Park (Sandiego-Onedin)</t>
  </si>
  <si>
    <t>Kroombit (Zn/Cu)</t>
  </si>
  <si>
    <t>Kumarina-Rinaldi</t>
  </si>
  <si>
    <t>Leadville (Mount Stewart)</t>
  </si>
  <si>
    <t>Lennons Find</t>
  </si>
  <si>
    <t>Lewis Ponds</t>
  </si>
  <si>
    <t>Liberty-Indee (Evelyn)</t>
  </si>
  <si>
    <t>Limonite Hill</t>
  </si>
  <si>
    <t>Lorna Doone-Lynda</t>
  </si>
  <si>
    <t>Magnum</t>
  </si>
  <si>
    <t>Magpie</t>
  </si>
  <si>
    <t>Maitland</t>
  </si>
  <si>
    <t>Manindi (Freddie Wells)</t>
  </si>
  <si>
    <t>Maroochydore-Broadhurst</t>
  </si>
  <si>
    <t>Marsden</t>
  </si>
  <si>
    <t>Mayfield</t>
  </si>
  <si>
    <t>McPhillamys</t>
  </si>
  <si>
    <t>Merlin</t>
  </si>
  <si>
    <t>Mineral Hill Group</t>
  </si>
  <si>
    <t>Monakoff</t>
  </si>
  <si>
    <t>Mount Abbot</t>
  </si>
  <si>
    <t>Mount Angelo North</t>
  </si>
  <si>
    <t>Mount Angelo Porphyry</t>
  </si>
  <si>
    <t>Mount Ararat</t>
  </si>
  <si>
    <t>Mount Bonnie</t>
  </si>
  <si>
    <t>Mount Cannindah</t>
  </si>
  <si>
    <t>Mount Chalmers</t>
  </si>
  <si>
    <t>Mount Colin</t>
  </si>
  <si>
    <t>Mount Dore</t>
  </si>
  <si>
    <t>Mount Elliott-Swan</t>
  </si>
  <si>
    <t>Mount Fitch</t>
  </si>
  <si>
    <t>Mount Garnet</t>
  </si>
  <si>
    <t>Mount Gunson Group</t>
  </si>
  <si>
    <t>Mount Gunson Tailings</t>
  </si>
  <si>
    <t>Mount Isa (Cu) (Open Cut)</t>
  </si>
  <si>
    <t>Mount Leslie</t>
  </si>
  <si>
    <t>Mount Lyell</t>
  </si>
  <si>
    <t>Mount Mulcahy (South Limb)</t>
  </si>
  <si>
    <t>Mount Oxide</t>
  </si>
  <si>
    <t>Mount Pleasant</t>
  </si>
  <si>
    <t>Mount Unicorn</t>
  </si>
  <si>
    <t>Mountain of Light-Lyndhurst</t>
  </si>
  <si>
    <t>Mulga Rock East (Princess-Ambassador)</t>
  </si>
  <si>
    <t>Mulgul-Jillawarra (Abra)</t>
  </si>
  <si>
    <t>Murchison</t>
  </si>
  <si>
    <t>Muturoo</t>
  </si>
  <si>
    <t>Napier Range-Wagon Pass</t>
  </si>
  <si>
    <t>Nanadie Well</t>
  </si>
  <si>
    <t>Nightflower-Digger Lode</t>
  </si>
  <si>
    <t>North Portia</t>
  </si>
  <si>
    <t>Nymagee</t>
  </si>
  <si>
    <t>Osborne-Kulthor</t>
  </si>
  <si>
    <t>Overlander North/South</t>
  </si>
  <si>
    <t>Panorama-Kangaroo Caves</t>
  </si>
  <si>
    <t>Peak Hill (NSW)</t>
  </si>
  <si>
    <t>Princess Royal</t>
  </si>
  <si>
    <t>Prospect D</t>
  </si>
  <si>
    <t>Quartz Circle-Igloo</t>
  </si>
  <si>
    <t>Que River-Fossey-Hellyer</t>
  </si>
  <si>
    <t>Quinns-Austin</t>
  </si>
  <si>
    <t>Radio Hill-Sholl</t>
  </si>
  <si>
    <t>Range &amp; Turtle/Copper Ridge</t>
  </si>
  <si>
    <t>Red Bore</t>
  </si>
  <si>
    <t>Redbank</t>
  </si>
  <si>
    <t>Rocklands</t>
  </si>
  <si>
    <t>Rover 1</t>
  </si>
  <si>
    <t>Ruddygore</t>
  </si>
  <si>
    <t>Salt Creek</t>
  </si>
  <si>
    <t>Spinifex Ridge (Coppin Gap)</t>
  </si>
  <si>
    <t>Struck Oil</t>
  </si>
  <si>
    <t>Stuart</t>
  </si>
  <si>
    <t>Succoth</t>
  </si>
  <si>
    <t>Sunny Corner</t>
  </si>
  <si>
    <t>Taipan</t>
  </si>
  <si>
    <t>Tally Ho</t>
  </si>
  <si>
    <t>Temora (porphyry)</t>
  </si>
  <si>
    <t>Temora-Gidginbung</t>
  </si>
  <si>
    <t>Teutonic Bore</t>
  </si>
  <si>
    <t>Texas-Silver Spur</t>
  </si>
  <si>
    <t>Thaduna-Green Dragon (incl. Stockpiles)</t>
  </si>
  <si>
    <t>Thomson River (Walhalla)</t>
  </si>
  <si>
    <t>Thursdays Gossan</t>
  </si>
  <si>
    <t>Tottenham</t>
  </si>
  <si>
    <t>Turner River (Orchard Tank-Discovery)</t>
  </si>
  <si>
    <t>Turpentine (Hazel Creek)</t>
  </si>
  <si>
    <t>Victory-Flagship</t>
  </si>
  <si>
    <t>Walford Creek</t>
  </si>
  <si>
    <t>Webbs</t>
  </si>
  <si>
    <t>Wellington-Galwadgere</t>
  </si>
  <si>
    <t>West Musgrave (Nebo-Babel)</t>
  </si>
  <si>
    <t>White Range Group</t>
  </si>
  <si>
    <t>Whundo (Ayshia)</t>
  </si>
  <si>
    <t>Wildara-Horn</t>
  </si>
  <si>
    <t>Woodlawn</t>
  </si>
  <si>
    <t>Woodlawn Tailings</t>
  </si>
  <si>
    <t>Yeoval</t>
  </si>
  <si>
    <t>Yeppoon</t>
  </si>
  <si>
    <t>Filizchay (Filizchai)</t>
  </si>
  <si>
    <t>Herzogenhugel</t>
  </si>
  <si>
    <t>Belgium</t>
  </si>
  <si>
    <t>Avaroa</t>
  </si>
  <si>
    <t>Malku Khota</t>
  </si>
  <si>
    <t>Uyuni</t>
  </si>
  <si>
    <t>Turco</t>
  </si>
  <si>
    <t>Veovara</t>
  </si>
  <si>
    <t>Bosnia</t>
  </si>
  <si>
    <t>Bushman Group</t>
  </si>
  <si>
    <t>Corner K-Mahumo</t>
  </si>
  <si>
    <t>Ghanzi-Banana</t>
  </si>
  <si>
    <t>Nakalakwana Hill</t>
  </si>
  <si>
    <t>NE Mango 1-2 / Boseto</t>
  </si>
  <si>
    <t>Ngwako Pan</t>
  </si>
  <si>
    <t>Ophion</t>
  </si>
  <si>
    <t>Selene</t>
  </si>
  <si>
    <t>Target 3-T3</t>
  </si>
  <si>
    <t>Zone 5</t>
  </si>
  <si>
    <t>Alvo 118</t>
  </si>
  <si>
    <t>Aripuanã (Ambrex-Arex)</t>
  </si>
  <si>
    <t>Bico de Pedra</t>
  </si>
  <si>
    <t>Bom Jardim de Goiás</t>
  </si>
  <si>
    <t>Breves</t>
  </si>
  <si>
    <t>Caçapava do Sul (Cu only)</t>
  </si>
  <si>
    <t>Centro 118</t>
  </si>
  <si>
    <t>Cristalino</t>
  </si>
  <si>
    <t>Estrela</t>
  </si>
  <si>
    <t>Gamaleira</t>
  </si>
  <si>
    <t>Igarapé Bahia/Alemão</t>
  </si>
  <si>
    <t>Liberdade</t>
  </si>
  <si>
    <t>Ouro Paz-Pé Quente</t>
  </si>
  <si>
    <t>Palmeirópolis</t>
  </si>
  <si>
    <t>Pedra Branca (Cu)</t>
  </si>
  <si>
    <t>Pedra Verde</t>
  </si>
  <si>
    <t>Santa Maria</t>
  </si>
  <si>
    <t>Assarel</t>
  </si>
  <si>
    <t>Davidkovo</t>
  </si>
  <si>
    <t>Ellatsite (Ellatzite)</t>
  </si>
  <si>
    <t>Gorubso-Madan</t>
  </si>
  <si>
    <t>Karlievo</t>
  </si>
  <si>
    <t>Luki-Drujba</t>
  </si>
  <si>
    <t>Medet</t>
  </si>
  <si>
    <t>Orlovo Gnezdo</t>
  </si>
  <si>
    <t>Popovo Dere</t>
  </si>
  <si>
    <t>Prohorovo</t>
  </si>
  <si>
    <t>Tsar Assen</t>
  </si>
  <si>
    <t>Vlakov Vruh</t>
  </si>
  <si>
    <t>Vozdol</t>
  </si>
  <si>
    <t>Boulsa-Sartenga</t>
  </si>
  <si>
    <t>Burkina Faso</t>
  </si>
  <si>
    <t>Gaoua</t>
  </si>
  <si>
    <t>Wayin</t>
  </si>
  <si>
    <t>Kou Sa (Prospects 150-160)</t>
  </si>
  <si>
    <t>Cambodia</t>
  </si>
  <si>
    <t>Aer-Kidd</t>
  </si>
  <si>
    <t>Ajax-Rainbow</t>
  </si>
  <si>
    <t>Ajax-DM/Audra/Crescent</t>
  </si>
  <si>
    <t>Allard River</t>
  </si>
  <si>
    <t>Angilak-Lac Cinquante</t>
  </si>
  <si>
    <t>Axe</t>
  </si>
  <si>
    <t>B26 East Zone</t>
  </si>
  <si>
    <t>B4-7 (Junior Lake)</t>
  </si>
  <si>
    <t>Bateman Bay</t>
  </si>
  <si>
    <t>Bedford Hill</t>
  </si>
  <si>
    <t>Bell</t>
  </si>
  <si>
    <t>Berg (Canada)</t>
  </si>
  <si>
    <t>Big Bull</t>
  </si>
  <si>
    <t>Big Onion</t>
  </si>
  <si>
    <t>Bigstone</t>
  </si>
  <si>
    <t>Blue Caribou</t>
  </si>
  <si>
    <t>Bobby's Pond</t>
  </si>
  <si>
    <t>Bomber (Cook Lake)</t>
  </si>
  <si>
    <t>Bonanza</t>
  </si>
  <si>
    <t>Boomerang-Domino (Tulks South)</t>
  </si>
  <si>
    <t>Boylen</t>
  </si>
  <si>
    <t>Brabant Lake</t>
  </si>
  <si>
    <t>Brompton</t>
  </si>
  <si>
    <t>Bronson Slope-Inel (polymet)</t>
  </si>
  <si>
    <t>Bronson Slope-Iskut (AuCu)</t>
  </si>
  <si>
    <t>Buttle Lake-Price</t>
  </si>
  <si>
    <t>Buttle Lake-Trumpeter</t>
  </si>
  <si>
    <t>Cadillac Creek-Mid Canada/Orenada Zone 1</t>
  </si>
  <si>
    <t>Caledonia (Cascade)</t>
  </si>
  <si>
    <t>Canfield Dome</t>
  </si>
  <si>
    <t>Captain</t>
  </si>
  <si>
    <t>Caribou</t>
  </si>
  <si>
    <t>Carmacks-Williams Creek</t>
  </si>
  <si>
    <t>Cash</t>
  </si>
  <si>
    <t>Catface</t>
  </si>
  <si>
    <t>Cavalier</t>
  </si>
  <si>
    <t>Cedar Bay</t>
  </si>
  <si>
    <t>Chester</t>
  </si>
  <si>
    <t>Chu</t>
  </si>
  <si>
    <t>Chu Chua</t>
  </si>
  <si>
    <t>CNE</t>
  </si>
  <si>
    <t>Colchester (incl. Stockpiles)</t>
  </si>
  <si>
    <t>Colossus</t>
  </si>
  <si>
    <t>Copper Canyon</t>
  </si>
  <si>
    <t>Copper Cliff Extension</t>
  </si>
  <si>
    <t>Copper Man</t>
  </si>
  <si>
    <t>Copper Road (East/West)</t>
  </si>
  <si>
    <t>Corner Bay</t>
  </si>
  <si>
    <t>Coulon</t>
  </si>
  <si>
    <t>Creek Zone Mat</t>
  </si>
  <si>
    <t>Daniels Pond</t>
  </si>
  <si>
    <t>De Maurès</t>
  </si>
  <si>
    <t>Devlin</t>
  </si>
  <si>
    <t>Devils Elbow</t>
  </si>
  <si>
    <t>Domergue-Anomaly E</t>
  </si>
  <si>
    <t>Don Rouyn</t>
  </si>
  <si>
    <t>Dorchester</t>
  </si>
  <si>
    <t>Dorothy</t>
  </si>
  <si>
    <t>DOT</t>
  </si>
  <si>
    <t>Double Ed</t>
  </si>
  <si>
    <t>Duthie</t>
  </si>
  <si>
    <t>Eagle (Canada)</t>
  </si>
  <si>
    <t>Eaglehead</t>
  </si>
  <si>
    <t>Eastmain-Ruby Hill</t>
  </si>
  <si>
    <t>Ecstall</t>
  </si>
  <si>
    <t>Eden (Upper/Lower)</t>
  </si>
  <si>
    <t>Elgin</t>
  </si>
  <si>
    <t>Empire Le Tac</t>
  </si>
  <si>
    <t>Errington</t>
  </si>
  <si>
    <t>Explo-Zinc (Kistabiche)</t>
  </si>
  <si>
    <t>Fabie Bay</t>
  </si>
  <si>
    <t>Faro</t>
  </si>
  <si>
    <t>Fault Creek</t>
  </si>
  <si>
    <t>Fyre Lake-Kona</t>
  </si>
  <si>
    <t>Galaxy</t>
  </si>
  <si>
    <t>Gambier Island</t>
  </si>
  <si>
    <t>GJ-Donnelly/North Donnelly</t>
  </si>
  <si>
    <t>Gnat Pass (Gnat Lake)</t>
  </si>
  <si>
    <t>Goodenough</t>
  </si>
  <si>
    <t>GP4F</t>
  </si>
  <si>
    <t>Grandroy</t>
  </si>
  <si>
    <t>Granisle</t>
  </si>
  <si>
    <t>Greenwood-Golden Crown</t>
  </si>
  <si>
    <t>Greenwood-Lexington/Grenoble</t>
  </si>
  <si>
    <t>Grum-Vamgorda-Grizzly (Dy)</t>
  </si>
  <si>
    <t>Hackett River</t>
  </si>
  <si>
    <t>Halfmile Lake</t>
  </si>
  <si>
    <t>Hand Camp</t>
  </si>
  <si>
    <t>Harper Creek</t>
  </si>
  <si>
    <t>Hart River</t>
  </si>
  <si>
    <t>HB</t>
  </si>
  <si>
    <t>Hidden Creek (Anyox)</t>
  </si>
  <si>
    <t>High Lake</t>
  </si>
  <si>
    <t>Hope Brook</t>
  </si>
  <si>
    <t>Horne-5</t>
  </si>
  <si>
    <t>Hudson Bay-Bur</t>
  </si>
  <si>
    <t>Hudson Bay-Lost</t>
  </si>
  <si>
    <t>Hudson Bay-Watts River</t>
  </si>
  <si>
    <t>Hudvam</t>
  </si>
  <si>
    <t>Hushamu</t>
  </si>
  <si>
    <t>Ice</t>
  </si>
  <si>
    <t>Indian Mountain-Kennedy Lake West</t>
  </si>
  <si>
    <t>Inmont</t>
  </si>
  <si>
    <t>Invermay (AM / Giant Copper)</t>
  </si>
  <si>
    <t>Iron Mask</t>
  </si>
  <si>
    <t>Izok Lake</t>
  </si>
  <si>
    <t>Jay (Conigo)</t>
  </si>
  <si>
    <t>Jogran</t>
  </si>
  <si>
    <t>June</t>
  </si>
  <si>
    <t>June Creek</t>
  </si>
  <si>
    <t>Kelly Creek</t>
  </si>
  <si>
    <t>Klaza-BRX</t>
  </si>
  <si>
    <t>KM61</t>
  </si>
  <si>
    <t>Kokko Creek</t>
  </si>
  <si>
    <t>KSM Group</t>
  </si>
  <si>
    <t>Kudz Ze Kayah (ABM-Krakatoa)</t>
  </si>
  <si>
    <t>Kwanika</t>
  </si>
  <si>
    <t>La Grande Sud</t>
  </si>
  <si>
    <t>Lac Chibougamau (Tommy, T10, T9, S-3)</t>
  </si>
  <si>
    <t>NISK-1 / Lac Levac</t>
  </si>
  <si>
    <t>Lara (Canada)</t>
  </si>
  <si>
    <t>Lemarchant-South Tally Pond</t>
  </si>
  <si>
    <t>Lenora</t>
  </si>
  <si>
    <t>Lessard</t>
  </si>
  <si>
    <t>Linda 2-RLM</t>
  </si>
  <si>
    <t>Lingwick</t>
  </si>
  <si>
    <t>Little Deer-Whalesback</t>
  </si>
  <si>
    <t>Lochaber Lake</t>
  </si>
  <si>
    <t>Lockport</t>
  </si>
  <si>
    <t>Lone Pine</t>
  </si>
  <si>
    <t>Long Lake</t>
  </si>
  <si>
    <t>Lorraine</t>
  </si>
  <si>
    <t>Louise Lake</t>
  </si>
  <si>
    <t>Lundberg-Engine House</t>
  </si>
  <si>
    <t>Lustdust-Canyon Creek</t>
  </si>
  <si>
    <t>Lyndhurst</t>
  </si>
  <si>
    <t>Lynn Lake (EL-N-O-G-EL Plug)</t>
  </si>
  <si>
    <t>Lynx-Yellowknife</t>
  </si>
  <si>
    <t>Mac (MAC)</t>
  </si>
  <si>
    <t>MacLeod Lake</t>
  </si>
  <si>
    <t>Maggie</t>
  </si>
  <si>
    <t>Magusi River</t>
  </si>
  <si>
    <t>Maple Bay Group</t>
  </si>
  <si>
    <t>Marg</t>
  </si>
  <si>
    <t>Marn</t>
  </si>
  <si>
    <t>McDame Belle (Yellowjack-Cariboo)</t>
  </si>
  <si>
    <t>McIlvenna Bay</t>
  </si>
  <si>
    <t>Merrill Island</t>
  </si>
  <si>
    <t>Misty</t>
  </si>
  <si>
    <t>Moleon Lake</t>
  </si>
  <si>
    <t>Moly Brook</t>
  </si>
  <si>
    <t>Monpas (Albar)</t>
  </si>
  <si>
    <t>Mother Lode-Greyhound</t>
  </si>
  <si>
    <t>Mount Pleasant (North Zone)</t>
  </si>
  <si>
    <t>Mount Washington-Lakeview-Domineer</t>
  </si>
  <si>
    <t>Mount Washington Tailings</t>
  </si>
  <si>
    <t>Murray Brook</t>
  </si>
  <si>
    <t>Nama Creek (Big Nama Creek)</t>
  </si>
  <si>
    <t>New Bay Pond</t>
  </si>
  <si>
    <t>Newmont Lake-Northwest Zone</t>
  </si>
  <si>
    <t>Nickel King</t>
  </si>
  <si>
    <t>Norpax</t>
  </si>
  <si>
    <t>North Boundary</t>
  </si>
  <si>
    <t>North ROK-Coyote</t>
  </si>
  <si>
    <t>Nucleus</t>
  </si>
  <si>
    <t xml:space="preserve">Nunavik </t>
  </si>
  <si>
    <t>Okeover-OK North</t>
  </si>
  <si>
    <t>Ootsa (Ox-Seel East/West)</t>
  </si>
  <si>
    <t>Orchan West</t>
  </si>
  <si>
    <t>Oro Denoro</t>
  </si>
  <si>
    <t>Pabineau River</t>
  </si>
  <si>
    <t>Packsack</t>
  </si>
  <si>
    <t>Parkin Offset</t>
  </si>
  <si>
    <t>PD-1</t>
  </si>
  <si>
    <t>Peak</t>
  </si>
  <si>
    <t>Perch River</t>
  </si>
  <si>
    <t>Phelps Dodge (La Gauchetiere)-Caber</t>
  </si>
  <si>
    <t>Phoenix (Tremblay-Twin Creek-Pit) Tailings</t>
  </si>
  <si>
    <t>Pick Lake</t>
  </si>
  <si>
    <t>Pike</t>
  </si>
  <si>
    <t>Pine</t>
  </si>
  <si>
    <t>Pine Bay</t>
  </si>
  <si>
    <t>Point Leamington</t>
  </si>
  <si>
    <t>Poison Mountain (Copper Creek / Fenton Creek)</t>
  </si>
  <si>
    <t>Poirier</t>
  </si>
  <si>
    <t>Poplar</t>
  </si>
  <si>
    <t>Porphyry Mountain (Quebec)</t>
  </si>
  <si>
    <t>Pot Lake</t>
  </si>
  <si>
    <t>Prairie Creek</t>
  </si>
  <si>
    <t>Primer</t>
  </si>
  <si>
    <t>Pusticamica Lake-Benoit (Benoist)</t>
  </si>
  <si>
    <t>Québec-Chibougamau</t>
  </si>
  <si>
    <t>Rea-Extra High (K-7)</t>
  </si>
  <si>
    <t>Red Bird</t>
  </si>
  <si>
    <t>Red Dog</t>
  </si>
  <si>
    <t>Red Spring</t>
  </si>
  <si>
    <t>Redstone-Coates Lake (Yukon)</t>
  </si>
  <si>
    <t>Redwing</t>
  </si>
  <si>
    <t>Revenue</t>
  </si>
  <si>
    <t>Ribago</t>
  </si>
  <si>
    <t>Rich Lake-Zone Newmont</t>
  </si>
  <si>
    <t>Rochon Lake</t>
  </si>
  <si>
    <t>Rock and Roll (Rock &amp; Roll)</t>
  </si>
  <si>
    <t>Romer-Frederickson Lake</t>
  </si>
  <si>
    <t>Romer-Jimmick Lake</t>
  </si>
  <si>
    <t>Romer-Koke</t>
  </si>
  <si>
    <t>Romer-Soucy #1</t>
  </si>
  <si>
    <t>Roughrider East/West (Cu zones only)</t>
  </si>
  <si>
    <t>Ruttan</t>
  </si>
  <si>
    <t>Salkeld</t>
  </si>
  <si>
    <t>Scotia (BC)</t>
  </si>
  <si>
    <t>Scott Lake</t>
  </si>
  <si>
    <t>Seneca</t>
  </si>
  <si>
    <t>Sherridon (Bob-Jungle-Cold-Lost)</t>
  </si>
  <si>
    <t>Shunsby</t>
  </si>
  <si>
    <t>Silver Coin</t>
  </si>
  <si>
    <t>Silver King (incl. Stockpiles)</t>
  </si>
  <si>
    <t>Silver Queen (Cole Lake)</t>
  </si>
  <si>
    <t>Silver Queen (Wrinch)</t>
  </si>
  <si>
    <t>Smith Copper (Zip)</t>
  </si>
  <si>
    <t>Snow Lake-Lon</t>
  </si>
  <si>
    <t>Snow Lake-Rail</t>
  </si>
  <si>
    <t>Snow Lake-Talbot</t>
  </si>
  <si>
    <t>Snow Lake-Tower/T1</t>
  </si>
  <si>
    <t>Snowfield</t>
  </si>
  <si>
    <t>Spout</t>
  </si>
  <si>
    <t>Stralak (East Zone)</t>
  </si>
  <si>
    <t>Stratmat</t>
  </si>
  <si>
    <t>Sturgeon Lake Group</t>
  </si>
  <si>
    <t>Sue-Dianne</t>
  </si>
  <si>
    <t>Sullipek</t>
  </si>
  <si>
    <t>Superjack</t>
  </si>
  <si>
    <t>Susu Lake</t>
  </si>
  <si>
    <t>Sustut</t>
  </si>
  <si>
    <t>Swim</t>
  </si>
  <si>
    <t>Tache Lake (Antoinette, Lac Berrigan)</t>
  </si>
  <si>
    <t>Taylor Brook</t>
  </si>
  <si>
    <t>Terra Nova</t>
  </si>
  <si>
    <t>Tetagouche-Armstrong A/B</t>
  </si>
  <si>
    <t>Tetagouche-Rocky Turn</t>
  </si>
  <si>
    <t>Tetagouche-Canoe Landing Lake</t>
  </si>
  <si>
    <t>Tetagouche-McMaster</t>
  </si>
  <si>
    <t>Thor</t>
  </si>
  <si>
    <t>Thule</t>
  </si>
  <si>
    <t>Tillex</t>
  </si>
  <si>
    <t>Tilt Cove</t>
  </si>
  <si>
    <t>Tinta Hill</t>
  </si>
  <si>
    <t>Toad River</t>
  </si>
  <si>
    <t>Tonnancour (Josselin)</t>
  </si>
  <si>
    <t>Tortigny</t>
  </si>
  <si>
    <t>Tribag</t>
  </si>
  <si>
    <t>Trinity</t>
  </si>
  <si>
    <t>Troilus</t>
  </si>
  <si>
    <t>Trout Bay</t>
  </si>
  <si>
    <t>Tulks Hill</t>
  </si>
  <si>
    <t>Upper Beaver</t>
  </si>
  <si>
    <t>Upton</t>
  </si>
  <si>
    <t>Vendôme (Mogador-Barvallée-Belfort)</t>
  </si>
  <si>
    <t>Vermillion</t>
  </si>
  <si>
    <t>Victoria</t>
  </si>
  <si>
    <t>Vine-1</t>
  </si>
  <si>
    <t>Vortex-Sullipeck</t>
  </si>
  <si>
    <t>VW</t>
  </si>
  <si>
    <t>West Ansil</t>
  </si>
  <si>
    <t>West Graham-Conwest (Lockerby)</t>
  </si>
  <si>
    <t>Whitehorse</t>
  </si>
  <si>
    <t>Wim</t>
  </si>
  <si>
    <t>Woodjam North/South</t>
  </si>
  <si>
    <t>Yava</t>
  </si>
  <si>
    <t>Z</t>
  </si>
  <si>
    <t>Antakena (Madrugador y Elenita)</t>
  </si>
  <si>
    <t>Aurum-Tabaco</t>
  </si>
  <si>
    <t>Barreal Seco</t>
  </si>
  <si>
    <t>Blanco Y Negro (ByN)</t>
  </si>
  <si>
    <t>Brujulina</t>
  </si>
  <si>
    <t>Carmen</t>
  </si>
  <si>
    <t>Caspiche (Cu-Au-Ag only)</t>
  </si>
  <si>
    <t>Casualidad-Virgo</t>
  </si>
  <si>
    <t>Chépica-Salvadora</t>
  </si>
  <si>
    <t>Codelco Miscellaneous</t>
  </si>
  <si>
    <t>Copper Bay-Chañaral Beach Tailings</t>
  </si>
  <si>
    <t>El Espino-Venus</t>
  </si>
  <si>
    <t>El Salado</t>
  </si>
  <si>
    <t>El Teniente Tailings</t>
  </si>
  <si>
    <t>Escalones</t>
  </si>
  <si>
    <t>Escondida-Chimborazo</t>
  </si>
  <si>
    <t>Escondida-Pampa Escondida</t>
  </si>
  <si>
    <t>Escondida-Pinta Verde</t>
  </si>
  <si>
    <t>Farola</t>
  </si>
  <si>
    <t>Filo del Sol</t>
  </si>
  <si>
    <t>Frontera</t>
  </si>
  <si>
    <t>Inca de Oro</t>
  </si>
  <si>
    <t>Ivan</t>
  </si>
  <si>
    <t>Josemaria</t>
  </si>
  <si>
    <t>Llahuin</t>
  </si>
  <si>
    <t>Llano-Paleocanal</t>
  </si>
  <si>
    <t>Los Helados</t>
  </si>
  <si>
    <t>Los Volcanes (Conchi)</t>
  </si>
  <si>
    <t>Lucy-Vicky</t>
  </si>
  <si>
    <t>Michilla</t>
  </si>
  <si>
    <t>Mina Angela</t>
  </si>
  <si>
    <t>Mina Claudia</t>
  </si>
  <si>
    <t>Mina San Antonio Antiguo</t>
  </si>
  <si>
    <t>Mina San José Profundo</t>
  </si>
  <si>
    <t>Mina San José Superior</t>
  </si>
  <si>
    <t>Mina Zona Barbara</t>
  </si>
  <si>
    <t>Mirador</t>
  </si>
  <si>
    <t>Mollacas</t>
  </si>
  <si>
    <t>Nora-Berta</t>
  </si>
  <si>
    <t>Penacho Blanco</t>
  </si>
  <si>
    <t>Polo Sur</t>
  </si>
  <si>
    <t>Potrerillos</t>
  </si>
  <si>
    <t>Rencoret</t>
  </si>
  <si>
    <t>Rosario-Rosario Oeste</t>
  </si>
  <si>
    <t>Sierra Medina</t>
  </si>
  <si>
    <t>Ticnámar</t>
  </si>
  <si>
    <t>Tovaku JV (Puntilla Galenosa)</t>
  </si>
  <si>
    <t>Tres Valles (Don Gabriel-Papomono)</t>
  </si>
  <si>
    <t>Vallecillo-La Colorada</t>
  </si>
  <si>
    <t>Viscachitas</t>
  </si>
  <si>
    <t>West Wall</t>
  </si>
  <si>
    <t>Badaguan</t>
  </si>
  <si>
    <t>Baimashi</t>
  </si>
  <si>
    <t>Bainamiao</t>
  </si>
  <si>
    <t>Baiyunshan</t>
  </si>
  <si>
    <t>Bajiazi</t>
  </si>
  <si>
    <t>Balazha</t>
  </si>
  <si>
    <t>Baogutu</t>
  </si>
  <si>
    <t>Beiya</t>
  </si>
  <si>
    <t>Bijiashan</t>
  </si>
  <si>
    <t>Bolong</t>
  </si>
  <si>
    <t>Chang'an</t>
  </si>
  <si>
    <t>Chehugou</t>
  </si>
  <si>
    <t>Chengmenshan</t>
  </si>
  <si>
    <t>Chenjiamiao</t>
  </si>
  <si>
    <t>Chongjiang</t>
  </si>
  <si>
    <t>Dabaoshan</t>
  </si>
  <si>
    <t>Dahongshan</t>
  </si>
  <si>
    <t>Dapingzhang</t>
  </si>
  <si>
    <t>Dexing</t>
  </si>
  <si>
    <t>Dongga</t>
  </si>
  <si>
    <t>Duobuza</t>
  </si>
  <si>
    <t>Duolong</t>
  </si>
  <si>
    <t>Duoxiasongduo</t>
  </si>
  <si>
    <t>Fengshangdong</t>
  </si>
  <si>
    <t>Gacun</t>
  </si>
  <si>
    <t>Gayiqiong (Gaerqiong)</t>
  </si>
  <si>
    <t>Gegongnong</t>
  </si>
  <si>
    <t>Guomisi</t>
  </si>
  <si>
    <t>Gutian</t>
  </si>
  <si>
    <t>Hami</t>
  </si>
  <si>
    <t>Honggou</t>
  </si>
  <si>
    <t>Houyu</t>
  </si>
  <si>
    <t>Huangshaping</t>
  </si>
  <si>
    <t>Huanren</t>
  </si>
  <si>
    <t>Huogeqi</t>
  </si>
  <si>
    <t>Jialongzhang</t>
  </si>
  <si>
    <t>Jiawula</t>
  </si>
  <si>
    <t>Jinduicheng</t>
  </si>
  <si>
    <t>Keketale</t>
  </si>
  <si>
    <t>Lalachang</t>
  </si>
  <si>
    <t>Lannitang</t>
  </si>
  <si>
    <t>Laojiagou</t>
  </si>
  <si>
    <t>Langdu</t>
  </si>
  <si>
    <t>Langlik</t>
  </si>
  <si>
    <t>LaoXue</t>
  </si>
  <si>
    <t>Liwu</t>
  </si>
  <si>
    <t>Liziping</t>
  </si>
  <si>
    <t>Longjiangting</t>
  </si>
  <si>
    <t>Luoboling</t>
  </si>
  <si>
    <t>Luojiahe</t>
  </si>
  <si>
    <t>Machangqing</t>
  </si>
  <si>
    <t>Malasongduo</t>
  </si>
  <si>
    <t>Mangzong</t>
  </si>
  <si>
    <t>Mengya</t>
  </si>
  <si>
    <t>Miaogou-Sanguikou</t>
  </si>
  <si>
    <t>Nadun</t>
  </si>
  <si>
    <t>Naoniushan</t>
  </si>
  <si>
    <t>Naruo</t>
  </si>
  <si>
    <t>Newtongmen</t>
  </si>
  <si>
    <t>Pulang</t>
  </si>
  <si>
    <t>Qinghai Deerni</t>
  </si>
  <si>
    <t>Qiushuwan</t>
  </si>
  <si>
    <t>Qulong</t>
  </si>
  <si>
    <t>Saishitang</t>
  </si>
  <si>
    <t>Shangjiazhuang</t>
  </si>
  <si>
    <t>Shaxi</t>
  </si>
  <si>
    <t>Shiqingdong</t>
  </si>
  <si>
    <t>ShiShan</t>
  </si>
  <si>
    <t>ShiZhiShan</t>
  </si>
  <si>
    <t>Shuguang</t>
  </si>
  <si>
    <t>Sigequan</t>
  </si>
  <si>
    <t>Southern Tiegelong</t>
  </si>
  <si>
    <t>Taipingshan</t>
  </si>
  <si>
    <t>Taiyangshan</t>
  </si>
  <si>
    <t>TangDan</t>
  </si>
  <si>
    <t>Tanyaokou</t>
  </si>
  <si>
    <t>Tiegelongnan</t>
  </si>
  <si>
    <t>Tongchang</t>
  </si>
  <si>
    <t>Tongchankou</t>
  </si>
  <si>
    <t>Tongchangjie</t>
  </si>
  <si>
    <t>Tongkuangyu (Zhongtiaoshan)</t>
  </si>
  <si>
    <t>Tongyu</t>
  </si>
  <si>
    <t>Tongyugou</t>
  </si>
  <si>
    <t>Tuwu</t>
  </si>
  <si>
    <t>Wangjiazhuang</t>
  </si>
  <si>
    <t>Weilasituo</t>
  </si>
  <si>
    <t>Weiquan</t>
  </si>
  <si>
    <t>Wunugetushan</t>
  </si>
  <si>
    <t>Xiacun</t>
  </si>
  <si>
    <t>Xialiugou</t>
  </si>
  <si>
    <t>Xiaorequanzi</t>
  </si>
  <si>
    <t>Xiaosigou</t>
  </si>
  <si>
    <t>Xiaotieshan</t>
  </si>
  <si>
    <t>Xifanping</t>
  </si>
  <si>
    <t>Xinan</t>
  </si>
  <si>
    <t>Xing'a</t>
  </si>
  <si>
    <t>Xinqiao</t>
  </si>
  <si>
    <t>Xiqiu</t>
  </si>
  <si>
    <t>Xuejiping</t>
  </si>
  <si>
    <t>Yandong</t>
  </si>
  <si>
    <t>Yanxi</t>
  </si>
  <si>
    <t>Yindongzi</t>
  </si>
  <si>
    <t>YinMin</t>
  </si>
  <si>
    <t>Yinmusi</t>
  </si>
  <si>
    <t>Yinshan</t>
  </si>
  <si>
    <t>Yuanzhuding</t>
  </si>
  <si>
    <t>Yueyang</t>
  </si>
  <si>
    <t>Yulong</t>
  </si>
  <si>
    <t>Zhanaga</t>
  </si>
  <si>
    <t>Zheyaoshan</t>
  </si>
  <si>
    <t>Zhunuo</t>
  </si>
  <si>
    <t>Acandi</t>
  </si>
  <si>
    <t>California</t>
  </si>
  <si>
    <t>El Alacrán</t>
  </si>
  <si>
    <t>El Roble</t>
  </si>
  <si>
    <t>Guadalupe (Azufral)</t>
  </si>
  <si>
    <t>La Bodega (La Moscata)</t>
  </si>
  <si>
    <t>La Mina-La Cantera</t>
  </si>
  <si>
    <t>Quebradona (Nuevo Chaquiro)</t>
  </si>
  <si>
    <t>Quinchía-Batero Group</t>
  </si>
  <si>
    <t>Quinchía-Dos Quebradas North</t>
  </si>
  <si>
    <t>Mocoa</t>
  </si>
  <si>
    <t>Pegadorcito-Pantanos</t>
  </si>
  <si>
    <t>Sababablanca</t>
  </si>
  <si>
    <t>Santa Anita</t>
  </si>
  <si>
    <t>Titiribi-Cerro Vetas</t>
  </si>
  <si>
    <t>Yanga-Koubanza</t>
  </si>
  <si>
    <t>Bangwe Est</t>
  </si>
  <si>
    <t>Chimbedia</t>
  </si>
  <si>
    <t>Dikulushi</t>
  </si>
  <si>
    <t>Disele Sud</t>
  </si>
  <si>
    <t>Etoile-Etoile Extension</t>
  </si>
  <si>
    <t>Kababankola (Kabankola)</t>
  </si>
  <si>
    <t>Kabusanje</t>
  </si>
  <si>
    <t>Kakanda North/South</t>
  </si>
  <si>
    <t>Kakanda Tailings</t>
  </si>
  <si>
    <t>Kakula</t>
  </si>
  <si>
    <t>Kalongwe</t>
  </si>
  <si>
    <t>Kalumines Group</t>
  </si>
  <si>
    <t>Kamoa</t>
  </si>
  <si>
    <t>Kanika</t>
  </si>
  <si>
    <t>Kavundi Central</t>
  </si>
  <si>
    <t>Kazumbula</t>
  </si>
  <si>
    <t>Kolwezi-Kingamyambo Tailings</t>
  </si>
  <si>
    <t>Kipushi</t>
  </si>
  <si>
    <t>Kisanfu</t>
  </si>
  <si>
    <t>Lubembe</t>
  </si>
  <si>
    <t>Luisha South (incl. Stockpiles)</t>
  </si>
  <si>
    <t>Luita Est (Ecaille Sud)</t>
  </si>
  <si>
    <t>Lupoto-Sase</t>
  </si>
  <si>
    <t>Manga</t>
  </si>
  <si>
    <t>Mufunta</t>
  </si>
  <si>
    <t>Musonoi-Dilala East</t>
  </si>
  <si>
    <t>Musonoi-Kasobantu</t>
  </si>
  <si>
    <t>Pungulume East (1-2-3-4-Principal)</t>
  </si>
  <si>
    <t>Saafi</t>
  </si>
  <si>
    <t>Shabulungu Est</t>
  </si>
  <si>
    <t>Taratara</t>
  </si>
  <si>
    <t>Arimao</t>
  </si>
  <si>
    <t>Camaguey</t>
  </si>
  <si>
    <t>Cuba Libre</t>
  </si>
  <si>
    <t>El Cobre East-West</t>
  </si>
  <si>
    <t>Elección</t>
  </si>
  <si>
    <t>Guachinango</t>
  </si>
  <si>
    <t>Hierro Mantua</t>
  </si>
  <si>
    <t>Jucaro</t>
  </si>
  <si>
    <t>La Cristina</t>
  </si>
  <si>
    <t>Mantua</t>
  </si>
  <si>
    <t>Vega Grande-Juanica</t>
  </si>
  <si>
    <t>Agrokipia</t>
  </si>
  <si>
    <t>Apliki</t>
  </si>
  <si>
    <t>Kokkinoyia</t>
  </si>
  <si>
    <t>Kynousa</t>
  </si>
  <si>
    <t>Limni</t>
  </si>
  <si>
    <t>Mathiati</t>
  </si>
  <si>
    <t>Mavrovouni</t>
  </si>
  <si>
    <t>Mousoulos-Kalavasos</t>
  </si>
  <si>
    <t>Phoenix</t>
  </si>
  <si>
    <t>Skouriotissa</t>
  </si>
  <si>
    <t>Tisova</t>
  </si>
  <si>
    <t>Czech Republic</t>
  </si>
  <si>
    <t>Ampliacion Pueblo Viejo-La Lechoza</t>
  </si>
  <si>
    <t>Bayaguana-Cerro Kiosko</t>
  </si>
  <si>
    <t>Bayaguana-Cerro Verde</t>
  </si>
  <si>
    <t>Bayaguana-Doña Amanda</t>
  </si>
  <si>
    <t>Bayaguana-Doña Loretta</t>
  </si>
  <si>
    <t>Bayaguana-Loma Pesada/Anomaly B</t>
  </si>
  <si>
    <t>Cerro de Maimón</t>
  </si>
  <si>
    <t>La Escandalosa Sur</t>
  </si>
  <si>
    <t>Las Animas</t>
  </si>
  <si>
    <t>Romero-Romero South</t>
  </si>
  <si>
    <t>Chaucha</t>
  </si>
  <si>
    <t>Condor-El Hito</t>
  </si>
  <si>
    <t>Condor-Los Cuyes</t>
  </si>
  <si>
    <t>Condor-Santa Barbara</t>
  </si>
  <si>
    <t>Condor-Soledad</t>
  </si>
  <si>
    <t>Curipamba-El Domo</t>
  </si>
  <si>
    <t>Fierro Urcu</t>
  </si>
  <si>
    <t>Gaby</t>
  </si>
  <si>
    <t>La Plata</t>
  </si>
  <si>
    <t>Llurimagua (Junin)</t>
  </si>
  <si>
    <t>Mirador-Mirador Norte</t>
  </si>
  <si>
    <t>Panantza</t>
  </si>
  <si>
    <t>San Carlos</t>
  </si>
  <si>
    <t>Tres Chorreras (3C Breccia-Epithermal)</t>
  </si>
  <si>
    <t>Warintza</t>
  </si>
  <si>
    <t>Abu Marawat</t>
  </si>
  <si>
    <t>Egypt</t>
  </si>
  <si>
    <t>Um Samiuki</t>
  </si>
  <si>
    <t>Asmara-Adi Raffi (Adi Rassi)</t>
  </si>
  <si>
    <t>Bisha-Hambok</t>
  </si>
  <si>
    <t>Bisha-Northwest</t>
  </si>
  <si>
    <t>Adyabo (Mato Bula-Da Tambuk)</t>
  </si>
  <si>
    <t>Harvest-Terakimti</t>
  </si>
  <si>
    <t>Tholo-i-Suva</t>
  </si>
  <si>
    <t>Wainaleka</t>
  </si>
  <si>
    <t>Ala-Penikkavaara</t>
  </si>
  <si>
    <t>Dingelvik</t>
  </si>
  <si>
    <t>Haarakumpu</t>
  </si>
  <si>
    <t>Haveri</t>
  </si>
  <si>
    <t>Hoikka</t>
  </si>
  <si>
    <t>Karankalahti</t>
  </si>
  <si>
    <t>Karhunjupukka</t>
  </si>
  <si>
    <t>Kettukumpu</t>
  </si>
  <si>
    <t>Kilvenjoki</t>
  </si>
  <si>
    <t>Kilvenlatvalampi</t>
  </si>
  <si>
    <t>Koivukivalonaapa</t>
  </si>
  <si>
    <t>Kopsa</t>
  </si>
  <si>
    <t>Kotalahti-Hanhisalo</t>
  </si>
  <si>
    <t>Kotalahti-Heiskalanmäki</t>
  </si>
  <si>
    <t>Kotalahti-Kokka A/B</t>
  </si>
  <si>
    <t>Kotalahti-Niinimäki</t>
  </si>
  <si>
    <t>Kotalahti-Riihilahti</t>
  </si>
  <si>
    <t>Kotalahti-Sarkalahti</t>
  </si>
  <si>
    <t>Kotalahti-Valkeisenranta</t>
  </si>
  <si>
    <t>Kotalahti-Vehmasjärvi</t>
  </si>
  <si>
    <t>Kuhmo Group</t>
  </si>
  <si>
    <t>Lavotta</t>
  </si>
  <si>
    <t>Liakka</t>
  </si>
  <si>
    <t>Niittylampi</t>
  </si>
  <si>
    <t>Nutturalampi</t>
  </si>
  <si>
    <t>Outokumpu-Hautalampi/Keretti</t>
  </si>
  <si>
    <t>Paasivaara</t>
  </si>
  <si>
    <t>Pahtavuoma</t>
  </si>
  <si>
    <t>Petrovaara</t>
  </si>
  <si>
    <t>Rauhala</t>
  </si>
  <si>
    <t>Rautavaara (Cu)</t>
  </si>
  <si>
    <t>Rautavaara-R1 (Pappilanmäki)</t>
  </si>
  <si>
    <t>Riikonkoski</t>
  </si>
  <si>
    <t>Rusamo</t>
  </si>
  <si>
    <t>Rytky</t>
  </si>
  <si>
    <t>Saattopora</t>
  </si>
  <si>
    <t>Sahakoski</t>
  </si>
  <si>
    <t>Sahavaara</t>
  </si>
  <si>
    <t>Saramäki</t>
  </si>
  <si>
    <t>Salo-Issakka</t>
  </si>
  <si>
    <t>Säviä</t>
  </si>
  <si>
    <t>Sykäräinen</t>
  </si>
  <si>
    <t>Taivaljärvi</t>
  </si>
  <si>
    <t>Tjårrojåkka</t>
  </si>
  <si>
    <t>Tepsa</t>
  </si>
  <si>
    <t>Vaaralampi</t>
  </si>
  <si>
    <t>Vammala (Stormi-Ekojoki)</t>
  </si>
  <si>
    <t>Vammala Pori (Mäntymäki-Hyvelä-Sahakoski)</t>
  </si>
  <si>
    <t>Bodennec</t>
  </si>
  <si>
    <t>France</t>
  </si>
  <si>
    <t>Chessy-les-Mines</t>
  </si>
  <si>
    <t>Porte-Aux-Moines (Merléac)</t>
  </si>
  <si>
    <t>Sain Bel</t>
  </si>
  <si>
    <t>Rouez</t>
  </si>
  <si>
    <t>Adange</t>
  </si>
  <si>
    <t>Artana</t>
  </si>
  <si>
    <t>Dambludi</t>
  </si>
  <si>
    <t>David Garedji</t>
  </si>
  <si>
    <t>Kvemo Bolnisi</t>
  </si>
  <si>
    <t>Madneuli (Georgia)</t>
  </si>
  <si>
    <t>Merisi Group</t>
  </si>
  <si>
    <t>Sakdrisi</t>
  </si>
  <si>
    <t>Tsiteli Sopeli</t>
  </si>
  <si>
    <t>Zeshko</t>
  </si>
  <si>
    <t>KSL (Spremberg-Graustein-Schleife)</t>
  </si>
  <si>
    <t>Mechernich</t>
  </si>
  <si>
    <t>Richelsdorf</t>
  </si>
  <si>
    <t>Sangerhausen</t>
  </si>
  <si>
    <t>Fisoka</t>
  </si>
  <si>
    <t>Polikastro</t>
  </si>
  <si>
    <t>Sapes (Sappes)</t>
  </si>
  <si>
    <t>Blyklippen</t>
  </si>
  <si>
    <t>Greenland</t>
  </si>
  <si>
    <t>Ladderbjerg</t>
  </si>
  <si>
    <t>Rubjerg Knude</t>
  </si>
  <si>
    <t>Aranka</t>
  </si>
  <si>
    <t>Guyana</t>
  </si>
  <si>
    <t>Groete Creek</t>
  </si>
  <si>
    <t>Toroparu</t>
  </si>
  <si>
    <t>Blondin</t>
  </si>
  <si>
    <t>Haiti</t>
  </si>
  <si>
    <t>Casseus-Meme</t>
  </si>
  <si>
    <t>Douvray</t>
  </si>
  <si>
    <t>Quita Gana</t>
  </si>
  <si>
    <t>Honduras</t>
  </si>
  <si>
    <t>Minas de Oro</t>
  </si>
  <si>
    <t>Recsk</t>
  </si>
  <si>
    <t>Hungary</t>
  </si>
  <si>
    <t>Ajari</t>
  </si>
  <si>
    <t>Ambaji</t>
  </si>
  <si>
    <t>Ambamata</t>
  </si>
  <si>
    <t>Askot</t>
  </si>
  <si>
    <t>Banwas Block</t>
  </si>
  <si>
    <t>Basantgarh</t>
  </si>
  <si>
    <t>Bohtang-Rangpo</t>
  </si>
  <si>
    <t>Bhukia</t>
  </si>
  <si>
    <t>Chandamari-Kolihan</t>
  </si>
  <si>
    <t>Danva</t>
  </si>
  <si>
    <t>Deri</t>
  </si>
  <si>
    <t>Goliya</t>
  </si>
  <si>
    <t>Gorubathan</t>
  </si>
  <si>
    <t>Kalabar</t>
  </si>
  <si>
    <t>Madan-Kudan</t>
  </si>
  <si>
    <t>Pipela</t>
  </si>
  <si>
    <t>Rewara</t>
  </si>
  <si>
    <t>Surda</t>
  </si>
  <si>
    <t>Beruang Kanan</t>
  </si>
  <si>
    <t>Beutong</t>
  </si>
  <si>
    <t>Binabase-Bawone</t>
  </si>
  <si>
    <t>Bulagidun</t>
  </si>
  <si>
    <t>Elang</t>
  </si>
  <si>
    <t>Gunung Rosa</t>
  </si>
  <si>
    <t>Kaputusan</t>
  </si>
  <si>
    <t>Lakuwahi</t>
  </si>
  <si>
    <t>Randu Kuning (Wonogiri)</t>
  </si>
  <si>
    <t>Tansgse</t>
  </si>
  <si>
    <t>Tapadaa</t>
  </si>
  <si>
    <t>Tombulilato Group</t>
  </si>
  <si>
    <t>Tujuh Bukit</t>
  </si>
  <si>
    <t>West Lombok-Selodong</t>
  </si>
  <si>
    <t>Ali-Abad (Aliabad)</t>
  </si>
  <si>
    <t>Bagh Khoshk</t>
  </si>
  <si>
    <t>Chah-Firuzeh</t>
  </si>
  <si>
    <t>Dalli</t>
  </si>
  <si>
    <t>Dar Alu</t>
  </si>
  <si>
    <t>Darreh Zar (Darrehzar)</t>
  </si>
  <si>
    <t>Darreh Zereshk (Darrehzereshk)</t>
  </si>
  <si>
    <t>Ghal'e Zari</t>
  </si>
  <si>
    <t>Haft Cheshmeh</t>
  </si>
  <si>
    <t>Iju</t>
  </si>
  <si>
    <t>Kahang</t>
  </si>
  <si>
    <t>Kale Kafi</t>
  </si>
  <si>
    <t>Lar</t>
  </si>
  <si>
    <t>Masjed Daghi</t>
  </si>
  <si>
    <t>Mazra'e</t>
  </si>
  <si>
    <t>Meydouk (Meiduk)</t>
  </si>
  <si>
    <t>Now Chun</t>
  </si>
  <si>
    <t>Raigun</t>
  </si>
  <si>
    <t>Sar Cheshmeh</t>
  </si>
  <si>
    <t>Sar Kuh</t>
  </si>
  <si>
    <t>Songoon (Sungun)</t>
  </si>
  <si>
    <t>Taknar I-II</t>
  </si>
  <si>
    <t>Touzlar</t>
  </si>
  <si>
    <t>Aherlow</t>
  </si>
  <si>
    <t>Allihies</t>
  </si>
  <si>
    <t>Avoca</t>
  </si>
  <si>
    <t>Ballyvergin</t>
  </si>
  <si>
    <t>Bunmahon</t>
  </si>
  <si>
    <t>Charlestown</t>
  </si>
  <si>
    <t>Gortdrum</t>
  </si>
  <si>
    <t>Mallow (Tullacondra)</t>
  </si>
  <si>
    <t>Tynagh</t>
  </si>
  <si>
    <t>Calabona</t>
  </si>
  <si>
    <t>Italy</t>
  </si>
  <si>
    <t>Campiglia</t>
  </si>
  <si>
    <t>Funtana Raminosa</t>
  </si>
  <si>
    <t>Southern Sulcis</t>
  </si>
  <si>
    <t>Su Zurfuru</t>
  </si>
  <si>
    <t>Tregiovo</t>
  </si>
  <si>
    <t>Bellas Gate</t>
  </si>
  <si>
    <t>Feinan (Fenan)</t>
  </si>
  <si>
    <t>Jordan</t>
  </si>
  <si>
    <t>Khirbet EL Nahas /Wadi Jariya</t>
  </si>
  <si>
    <t>Wadi Abu Khusheiba</t>
  </si>
  <si>
    <t>Aidarly</t>
  </si>
  <si>
    <t>Avangard</t>
  </si>
  <si>
    <t>Benkala-South Benkala (Benqala)</t>
  </si>
  <si>
    <t>Besshoky</t>
  </si>
  <si>
    <t>Borly</t>
  </si>
  <si>
    <t>Chashinskoye Tailings</t>
  </si>
  <si>
    <t>Chatyrkul</t>
  </si>
  <si>
    <t>Dolinnoe (Dolinnoye)</t>
  </si>
  <si>
    <t>Karatas (Karatas-I)</t>
  </si>
  <si>
    <t>Kazkyrmyskoye (Kazkyrmys / Vostok)</t>
  </si>
  <si>
    <t>Kenkuduk (Kaskyrkazgan)</t>
  </si>
  <si>
    <t>Kepcham</t>
  </si>
  <si>
    <t>Koksay (Koksai)</t>
  </si>
  <si>
    <t>Koktasdzhal</t>
  </si>
  <si>
    <t>Kounrad (Qonyrat)</t>
  </si>
  <si>
    <t>Kounrad (Qonyrat) Waste Rock Dumps</t>
  </si>
  <si>
    <t>Kyzylkain</t>
  </si>
  <si>
    <t>Kyzyltu</t>
  </si>
  <si>
    <t>Limmanoe</t>
  </si>
  <si>
    <t>Naimanjal-Baitimir</t>
  </si>
  <si>
    <t>Naimanjal-Beschoku</t>
  </si>
  <si>
    <t>Novo-Leninogorskoye</t>
  </si>
  <si>
    <t>Nurkazgan</t>
  </si>
  <si>
    <t>Obruchevskoe</t>
  </si>
  <si>
    <t>Ozernoe</t>
  </si>
  <si>
    <t>Sarioba</t>
  </si>
  <si>
    <t>Saryshagan</t>
  </si>
  <si>
    <t>Shemonaikhinskoe</t>
  </si>
  <si>
    <t>Shuak</t>
  </si>
  <si>
    <t>Starkovskoe</t>
  </si>
  <si>
    <t>Staroye Tailings</t>
  </si>
  <si>
    <t>Tishinsky Tailings</t>
  </si>
  <si>
    <t>Vesennee (Vesenny)</t>
  </si>
  <si>
    <t>Yubileiny (Yubileinoe)</t>
  </si>
  <si>
    <t>Bumbo</t>
  </si>
  <si>
    <t>Kenya</t>
  </si>
  <si>
    <t>Chontash</t>
  </si>
  <si>
    <t>Kuru-Tegerek</t>
  </si>
  <si>
    <t>Mironovskoye</t>
  </si>
  <si>
    <t>Nasonovskoye</t>
  </si>
  <si>
    <t>Saryaygyr</t>
  </si>
  <si>
    <t>Sarybulak</t>
  </si>
  <si>
    <t>Severniy</t>
  </si>
  <si>
    <t>Talas (Taldy-Bulak)</t>
  </si>
  <si>
    <t>TB Lev.</t>
  </si>
  <si>
    <t>Ban Houei Mo</t>
  </si>
  <si>
    <t>KTL (Kham Thong Lai)</t>
  </si>
  <si>
    <t>Long Chieng Track (LCT)</t>
  </si>
  <si>
    <t>Phu Taxan (Phuda)</t>
  </si>
  <si>
    <t>Bučim</t>
  </si>
  <si>
    <t>Faléa</t>
  </si>
  <si>
    <t>Mali</t>
  </si>
  <si>
    <t>Mengapur</t>
  </si>
  <si>
    <t>Lohan Mamut Tailings</t>
  </si>
  <si>
    <t>Aranzazu</t>
  </si>
  <si>
    <t>Avino</t>
  </si>
  <si>
    <t>Azulitas</t>
  </si>
  <si>
    <t>Bilbao</t>
  </si>
  <si>
    <t>Buenavista Zinc</t>
  </si>
  <si>
    <t>Campo Morado / G-9</t>
  </si>
  <si>
    <t>Cascada</t>
  </si>
  <si>
    <t>Chalchihuites</t>
  </si>
  <si>
    <t>Charcas-Las Eulalias</t>
  </si>
  <si>
    <t>Charcas-Santa Rosa</t>
  </si>
  <si>
    <t>Cobre Grande</t>
  </si>
  <si>
    <t>Cuatro Hermanos</t>
  </si>
  <si>
    <t>Cumobabi</t>
  </si>
  <si>
    <t>El Barqueño</t>
  </si>
  <si>
    <t>El Batamote</t>
  </si>
  <si>
    <t>El Boleo</t>
  </si>
  <si>
    <t>El Cajón</t>
  </si>
  <si>
    <t>El Creston</t>
  </si>
  <si>
    <t>El Gochico (San Bernardo Raquel 3-3B)</t>
  </si>
  <si>
    <t>El Tecolote (Reyna del Cobre) Tailings</t>
  </si>
  <si>
    <t>Gavilanes</t>
  </si>
  <si>
    <t>Jesus Maria-Patrocinio</t>
  </si>
  <si>
    <t>La Balsa</t>
  </si>
  <si>
    <t>La Florida-Barrigon (Mina La Lilly)</t>
  </si>
  <si>
    <t>La Joya (MMT-Santo Nino)</t>
  </si>
  <si>
    <t>La Negra</t>
  </si>
  <si>
    <t>La Reyna</t>
  </si>
  <si>
    <t>La Verde</t>
  </si>
  <si>
    <t>Los Chalchihuites</t>
  </si>
  <si>
    <t>Los Gatos</t>
  </si>
  <si>
    <t>Los Verdes</t>
  </si>
  <si>
    <t>Malpica</t>
  </si>
  <si>
    <t>Media Luna</t>
  </si>
  <si>
    <t>Promontorio</t>
  </si>
  <si>
    <t>San Javier-Cerro Verde</t>
  </si>
  <si>
    <t>San José de Gracia</t>
  </si>
  <si>
    <t>San Nicolas</t>
  </si>
  <si>
    <t>San Sebastian (Cu only)</t>
  </si>
  <si>
    <t>Santa Barbara-Progreso</t>
  </si>
  <si>
    <t>Santa Barbara-La Paz / Palo Blanco</t>
  </si>
  <si>
    <t>Santo Tomas</t>
  </si>
  <si>
    <t>Sierra Mojada</t>
  </si>
  <si>
    <t>Suaqui Verde</t>
  </si>
  <si>
    <t>Tameapa (Pico Prieto-Venado)</t>
  </si>
  <si>
    <t>Tepal</t>
  </si>
  <si>
    <t>Terrazas</t>
  </si>
  <si>
    <t>Washington</t>
  </si>
  <si>
    <t>Erdenet</t>
  </si>
  <si>
    <t>Golden Hills (Bayan Airag)</t>
  </si>
  <si>
    <t>Kharmagtai Group</t>
  </si>
  <si>
    <t>Oyu Tolgoi-Hugo Dummett South</t>
  </si>
  <si>
    <t>Oyu Tolgoi-Heruga ETG</t>
  </si>
  <si>
    <t>Oyu Tolgoi-Heruga OT</t>
  </si>
  <si>
    <t>Tsagaan Suvarga</t>
  </si>
  <si>
    <t>Tumurtui South</t>
  </si>
  <si>
    <t>Zuun Mod</t>
  </si>
  <si>
    <t>Monty Group</t>
  </si>
  <si>
    <t>Montenegro</t>
  </si>
  <si>
    <t>Agjgl (Agujgal)</t>
  </si>
  <si>
    <t>Alous</t>
  </si>
  <si>
    <t>Amadouz</t>
  </si>
  <si>
    <t>Bouskour</t>
  </si>
  <si>
    <t>Jbel Laassel</t>
  </si>
  <si>
    <t>Jbel N'Zourk</t>
  </si>
  <si>
    <t>Tazalaght</t>
  </si>
  <si>
    <t>Tizert</t>
  </si>
  <si>
    <t>Mundonguara</t>
  </si>
  <si>
    <t>Mozambique</t>
  </si>
  <si>
    <t>Bawdwin</t>
  </si>
  <si>
    <t>Dordabis-Koperberg</t>
  </si>
  <si>
    <t>Dordabis-RK</t>
  </si>
  <si>
    <t>Elbe (A-Gossan)</t>
  </si>
  <si>
    <t>Gross Otavi Central</t>
  </si>
  <si>
    <t>Haib</t>
  </si>
  <si>
    <t>Khusib Springs</t>
  </si>
  <si>
    <t>Klein Aub</t>
  </si>
  <si>
    <t>Kombat Group</t>
  </si>
  <si>
    <t>Kombat Tailings</t>
  </si>
  <si>
    <t>Kuiseb-Hope</t>
  </si>
  <si>
    <t>Oamites</t>
  </si>
  <si>
    <t>Okohongo</t>
  </si>
  <si>
    <t>Old Matchless</t>
  </si>
  <si>
    <t>Omitiomire</t>
  </si>
  <si>
    <t>Onganja (Elbe Onganja / Oganja)</t>
  </si>
  <si>
    <t>Ongombo</t>
  </si>
  <si>
    <t>Sib</t>
  </si>
  <si>
    <t>Tsongoari</t>
  </si>
  <si>
    <t>Tsumeb</t>
  </si>
  <si>
    <t>Tsumeb West</t>
  </si>
  <si>
    <t>Tsumeb West Tailings</t>
  </si>
  <si>
    <t>Uris</t>
  </si>
  <si>
    <t>Witvlei Pos</t>
  </si>
  <si>
    <t>Witvlei-Malachite Pan</t>
  </si>
  <si>
    <t>Witvlei-Okasewa</t>
  </si>
  <si>
    <t>Borosi Group-Rosita Stockpiles</t>
  </si>
  <si>
    <t>Nicaragua</t>
  </si>
  <si>
    <t>Borosi Group-Rosita Tailings</t>
  </si>
  <si>
    <t>Årdal</t>
  </si>
  <si>
    <t>Asoren</t>
  </si>
  <si>
    <t>Bidjovagge</t>
  </si>
  <si>
    <t>Birtavarre</t>
  </si>
  <si>
    <t>Bleikvassli</t>
  </si>
  <si>
    <t>Bursi</t>
  </si>
  <si>
    <t>Dalen</t>
  </si>
  <si>
    <t>Ertelien</t>
  </si>
  <si>
    <t>Fjeldgruve</t>
  </si>
  <si>
    <t>Fonnfjell</t>
  </si>
  <si>
    <t>Furuhaugen</t>
  </si>
  <si>
    <t>Gjersvik</t>
  </si>
  <si>
    <t>Grevdal</t>
  </si>
  <si>
    <t>Grimsdalen</t>
  </si>
  <si>
    <t>Karenhaugen</t>
  </si>
  <si>
    <t>Malsa</t>
  </si>
  <si>
    <t>Mofjellet</t>
  </si>
  <si>
    <t>Mos Gruve</t>
  </si>
  <si>
    <t>Nussir</t>
  </si>
  <si>
    <t>Rieppe (Riehppegaisa)</t>
  </si>
  <si>
    <t>Skiftesmyr</t>
  </si>
  <si>
    <t>Skrattåsen (Skratås-Skrattas)</t>
  </si>
  <si>
    <t>Snertingdal (Ringsjoen)</t>
  </si>
  <si>
    <t>Ulveryggen (Wolf Ridge/Repparfjord)</t>
  </si>
  <si>
    <t>Undal (Undals)</t>
  </si>
  <si>
    <t>Våddåss (Vaddas)</t>
  </si>
  <si>
    <t>Aswad</t>
  </si>
  <si>
    <t>Daris</t>
  </si>
  <si>
    <t>Ghuzayn</t>
  </si>
  <si>
    <t>Khaznah</t>
  </si>
  <si>
    <t>Mahab 4</t>
  </si>
  <si>
    <t>Maqail South</t>
  </si>
  <si>
    <t>Mandoos</t>
  </si>
  <si>
    <t>Washihi-Mullaq-Al Ajal</t>
  </si>
  <si>
    <t>Dasht-e-Kain</t>
  </si>
  <si>
    <t>Reko Diq JV</t>
  </si>
  <si>
    <t>Saindak (Sindak)</t>
  </si>
  <si>
    <t>Tanjeel</t>
  </si>
  <si>
    <t>Cerro Chorcha</t>
  </si>
  <si>
    <t>Cerro Colorado (Panama)</t>
  </si>
  <si>
    <t>Palmilla</t>
  </si>
  <si>
    <t>Arie</t>
  </si>
  <si>
    <t>Panguna-Bougainville</t>
  </si>
  <si>
    <t>Frieda River-Horse/Ivaal/Trukai</t>
  </si>
  <si>
    <t>Frieda River-Koki</t>
  </si>
  <si>
    <t>Frieda River-Ekwai</t>
  </si>
  <si>
    <t>Frieda River-Nena</t>
  </si>
  <si>
    <t>Frieda River-Ok Nerenere</t>
  </si>
  <si>
    <t>Kainantu</t>
  </si>
  <si>
    <t>Kili Teke</t>
  </si>
  <si>
    <t>MMJV-Nambonga</t>
  </si>
  <si>
    <t>Mount Kren</t>
  </si>
  <si>
    <t>Nakru-1 (Mount Nakru)</t>
  </si>
  <si>
    <t>Norac</t>
  </si>
  <si>
    <t>Simuku (Simku, Simiku)</t>
  </si>
  <si>
    <t>Sinivit-Kavursuki</t>
  </si>
  <si>
    <t>Solwara 1</t>
  </si>
  <si>
    <t>Solwara 12</t>
  </si>
  <si>
    <t>Star Mountains (Futik-Olgal-Nong River)</t>
  </si>
  <si>
    <t>Wamum</t>
  </si>
  <si>
    <t>Yandera</t>
  </si>
  <si>
    <t>Aguila</t>
  </si>
  <si>
    <t>AntaKori-Sinchao</t>
  </si>
  <si>
    <t>Antilla</t>
  </si>
  <si>
    <t>Ariana</t>
  </si>
  <si>
    <t>Berenguela</t>
  </si>
  <si>
    <t>Cerro Colorado (Peru)</t>
  </si>
  <si>
    <t>Cerro Negro</t>
  </si>
  <si>
    <t>Chapi</t>
  </si>
  <si>
    <t>Chucapaca-Canahuire</t>
  </si>
  <si>
    <t>Coroccohuayca</t>
  </si>
  <si>
    <t>Cotabambas</t>
  </si>
  <si>
    <t>Haquira</t>
  </si>
  <si>
    <t>Hilarión</t>
  </si>
  <si>
    <t>Invicta</t>
  </si>
  <si>
    <t>Jasperoide</t>
  </si>
  <si>
    <t>La Arena</t>
  </si>
  <si>
    <t>La Granja</t>
  </si>
  <si>
    <t>Lara (Peru)</t>
  </si>
  <si>
    <t>Los Calatos</t>
  </si>
  <si>
    <t>Los Chancas</t>
  </si>
  <si>
    <t>Los Pinos</t>
  </si>
  <si>
    <t>Madam Elvira</t>
  </si>
  <si>
    <t>Magistral</t>
  </si>
  <si>
    <t>Michiquillay</t>
  </si>
  <si>
    <t>Mina Justa (Marcona)</t>
  </si>
  <si>
    <t>Nazareth</t>
  </si>
  <si>
    <t>Ocaña-Irmin</t>
  </si>
  <si>
    <t>Pacococha</t>
  </si>
  <si>
    <t>Pashpap</t>
  </si>
  <si>
    <t>Pinaya</t>
  </si>
  <si>
    <t>Pukaqaqa</t>
  </si>
  <si>
    <t>Quechua</t>
  </si>
  <si>
    <t>Río Seco</t>
  </si>
  <si>
    <t>Rondoní</t>
  </si>
  <si>
    <t>San Gabriel (Canteras del Hallazgo)</t>
  </si>
  <si>
    <t>San Sebastian</t>
  </si>
  <si>
    <t>Santander-Magistral-Puajanca Soouth</t>
  </si>
  <si>
    <t>Tantahuatay</t>
  </si>
  <si>
    <t>Trapiche</t>
  </si>
  <si>
    <t>Vinchos</t>
  </si>
  <si>
    <t>Yanacocha-Conga</t>
  </si>
  <si>
    <t>Amacan</t>
  </si>
  <si>
    <t>Aya Aya</t>
  </si>
  <si>
    <t>Balak-5</t>
  </si>
  <si>
    <t>Balatoc</t>
  </si>
  <si>
    <t>Basay</t>
  </si>
  <si>
    <t>Batong Buhay</t>
  </si>
  <si>
    <t>Black Mountain (Kennon-Southeast)</t>
  </si>
  <si>
    <t>Boneng Lobo</t>
  </si>
  <si>
    <t>Botilao</t>
  </si>
  <si>
    <t>Comval Group</t>
  </si>
  <si>
    <t>Dilong (Hale-Mayabo)</t>
  </si>
  <si>
    <t>Dizon</t>
  </si>
  <si>
    <t>Dizon-Bayarong Tailings</t>
  </si>
  <si>
    <t>Far Southeast</t>
  </si>
  <si>
    <t>Hinoba-An (A1-Don Jose-Colet)</t>
  </si>
  <si>
    <t>Ino-Capayang</t>
  </si>
  <si>
    <t>Kilong-Olao (Kilongolao)</t>
  </si>
  <si>
    <t>Lumbay</t>
  </si>
  <si>
    <t>Luna-Asiga</t>
  </si>
  <si>
    <t>Manag</t>
  </si>
  <si>
    <t>Manlupo</t>
  </si>
  <si>
    <t>Mapula Group</t>
  </si>
  <si>
    <t>Marcopper-San Antonio</t>
  </si>
  <si>
    <t>Marian</t>
  </si>
  <si>
    <t>Matanlang (Larap)</t>
  </si>
  <si>
    <t>Palidan-Mohong Hill</t>
  </si>
  <si>
    <t>Pisumpan</t>
  </si>
  <si>
    <t>Puray</t>
  </si>
  <si>
    <t>Rapu Rapu (Ungay-Malobago)</t>
  </si>
  <si>
    <t>San Fabian</t>
  </si>
  <si>
    <t>Silangan-Bayugo</t>
  </si>
  <si>
    <t>Silangan-Boyongan</t>
  </si>
  <si>
    <t>Sipilay</t>
  </si>
  <si>
    <t>Saint Anthony (San Antonio-Philex)</t>
  </si>
  <si>
    <t>Sulat</t>
  </si>
  <si>
    <t>Suguibon</t>
  </si>
  <si>
    <t>Suluakan</t>
  </si>
  <si>
    <t>Tampakan</t>
  </si>
  <si>
    <t>Tawi-Tawi</t>
  </si>
  <si>
    <t>Victoria-Teresa</t>
  </si>
  <si>
    <t>Bytom Odrzański</t>
  </si>
  <si>
    <t>Głogów</t>
  </si>
  <si>
    <t>Myszków</t>
  </si>
  <si>
    <t>Niecka Grodziecka</t>
  </si>
  <si>
    <t>Nowy Kościół</t>
  </si>
  <si>
    <t>Radwanice-Gaworzyce</t>
  </si>
  <si>
    <t>Retków-Ścinawa</t>
  </si>
  <si>
    <t>Wartowice (Konrad-Grodziec)</t>
  </si>
  <si>
    <t>Aljustrel</t>
  </si>
  <si>
    <t>Aljustrel-Fetais</t>
  </si>
  <si>
    <t>Aljustrel-Gavião</t>
  </si>
  <si>
    <t>Aljustrel-Moinho</t>
  </si>
  <si>
    <t>Lagoa Salgada</t>
  </si>
  <si>
    <t>Salgadinho</t>
  </si>
  <si>
    <t>Cala Abajo</t>
  </si>
  <si>
    <t>Rio Vivi</t>
  </si>
  <si>
    <t>Tanama-Helecho</t>
  </si>
  <si>
    <t>Baia Borsa</t>
  </si>
  <si>
    <t>Baia Sprie</t>
  </si>
  <si>
    <t>Balta Plai</t>
  </si>
  <si>
    <t>Bolcana (Bolcana Troita)</t>
  </si>
  <si>
    <t>Bucium-Tarnita</t>
  </si>
  <si>
    <t>Cavnic-Boldut</t>
  </si>
  <si>
    <t>Deva</t>
  </si>
  <si>
    <t>Ilba-Handal</t>
  </si>
  <si>
    <t>Manaila</t>
  </si>
  <si>
    <t>Moldova Noua</t>
  </si>
  <si>
    <t>Musariu</t>
  </si>
  <si>
    <t>Roşia Poieni</t>
  </si>
  <si>
    <t>Rovina Valley (Rovina-Colnic-Ciresata)</t>
  </si>
  <si>
    <t>Sasca Montana</t>
  </si>
  <si>
    <t>Talagiu</t>
  </si>
  <si>
    <t>Agaksyr</t>
  </si>
  <si>
    <t>Aidyrlinskoe</t>
  </si>
  <si>
    <t>Ak-Sug (Aksug)</t>
  </si>
  <si>
    <t>Alexandrinka</t>
  </si>
  <si>
    <t>Amurskoe</t>
  </si>
  <si>
    <t>Bakr Tau</t>
  </si>
  <si>
    <t>Balta Tau</t>
  </si>
  <si>
    <t>Barsuchiy Log</t>
  </si>
  <si>
    <t>Birgilda</t>
  </si>
  <si>
    <t>Burpala</t>
  </si>
  <si>
    <t>Bystrinskoye</t>
  </si>
  <si>
    <t>Bystrinskoe</t>
  </si>
  <si>
    <t>Bystrinsko-Shirinskoye</t>
  </si>
  <si>
    <t>Chebache</t>
  </si>
  <si>
    <t>Chernogorskoe</t>
  </si>
  <si>
    <t>Dalnee (Russia)</t>
  </si>
  <si>
    <t>Degdenreken (Piritovoe)</t>
  </si>
  <si>
    <t>Dzhusinskoe</t>
  </si>
  <si>
    <t>Fedorova</t>
  </si>
  <si>
    <t>Gai (Gaiskoye)</t>
  </si>
  <si>
    <t>Ishkinino</t>
  </si>
  <si>
    <t>Ivanovskoe (Ivanovskaya)</t>
  </si>
  <si>
    <t>Kaluginskoe</t>
  </si>
  <si>
    <t>Kamenushinskoe</t>
  </si>
  <si>
    <t>Karakul</t>
  </si>
  <si>
    <t>Kasarginskoe</t>
  </si>
  <si>
    <t>Kholodninskoe</t>
  </si>
  <si>
    <t>Khotoidokh</t>
  </si>
  <si>
    <t>Kiyalykh-Uzen</t>
  </si>
  <si>
    <t>Kingash Group</t>
  </si>
  <si>
    <t>Komaganskoe</t>
  </si>
  <si>
    <t>Komsomolskoe</t>
  </si>
  <si>
    <t>Korbalikha</t>
  </si>
  <si>
    <t>Krasnoe</t>
  </si>
  <si>
    <t>Kultuminskaya (Kultuminskoye)</t>
  </si>
  <si>
    <t>Kyzyl Tashtyg (Tuva / Kyzyl-Tash Turk)</t>
  </si>
  <si>
    <t>Lekyn-Talbei</t>
  </si>
  <si>
    <t>Letnye</t>
  </si>
  <si>
    <t>Lora (Nakhtandjin)</t>
  </si>
  <si>
    <t>Maiskoe</t>
  </si>
  <si>
    <t>Malaya Pana-North Reef</t>
  </si>
  <si>
    <t>Malmyzh</t>
  </si>
  <si>
    <t>Maslovskoy</t>
  </si>
  <si>
    <t>Medgorskoe</t>
  </si>
  <si>
    <t>Miheevskoye</t>
  </si>
  <si>
    <t>North Kaluga</t>
  </si>
  <si>
    <t>Novo-Shemurskoe</t>
  </si>
  <si>
    <t>Obor</t>
  </si>
  <si>
    <t>Osennee</t>
  </si>
  <si>
    <t>Perevalny</t>
  </si>
  <si>
    <t>Peschanka (Baimskoe)</t>
  </si>
  <si>
    <t>Podolskoe</t>
  </si>
  <si>
    <t>Pravo Ingamakit</t>
  </si>
  <si>
    <t xml:space="preserve">Rubtzovskoe </t>
  </si>
  <si>
    <t>Safyanovka (Saf'yanovka, Safyanovskoe)</t>
  </si>
  <si>
    <t>Sakin-I / II</t>
  </si>
  <si>
    <t>Salavat (Salavatskoe)</t>
  </si>
  <si>
    <t>Sulban Group</t>
  </si>
  <si>
    <t>Shaktama (Shakhtama)</t>
  </si>
  <si>
    <t>Sibay</t>
  </si>
  <si>
    <t>Sorsk (Sora-Sorskoe)</t>
  </si>
  <si>
    <t>Srednaya Padma</t>
  </si>
  <si>
    <t>Sultanovskoe</t>
  </si>
  <si>
    <t>Talganskoe</t>
  </si>
  <si>
    <t>Tarnyerskoe</t>
  </si>
  <si>
    <t>Tarutino (Tarutinsk-Tarutinskoe)</t>
  </si>
  <si>
    <t>Tominskoe</t>
  </si>
  <si>
    <t>Tubinskoe</t>
  </si>
  <si>
    <t>Tundrovskoe</t>
  </si>
  <si>
    <t>Uchaly</t>
  </si>
  <si>
    <t>Unkur</t>
  </si>
  <si>
    <t>Urskoe</t>
  </si>
  <si>
    <t>Uzelginskoe</t>
  </si>
  <si>
    <t>Valentina</t>
  </si>
  <si>
    <t>Valentorskoe</t>
  </si>
  <si>
    <t>Verkhnee</t>
  </si>
  <si>
    <t>Vostochno-Semenovskoe</t>
  </si>
  <si>
    <t>Vuruchuayvench</t>
  </si>
  <si>
    <t>Yaman Kasy</t>
  </si>
  <si>
    <t>Yubilenoe (Shekarabulak-II) (Porphyry)</t>
  </si>
  <si>
    <t>Yubilenoe (VMS)</t>
  </si>
  <si>
    <t>Yulalinskoe</t>
  </si>
  <si>
    <t>Zakharovskoe</t>
  </si>
  <si>
    <t>Zapadno-Ashchebutakskoe</t>
  </si>
  <si>
    <t>Zapadno-Ozernoe</t>
  </si>
  <si>
    <t>Zhireken</t>
  </si>
  <si>
    <t>Zimnyee</t>
  </si>
  <si>
    <t>Ar Ridanyah</t>
  </si>
  <si>
    <t>Al Amar</t>
  </si>
  <si>
    <t>Al Gehab</t>
  </si>
  <si>
    <t>Al Hajar</t>
  </si>
  <si>
    <t>Al Halahila</t>
  </si>
  <si>
    <t>Al Masane-Al Kobra (AMAK)</t>
  </si>
  <si>
    <t>Al Mehdadah</t>
  </si>
  <si>
    <t>As Safra</t>
  </si>
  <si>
    <t>Ash Sha'ib</t>
  </si>
  <si>
    <t>Ash Shizm</t>
  </si>
  <si>
    <t>Farah Garan</t>
  </si>
  <si>
    <t>Jabal Murryyi</t>
  </si>
  <si>
    <t>Jadmah</t>
  </si>
  <si>
    <t>Kutam</t>
  </si>
  <si>
    <t>Mahd adh Dahab</t>
  </si>
  <si>
    <t>Nuqrah North/South</t>
  </si>
  <si>
    <t>Rabathan</t>
  </si>
  <si>
    <t>Samran</t>
  </si>
  <si>
    <t>Shaab at Tare (Shaib at Tare)</t>
  </si>
  <si>
    <t>Shi'ib Al Lamisah (Shaib Lamisah)</t>
  </si>
  <si>
    <t>Umm Ad Dabah</t>
  </si>
  <si>
    <t>Umm Ad Damar</t>
  </si>
  <si>
    <t>Ajvalija</t>
  </si>
  <si>
    <t>Bor</t>
  </si>
  <si>
    <t>Borska Reka</t>
  </si>
  <si>
    <t>Cerova-Cementacija 1</t>
  </si>
  <si>
    <t>Chadine</t>
  </si>
  <si>
    <t>Coka Kuruga</t>
  </si>
  <si>
    <t>Coka Marin</t>
  </si>
  <si>
    <t>Cukaru-Peki (Timok JV)</t>
  </si>
  <si>
    <t>Dumitru Potok</t>
  </si>
  <si>
    <t>Jama (Brezoni-T)</t>
  </si>
  <si>
    <t>Kosmaj Babe</t>
  </si>
  <si>
    <t>Lajkovaca</t>
  </si>
  <si>
    <t>Majdanpek</t>
  </si>
  <si>
    <t>Mali Krivelj</t>
  </si>
  <si>
    <t>Parlozi</t>
  </si>
  <si>
    <t>Rechitsa</t>
  </si>
  <si>
    <t>Stancha</t>
  </si>
  <si>
    <t>Surdulica Group</t>
  </si>
  <si>
    <t>Tolishnitsa</t>
  </si>
  <si>
    <t>Tulare (Kiseljak-Yellow Creek)</t>
  </si>
  <si>
    <t>Valja Strzh</t>
  </si>
  <si>
    <t>Veliki Krivelj</t>
  </si>
  <si>
    <t>Banska Stiavnica 3-Slovinky</t>
  </si>
  <si>
    <t>Slovakia</t>
  </si>
  <si>
    <t>Lubietova-Orsblie (Banska Bystrica)</t>
  </si>
  <si>
    <t>Roznava 2 (Strieborna-Maria)</t>
  </si>
  <si>
    <t>Ŝtiavnica Group</t>
  </si>
  <si>
    <t>Voznica (Hodrusa)</t>
  </si>
  <si>
    <t>Vysoká-Zlatno</t>
  </si>
  <si>
    <t>Koloula (Guadalcanal JV)</t>
  </si>
  <si>
    <t>Afplats-Leeuwkop Group</t>
  </si>
  <si>
    <t>Berg (South Africa)</t>
  </si>
  <si>
    <t>Boikgantsho</t>
  </si>
  <si>
    <t>Concordia-Carolusberg Tailings</t>
  </si>
  <si>
    <t>Grootboom Tailings</t>
  </si>
  <si>
    <t>Imbasa</t>
  </si>
  <si>
    <t>Impala (Pt only) Tailings</t>
  </si>
  <si>
    <t>Inkosi</t>
  </si>
  <si>
    <t>Khomanani</t>
  </si>
  <si>
    <t>Limpopo-Baobab/Doornvlei</t>
  </si>
  <si>
    <t>Limpopo-Zebediela</t>
  </si>
  <si>
    <t>Magazynskraal 3JQ</t>
  </si>
  <si>
    <t>Maseve-3</t>
  </si>
  <si>
    <t>O'Kiep Tailings</t>
  </si>
  <si>
    <t>Putsberg</t>
  </si>
  <si>
    <t>Rooderand (Platmin)</t>
  </si>
  <si>
    <t>Salt River</t>
  </si>
  <si>
    <t>Schietfontein</t>
  </si>
  <si>
    <t>Sedibelo</t>
  </si>
  <si>
    <t>Sedibelo West</t>
  </si>
  <si>
    <t>Volspruit (South Africa)</t>
  </si>
  <si>
    <t>Zilkaatsnek</t>
  </si>
  <si>
    <t>Geumryong</t>
  </si>
  <si>
    <t>South Korea</t>
  </si>
  <si>
    <t>Sinyemi</t>
  </si>
  <si>
    <t>Uljin</t>
  </si>
  <si>
    <t>Yeonhwa II</t>
  </si>
  <si>
    <t>Aguas Teñidas-La Magdalena</t>
  </si>
  <si>
    <t>Arinteiro</t>
  </si>
  <si>
    <t>Aznalcollar</t>
  </si>
  <si>
    <t>Bama</t>
  </si>
  <si>
    <t>Castillo Buitron</t>
  </si>
  <si>
    <t>Cueva de la Mora</t>
  </si>
  <si>
    <t>El Carpio</t>
  </si>
  <si>
    <t>Fornás</t>
  </si>
  <si>
    <t>Grupo Malagon</t>
  </si>
  <si>
    <t>La Esperanza (Angostura)</t>
  </si>
  <si>
    <t>La Romanera</t>
  </si>
  <si>
    <t>La Zarza</t>
  </si>
  <si>
    <t>Lagunazo</t>
  </si>
  <si>
    <t>Lomero-Poyatos</t>
  </si>
  <si>
    <t>Masa Valverde</t>
  </si>
  <si>
    <t>Monte Romero</t>
  </si>
  <si>
    <t>Poderosa</t>
  </si>
  <si>
    <t>San Miguel</t>
  </si>
  <si>
    <t>San Telmo</t>
  </si>
  <si>
    <t>Sierrecilla</t>
  </si>
  <si>
    <t>Sotiel-Migollas</t>
  </si>
  <si>
    <t>Toral</t>
  </si>
  <si>
    <t>Vuelta Falsa</t>
  </si>
  <si>
    <t>Abu Samar</t>
  </si>
  <si>
    <t>Sudan</t>
  </si>
  <si>
    <t>Hadayamet</t>
  </si>
  <si>
    <t>Hassaï South (VMS only)</t>
  </si>
  <si>
    <t>Hadal Awatib East</t>
  </si>
  <si>
    <t>Hofrat-en-Nasah</t>
  </si>
  <si>
    <t>South Sudan</t>
  </si>
  <si>
    <t>Adak</t>
  </si>
  <si>
    <t>Bjurliden</t>
  </si>
  <si>
    <t>Bjurtrask (Norra-Södra)</t>
  </si>
  <si>
    <t xml:space="preserve">Brännorna </t>
  </si>
  <si>
    <t>Bunsås</t>
  </si>
  <si>
    <t>Falun</t>
  </si>
  <si>
    <t>Gårkälen (Grakalen)</t>
  </si>
  <si>
    <t>Gelvenakko</t>
  </si>
  <si>
    <t>Gladhammar</t>
  </si>
  <si>
    <t>Huornaisenvuoma</t>
  </si>
  <si>
    <t>Kittelgruvan</t>
  </si>
  <si>
    <t>Lainejaur</t>
  </si>
  <si>
    <t>Laver</t>
  </si>
  <si>
    <t>Levimalmen (Levi)</t>
  </si>
  <si>
    <t>Lulepotten</t>
  </si>
  <si>
    <t>Mörkliden (1-2-4)</t>
  </si>
  <si>
    <t>Nautanen</t>
  </si>
  <si>
    <t>Norra-Barsele</t>
  </si>
  <si>
    <t>Norra-Norrliden</t>
  </si>
  <si>
    <t>Nyborg</t>
  </si>
  <si>
    <t>Pahtohavare</t>
  </si>
  <si>
    <t>Rakkurijarvi-Discovery Zone</t>
  </si>
  <si>
    <t>Remdalen (Ljusnedals Gruva )</t>
  </si>
  <si>
    <t>Rockliden</t>
  </si>
  <si>
    <t>Stekenjokk</t>
  </si>
  <si>
    <t>Storsjö Kapell</t>
  </si>
  <si>
    <t>Sylarna</t>
  </si>
  <si>
    <t>Tallberg</t>
  </si>
  <si>
    <t>Tjokkola</t>
  </si>
  <si>
    <t>Vindelgransele</t>
  </si>
  <si>
    <t>Viscaria</t>
  </si>
  <si>
    <t>Chimei</t>
  </si>
  <si>
    <t>Taiwan</t>
  </si>
  <si>
    <t>Mibango (Kapalagulu)</t>
  </si>
  <si>
    <t>Phu Lon</t>
  </si>
  <si>
    <t>Thailand</t>
  </si>
  <si>
    <t>PUT 1/2</t>
  </si>
  <si>
    <t>Akkoy</t>
  </si>
  <si>
    <t>Akarsen</t>
  </si>
  <si>
    <t>Asarcik</t>
  </si>
  <si>
    <t>Ayazmant</t>
  </si>
  <si>
    <t>Bakýrçay</t>
  </si>
  <si>
    <t>Balcili-Yüksekoba</t>
  </si>
  <si>
    <t>Balikesir-Havran-Tepeoba</t>
  </si>
  <si>
    <t>Başköy</t>
  </si>
  <si>
    <t>Borcka</t>
  </si>
  <si>
    <t>Cerattepe (Kafkasor)</t>
  </si>
  <si>
    <t>Cevizlidere</t>
  </si>
  <si>
    <t>Demirboku</t>
  </si>
  <si>
    <t>Dereköy-Karadere</t>
  </si>
  <si>
    <t>Ergani (Anayatak-Mihrapdag-Weiss)</t>
  </si>
  <si>
    <t>Gumushane</t>
  </si>
  <si>
    <t>Güselyayla (Güzelyayla-Maçka-Trabzon)</t>
  </si>
  <si>
    <t>Hacan</t>
  </si>
  <si>
    <t>Halilağa</t>
  </si>
  <si>
    <t>Hanönü</t>
  </si>
  <si>
    <t>Harkoy (Harkkoy)</t>
  </si>
  <si>
    <t>Hot Maden</t>
  </si>
  <si>
    <t>Ikiztepe Hill</t>
  </si>
  <si>
    <t>Ikiztepeler</t>
  </si>
  <si>
    <t>Irsahan</t>
  </si>
  <si>
    <t>Israil</t>
  </si>
  <si>
    <t>Kalkanli</t>
  </si>
  <si>
    <t>Kankoy</t>
  </si>
  <si>
    <t>Karakartal</t>
  </si>
  <si>
    <t>Kastamonu Küre (Asikoy)</t>
  </si>
  <si>
    <t>Kayabasi (Kankoy)</t>
  </si>
  <si>
    <t>Kisecik</t>
  </si>
  <si>
    <t>Kizilkaya</t>
  </si>
  <si>
    <t>Kostere</t>
  </si>
  <si>
    <t>Kotarakdere</t>
  </si>
  <si>
    <t>Küçükdağ-TV Tower</t>
  </si>
  <si>
    <t>Kure (Asikoy-Bakibaba)</t>
  </si>
  <si>
    <t>Kutlular (Sürmene)</t>
  </si>
  <si>
    <t>Kuvarshan</t>
  </si>
  <si>
    <t>Lahanos</t>
  </si>
  <si>
    <t>Mastra</t>
  </si>
  <si>
    <t>Meydancik</t>
  </si>
  <si>
    <t>Muratdere</t>
  </si>
  <si>
    <t>Murgul (Damar-Anayatak-Çakmakkaya)</t>
  </si>
  <si>
    <t>Ortaklar</t>
  </si>
  <si>
    <t>Salinbaş-Ardala</t>
  </si>
  <si>
    <t>Sarýçayýryayla</t>
  </si>
  <si>
    <t>Seyitler</t>
  </si>
  <si>
    <t>Siirt-Madenköy</t>
  </si>
  <si>
    <t>Sinkot</t>
  </si>
  <si>
    <t>Sukrupasa Group</t>
  </si>
  <si>
    <t>Tepeoba</t>
  </si>
  <si>
    <t>Topukdere</t>
  </si>
  <si>
    <t>Tunca</t>
  </si>
  <si>
    <t>Ulutaţ (Ulutaş)</t>
  </si>
  <si>
    <t>Yenice</t>
  </si>
  <si>
    <t>Yenipazar</t>
  </si>
  <si>
    <t>Ýkiztepe (Kýrklareli)</t>
  </si>
  <si>
    <t>Yusufeli-Taç (Red Mountain-Kizildag)</t>
  </si>
  <si>
    <t>Kasese-Kilembe</t>
  </si>
  <si>
    <t>Uganda</t>
  </si>
  <si>
    <t>Coed y Brenin</t>
  </si>
  <si>
    <t>UK</t>
  </si>
  <si>
    <t>Gairloch</t>
  </si>
  <si>
    <t>South Crofty-Upper Mine Zone</t>
  </si>
  <si>
    <t>Parys Mountain</t>
  </si>
  <si>
    <t>Ajo</t>
  </si>
  <si>
    <t>Alder Pond</t>
  </si>
  <si>
    <t>Allard</t>
  </si>
  <si>
    <t>Ambler</t>
  </si>
  <si>
    <t>Andersonville (Zone 18-24)</t>
  </si>
  <si>
    <t>Ann Mason</t>
  </si>
  <si>
    <t>Antler (Vendetta)</t>
  </si>
  <si>
    <t>B&amp;C Springs</t>
  </si>
  <si>
    <t>Back Forty</t>
  </si>
  <si>
    <t>Bald Mountain (Kirwin)</t>
  </si>
  <si>
    <t>Barrett</t>
  </si>
  <si>
    <t>Baultoff</t>
  </si>
  <si>
    <t>Bear-Lagomarsino</t>
  </si>
  <si>
    <t>Beavertown</t>
  </si>
  <si>
    <t>Bend</t>
  </si>
  <si>
    <t>Big Hill</t>
  </si>
  <si>
    <t>Black Butte-Johnyy Lee</t>
  </si>
  <si>
    <t>Blue Hill</t>
  </si>
  <si>
    <t>Blue Moon</t>
  </si>
  <si>
    <t>Bobcat Gulch</t>
  </si>
  <si>
    <t>Bond Creek</t>
  </si>
  <si>
    <t>Boss-Bixby</t>
  </si>
  <si>
    <t>BT</t>
  </si>
  <si>
    <t>Buckingham-Copper Basin (Nevada)</t>
  </si>
  <si>
    <t>C.O.D.-Kingman Tailings</t>
  </si>
  <si>
    <t>Caribou Dome (Denali)</t>
  </si>
  <si>
    <t>Carl Creek</t>
  </si>
  <si>
    <t>Carlota</t>
  </si>
  <si>
    <t>Catheart Mountain</t>
  </si>
  <si>
    <t>Cave Peak</t>
  </si>
  <si>
    <t>Chilito</t>
  </si>
  <si>
    <t>Christmas</t>
  </si>
  <si>
    <t>Coal Creek</t>
  </si>
  <si>
    <t>Cochise/Bisbee</t>
  </si>
  <si>
    <t>Contact</t>
  </si>
  <si>
    <t>Continental (Hanover Mountain)</t>
  </si>
  <si>
    <t>Copper Basin (Arizona)</t>
  </si>
  <si>
    <t>Copper Bullion (Rua Cove)</t>
  </si>
  <si>
    <t>Copper Creek</t>
  </si>
  <si>
    <t>Copper Flat</t>
  </si>
  <si>
    <t>Copper King</t>
  </si>
  <si>
    <t>Copperwood</t>
  </si>
  <si>
    <t>Creta</t>
  </si>
  <si>
    <t>Crypto</t>
  </si>
  <si>
    <t>Cumo</t>
  </si>
  <si>
    <t>Delta (DD North)</t>
  </si>
  <si>
    <t>Dragoon</t>
  </si>
  <si>
    <t>Dry Creek North</t>
  </si>
  <si>
    <t>Dunka Road (underground)</t>
  </si>
  <si>
    <t>DW-LP</t>
  </si>
  <si>
    <t>Dynamite</t>
  </si>
  <si>
    <t>Eisenbrey (Thornapple)</t>
  </si>
  <si>
    <t>Emerald Isle</t>
  </si>
  <si>
    <t>Emigrant Gulch</t>
  </si>
  <si>
    <t>Emigrant-DUV</t>
  </si>
  <si>
    <t>Empire</t>
  </si>
  <si>
    <t>Four Metals</t>
  </si>
  <si>
    <t>Gabbs Group</t>
  </si>
  <si>
    <t>Gibson (Summit)</t>
  </si>
  <si>
    <t>Glacier Peak</t>
  </si>
  <si>
    <t>Gold Mountain</t>
  </si>
  <si>
    <t>Haines Creek-Palmer</t>
  </si>
  <si>
    <t>Heddleston</t>
  </si>
  <si>
    <t>Hermosa-Central</t>
  </si>
  <si>
    <t>Hermosa-Taylor</t>
  </si>
  <si>
    <t>Horsfield</t>
  </si>
  <si>
    <t>Idaho Cobalt (Ram)</t>
  </si>
  <si>
    <t>Iron Creek</t>
  </si>
  <si>
    <t>JF</t>
  </si>
  <si>
    <t>Kasaan Peninsula</t>
  </si>
  <si>
    <t>Kay</t>
  </si>
  <si>
    <t>Kelsey</t>
  </si>
  <si>
    <t>Keweenaw-543S Copper</t>
  </si>
  <si>
    <t>Keweenaw Group</t>
  </si>
  <si>
    <t>Kona Dolomite</t>
  </si>
  <si>
    <t>Korn Kob</t>
  </si>
  <si>
    <t>Ledre Ridge</t>
  </si>
  <si>
    <t>Lights Creek (Superior-Moonlight-Engels)</t>
  </si>
  <si>
    <t>Lisbon Valley</t>
  </si>
  <si>
    <t>Lone Mountain (Upper Lake Valley)</t>
  </si>
  <si>
    <t>Lone Mountain (Lower Paleozoic)</t>
  </si>
  <si>
    <t>Lone Star (Freeport)</t>
  </si>
  <si>
    <t>Lone Star (Huakan)</t>
  </si>
  <si>
    <t>Longshot Ridge-Copper Queen</t>
  </si>
  <si>
    <t>Lonesome Pine-Esther</t>
  </si>
  <si>
    <t>Lynne</t>
  </si>
  <si>
    <t>MacArthur</t>
  </si>
  <si>
    <t>Mangum</t>
  </si>
  <si>
    <t>Margerie Glacier</t>
  </si>
  <si>
    <t>Maturi-Maturi Southwest</t>
  </si>
  <si>
    <t>Mazama</t>
  </si>
  <si>
    <t>Miami</t>
  </si>
  <si>
    <t>Middle Fork</t>
  </si>
  <si>
    <t>Mineral Butte</t>
  </si>
  <si>
    <t>Missoula National</t>
  </si>
  <si>
    <t>Montanore (Rock Lake)</t>
  </si>
  <si>
    <t>Moonlight (Engels-Superior)</t>
  </si>
  <si>
    <t>Mount Chase</t>
  </si>
  <si>
    <t>Mount Margaret</t>
  </si>
  <si>
    <t>Mount Tolman</t>
  </si>
  <si>
    <t>Needle Creek-Stinkingwater</t>
  </si>
  <si>
    <t>Niagara</t>
  </si>
  <si>
    <t>Niblack (Lookout-Trio)</t>
  </si>
  <si>
    <t>North Fork Snoqualmie River</t>
  </si>
  <si>
    <t>Nunatak</t>
  </si>
  <si>
    <t>O.K. (OK)</t>
  </si>
  <si>
    <t>Omar</t>
  </si>
  <si>
    <t>Oracle Ridge</t>
  </si>
  <si>
    <t>Orange Hill</t>
  </si>
  <si>
    <t>Ortiz-Lukas Canyon</t>
  </si>
  <si>
    <t>Palmer</t>
  </si>
  <si>
    <t>Pebble</t>
  </si>
  <si>
    <t>Pilot Mountain-Desert Mountain</t>
  </si>
  <si>
    <t>Pima</t>
  </si>
  <si>
    <t>Pine Flat</t>
  </si>
  <si>
    <t>Pinto Valley-Miami</t>
  </si>
  <si>
    <t>Pyramid</t>
  </si>
  <si>
    <t>Red Hills (Arizona)</t>
  </si>
  <si>
    <t>Red Hills (Texas)</t>
  </si>
  <si>
    <t>Red Ledge</t>
  </si>
  <si>
    <t>Red Mountain</t>
  </si>
  <si>
    <t>Resolution</t>
  </si>
  <si>
    <t>Revenue-Virginius</t>
  </si>
  <si>
    <t>Rialto</t>
  </si>
  <si>
    <t>Rock Creek</t>
  </si>
  <si>
    <t>Round Top</t>
  </si>
  <si>
    <t>San Manuel-Kalamazoo</t>
  </si>
  <si>
    <t>Sanchez</t>
  </si>
  <si>
    <t>SFS (Copper Queen)</t>
  </si>
  <si>
    <t>Sheep Mountain (Castle Cu)</t>
  </si>
  <si>
    <t>Silver Creek</t>
  </si>
  <si>
    <t>Snowstorm</t>
  </si>
  <si>
    <t>Southwest Tintic</t>
  </si>
  <si>
    <t>Squaw Peak</t>
  </si>
  <si>
    <t>Stray Elephant</t>
  </si>
  <si>
    <t>Strong &amp; Harris</t>
  </si>
  <si>
    <t>Sumdum</t>
  </si>
  <si>
    <t>Sun (Picnic Creek-Hot)</t>
  </si>
  <si>
    <t>Sunnyside</t>
  </si>
  <si>
    <t>Sunrise</t>
  </si>
  <si>
    <t>Sunshine-East Sunshine</t>
  </si>
  <si>
    <t>Superior East</t>
  </si>
  <si>
    <t>Swansea</t>
  </si>
  <si>
    <t>Taurus East/West</t>
  </si>
  <si>
    <t>Tohono</t>
  </si>
  <si>
    <t>Tomichi</t>
  </si>
  <si>
    <t>Turner-Albright</t>
  </si>
  <si>
    <t>Turquoise</t>
  </si>
  <si>
    <t>Twin Bridges</t>
  </si>
  <si>
    <t>Twin Buttes</t>
  </si>
  <si>
    <t>Two Peaks (Mine Canyon)</t>
  </si>
  <si>
    <t>Upper Kobuk-Arctic</t>
  </si>
  <si>
    <t>Upper Kobuk-Bornite/Ruby Creek</t>
  </si>
  <si>
    <t>Van Dyke</t>
  </si>
  <si>
    <t>Vekol Hills</t>
  </si>
  <si>
    <t>Ventura</t>
  </si>
  <si>
    <t>Vermillion River</t>
  </si>
  <si>
    <t>Victoria (Nevada) (incl. Stockpiles)</t>
  </si>
  <si>
    <t>Whistler</t>
  </si>
  <si>
    <t>White Mesa</t>
  </si>
  <si>
    <t>White Pine (Nonesuch)</t>
  </si>
  <si>
    <t>WTF</t>
  </si>
  <si>
    <t>Yerington</t>
  </si>
  <si>
    <t>Zackly</t>
  </si>
  <si>
    <t>Zonia</t>
  </si>
  <si>
    <t>Dalnee (Uzbekistan)</t>
  </si>
  <si>
    <t>Kal’makyr (Almalyk)</t>
  </si>
  <si>
    <t>Khandiza</t>
  </si>
  <si>
    <t>Kyzata</t>
  </si>
  <si>
    <t>Sarycheku</t>
  </si>
  <si>
    <t>Brisas</t>
  </si>
  <si>
    <t>De Lima II</t>
  </si>
  <si>
    <t>Sin Quyen</t>
  </si>
  <si>
    <t>Chambishi Cu-Co Tailings</t>
  </si>
  <si>
    <t>Cheowa-Chayinda-Chalimbana</t>
  </si>
  <si>
    <t>Kakoso Tailings</t>
  </si>
  <si>
    <t>Kalengwa (incl. Stockpiles)</t>
  </si>
  <si>
    <t>Kalengwa Tailings</t>
  </si>
  <si>
    <t>Kangaluwi-Chisawa-Kalulu</t>
  </si>
  <si>
    <t>Mkushi</t>
  </si>
  <si>
    <t>Mokambo</t>
  </si>
  <si>
    <t>Mopani-Nkana Tailings</t>
  </si>
  <si>
    <t>Mufumbwe</t>
  </si>
  <si>
    <t>Mwambashi</t>
  </si>
  <si>
    <t>Ndola</t>
  </si>
  <si>
    <t>Samba</t>
  </si>
  <si>
    <t>Sasare Eagle Eye</t>
  </si>
  <si>
    <t>Serui</t>
  </si>
  <si>
    <t>Deposit</t>
  </si>
  <si>
    <t>Mine Prod tNi</t>
  </si>
  <si>
    <t>ResV ktNi</t>
  </si>
  <si>
    <t>ResC ktNi</t>
  </si>
  <si>
    <t>Title</t>
  </si>
  <si>
    <t>Author</t>
  </si>
  <si>
    <t>An analysis of future platinum resources, emissions and waste streams using a system dynamic model of its intentional and non-intentional flows and stocks</t>
  </si>
  <si>
    <t>Elshkaki</t>
  </si>
  <si>
    <t>Platinum</t>
  </si>
  <si>
    <t>Variables modeled</t>
  </si>
  <si>
    <t>Copper demand, supply, and associated energy use to 2050</t>
  </si>
  <si>
    <t>Platinum accumulation and flows in landfill sites, construction materials and mineral waste</t>
  </si>
  <si>
    <t>Anthropogenic nickel supply, demand, and associated energy and water use</t>
  </si>
  <si>
    <t>Elshkaki et al.</t>
  </si>
  <si>
    <t>Total energy demand and total water demand</t>
  </si>
  <si>
    <t>Total energy demand</t>
  </si>
  <si>
    <t>Assessing environmental implications associated with global copper demand and supply scenarios from 2010 to 2050</t>
  </si>
  <si>
    <t>Kuipers et al.</t>
  </si>
  <si>
    <t>Modelling the material and energy costs of the transition to low-carbon energy</t>
  </si>
  <si>
    <t>Vidal et al.</t>
  </si>
  <si>
    <t>Energy consumption</t>
  </si>
  <si>
    <t>Mineral raw material requirements and associated climate-change impacts of the French energy transition by 2050</t>
  </si>
  <si>
    <t>Beylot et al.</t>
  </si>
  <si>
    <t>1975-2100</t>
  </si>
  <si>
    <t>2010-2050</t>
  </si>
  <si>
    <t>2000-2050</t>
  </si>
  <si>
    <t>2015-2050</t>
  </si>
  <si>
    <t>Electricity generation systems</t>
  </si>
  <si>
    <t>2012-2050</t>
  </si>
  <si>
    <t>Materials, energy, water, and emissions nexus impacts on the future contribution of pV solar technologies to global energy scenarios</t>
  </si>
  <si>
    <t>Aluminium, Cadmium, Chromium, Concrete, Copper, Gallium, Germanium, Indium, Iron, Lead, Molybdenum, Nickel, Selenium, Silver, Tellurium, Tin, Zinc</t>
  </si>
  <si>
    <t>Aluminium, Concrete, Copper, Steel</t>
  </si>
  <si>
    <t>Consider the marginal suppliers of copper concentrate, refined copper, aluminium and steel</t>
  </si>
  <si>
    <t>Global</t>
  </si>
  <si>
    <t>Global averages</t>
  </si>
  <si>
    <t>Spatial coverage of inventories</t>
  </si>
  <si>
    <t>Spatial coverage of impacts</t>
  </si>
  <si>
    <t>8 regions considered</t>
  </si>
  <si>
    <t>Scope: metals</t>
  </si>
  <si>
    <t>Scope: region</t>
  </si>
  <si>
    <t>Scope: period</t>
  </si>
  <si>
    <t>Method: demand estimation</t>
  </si>
  <si>
    <t>Method: impact assessment</t>
  </si>
  <si>
    <t>System dynamic model with GDP, per capita GDP, and population size as exogenous variables and the price as an endogenous variable.</t>
  </si>
  <si>
    <t xml:space="preserve">The value chain from primary extraction, use, end-of-life and recycling is modelled dynamically. </t>
  </si>
  <si>
    <t>Energy and water required and associated CO2 emissions</t>
  </si>
  <si>
    <t>Environmental Implications of Future Demand Scenarios for Metals</t>
  </si>
  <si>
    <t>Van der Voet et al.</t>
  </si>
  <si>
    <t>Aluminium, Copper, Iron, Lead, Nickel, Manganese, Zinc</t>
  </si>
  <si>
    <t>Understanding the future of lithium</t>
  </si>
  <si>
    <t>Ambrose and Kendall</t>
  </si>
  <si>
    <t>Scope: demand</t>
  </si>
  <si>
    <t>2018-2100</t>
  </si>
  <si>
    <t>Lithium ion batteries for light and heavy-duty vehicles and stationary applications</t>
  </si>
  <si>
    <t>Regional or site specific inventory</t>
  </si>
  <si>
    <t>Share of secondary production, changes in production sources (expansion of existing sites and development of new deposits) over time, variability in energy requirements and efficiency of production across lithium deposits depending on the type of deposit (pegmatite, rock minerals, brine) and the quality of the deposit (high or low grade).</t>
  </si>
  <si>
    <t>Exploring future copper demand, recycling and associated greenhouse gas emissions in the EU-28</t>
  </si>
  <si>
    <t>Ciacci et al.</t>
  </si>
  <si>
    <t>EU-28</t>
  </si>
  <si>
    <t>Energy scenarios from international agencies, academic institutes, fossil fuel firms, and those investigated by Carrington and Stephenson. Dynamic MFA to evaluate the metal demand from the scenarios.</t>
  </si>
  <si>
    <t>GHG emissions</t>
  </si>
  <si>
    <t>Assessing the future environmental impacts of copper production in China: Implications of the energy transition</t>
  </si>
  <si>
    <t>Dong et al.</t>
  </si>
  <si>
    <t>Difference between the European and the world electricity mix</t>
  </si>
  <si>
    <t>Difference between the Chinese and the world electricity mix</t>
  </si>
  <si>
    <t>Material-energy-water nexus: Modelling the long term implications of aluminium demand and supply on global climate change up to 2050</t>
  </si>
  <si>
    <t>Regional</t>
  </si>
  <si>
    <t>CO2 emissions</t>
  </si>
  <si>
    <t>Historical, Current, and Future Energy Demand from Global Copper Production and Its Impact on Climate Change</t>
  </si>
  <si>
    <t>Rötzer and Schmidt</t>
  </si>
  <si>
    <t>1930-2010</t>
  </si>
  <si>
    <t>Electricity mix by country</t>
  </si>
  <si>
    <t>Electricity mix by region</t>
  </si>
  <si>
    <t>Cumulative Energy Demand and Global Warming Potential</t>
  </si>
  <si>
    <t>Environmental impacts and demand-supply balance of minerals for the transition to a low-carbon energy system</t>
  </si>
  <si>
    <t>Watari et al.</t>
  </si>
  <si>
    <t>2015-2060</t>
  </si>
  <si>
    <t>Aluminium, Cadmium, Cobalt, Copper, Dysprosium, Gallium, Indium, Iron, Lithium, Neodymium, Nickel, Platinum, Selenium, Silver, Tellurium</t>
  </si>
  <si>
    <t>Dynamic analysis of future nickel demand, supply, and associated materials, energy, water, and carbon emissions in China</t>
  </si>
  <si>
    <t>Traditional applications, energy supply technologies, and electric vehicles</t>
  </si>
  <si>
    <t>Energy and CO2 emissions as a function of ore grade obtained based on data from Norgate and Jahanshi (2010), water intensity from Northey et al. (2014)</t>
  </si>
  <si>
    <t>Impact factors from the literature</t>
  </si>
  <si>
    <t>Energy, CO2 emissions and water required</t>
  </si>
  <si>
    <t>Environmental impacts of key metals’ supply and low-carbon technologies are likely to decrease in the future</t>
  </si>
  <si>
    <t>Guohua et al.</t>
  </si>
  <si>
    <t>Harpprecht et al.</t>
  </si>
  <si>
    <t>Copper, Lead, Nickel, Zinc</t>
  </si>
  <si>
    <t>Dynamic material flow-stock model, top down approach to estimate future demand in the end-use applications, and bottom up approach to estimate future demand in energy supply technologies and electric vehicles.</t>
  </si>
  <si>
    <t>Environmental impacts of the future supply of rare earths for magnet applications</t>
  </si>
  <si>
    <t>Langkau and Erdmann</t>
  </si>
  <si>
    <t>Dysprosium, Neodymium, Praseodymium, Terbium</t>
  </si>
  <si>
    <t>2013-2035</t>
  </si>
  <si>
    <t>Electric cars, wind power plants, electric bikes and other magnet applications</t>
  </si>
  <si>
    <t>Inventory by country/mining region</t>
  </si>
  <si>
    <t>Fossil fuel depletion, acidification, eutrophication, freshwater ecotoxicity, terrestrial ecotoxicity, global warming potential, human toxicity, ozone depletion, and photochemical oxidation.</t>
  </si>
  <si>
    <t>What future for primary aluminium production in a decarbonizing economy?</t>
  </si>
  <si>
    <t>Pedneault et al.</t>
  </si>
  <si>
    <t>Regional impacts per kg, global total impacts</t>
  </si>
  <si>
    <t>2005-2100</t>
  </si>
  <si>
    <t>2010-2030</t>
  </si>
  <si>
    <t>Global environmental cost of using rare earth elements in green energy technologies</t>
  </si>
  <si>
    <t>Golroudbary et al.</t>
  </si>
  <si>
    <t>15 REEs</t>
  </si>
  <si>
    <t>Demand projection considering global growth in population and economic activity, and the expansion of low-carbon technologies based on the IEA scenarios. Supply projection using a Hubbert Curve Model.</t>
  </si>
  <si>
    <t>Life-cycle emission rates of the energy sources are adapted from the GREET model (Wang et al., 2020b) and previous studies (Jin et al., 2018). GHG intensities are calculated by using IPCC AR5 100-year Global Warming Potential values.</t>
  </si>
  <si>
    <t>Green energy technologies</t>
  </si>
  <si>
    <t>The model consists of 1465 variables and parameters. The study does not take into account recycling.</t>
  </si>
  <si>
    <t>Impacts by country</t>
  </si>
  <si>
    <t>Inventory by country (not clear)</t>
  </si>
  <si>
    <t>Material requirements of global electricity sector pathways to 2050 and associated greenhouse gas emissions</t>
  </si>
  <si>
    <t>Kalt et al.</t>
  </si>
  <si>
    <t>Electricity infrastructures</t>
  </si>
  <si>
    <t>Aluminium, Concrete, Copper, Iron, Steel</t>
  </si>
  <si>
    <t>2017-2050</t>
  </si>
  <si>
    <t>Regional inventory for the electricity mix of smelting and casting</t>
  </si>
  <si>
    <t>Effects of the energy transition on environmental impacts of cobalt supply</t>
  </si>
  <si>
    <t>Van der Meide et al.</t>
  </si>
  <si>
    <t>Global copper cycles and greenhouse gas emissions in a 1.5 ◦C world</t>
  </si>
  <si>
    <t>Future greenhouse gas emissions from metal production: gaps and opportunities towards climate goals</t>
  </si>
  <si>
    <t>Yokoi et al.</t>
  </si>
  <si>
    <t>Aluminum, Copper, Iron, Lead, Nickel, Zinc</t>
  </si>
  <si>
    <t>2010-2100</t>
  </si>
  <si>
    <t>Total with a focus on clean technologies</t>
  </si>
  <si>
    <t>2020-2050</t>
  </si>
  <si>
    <t>Electricity Generation Technologies</t>
  </si>
  <si>
    <t>The implications of material and energy efficiencies for the climate change mitigation potential of global energy transition scenarios</t>
  </si>
  <si>
    <t>Aluminium, Cadmium, Chromium, Concrete, Copper, Dysprosium, Gallium, Germanium, Indium, Iron, Lead, Manganese, Molybdenum, Neodymium, Nickel, Praseodymium, Selenium, Silver, Tellurium, Terbium, Tin, Zinc</t>
  </si>
  <si>
    <t>Dynamic material flow analysis, coupled with a detailed dataset of GHG emission factors, the emissions budget, and optimization routines.</t>
  </si>
  <si>
    <t>The GHG emission intensities are assumed to change over time due to changes in electricity systems and ore grades (Ciacci et al., 2020; Kuipers et al., 2018; Van der Voet et al., 2019).</t>
  </si>
  <si>
    <t>Stock-driven approach, where per capita in-use metal stocks are assumed to be saturated at a certain GDP level. Future population and GDP from SSPs.</t>
  </si>
  <si>
    <t>Regression analysis with per capita GDP, the level of urbanization, and time as explanatory variables.</t>
  </si>
  <si>
    <t>Regression analysis with per capita GDP, the level of urbanization, and time as explanatory variables. GDP growth rate estimates are taken from the UN GEO-4 scenarios.</t>
  </si>
  <si>
    <t>Demand scenarios as specified by Elshkaki et al. (2018). Projections are derived based on global production in 2010, growth rates are connected to GDP/capita and adjusted for factors such as urbanization, material substitution, and technological development.</t>
  </si>
  <si>
    <t xml:space="preserve">Demand scenarios as specified by Elshkaki et al. (2016). </t>
  </si>
  <si>
    <t>Demand estimation based ased on a report from the French National Alliance for the Coordination of Research for Energy.</t>
  </si>
  <si>
    <t xml:space="preserve">Resource production model taken from Ambrose and Kendall (2019). The model minimizes the cost of annual production and production capacity of each mineral deposit based on the physical and economic properties of the deposit. </t>
  </si>
  <si>
    <t>Annual copper flows into use were estimated with material flow analysis. Regression analysis was applied to estimate the copper flows as a function of population, GDP, and the urbanization rate. UN GEO-4 scenarios were applied to the regression results to model development paths for copper demand.</t>
  </si>
  <si>
    <t>Dynamic stock model and scenario analysis involving a bottom-up approach based on government and related sectoral policies.</t>
  </si>
  <si>
    <t>Regression analysis, using the per capita GDP, the level of urbanization, and time as a proxy for time-dependent variables.</t>
  </si>
  <si>
    <t>not estimated, future impact are calculated by tCu</t>
  </si>
  <si>
    <t>Demand scenarios as specified by Van der Voet et al. (2019).</t>
  </si>
  <si>
    <t>Scenarios as specified by Marscheider-Weidemann et al. (2016). The study considers technological alternatives competing with the NdFeB magnet technology, makes assumptions concerning market diffusion of applications, market share of the NdFeB magnet technology, and success of material efficiency measures.</t>
  </si>
  <si>
    <t>Demand estimation taken from the IAI global alucycle, which is based on a dynamic material flow model.</t>
  </si>
  <si>
    <t>Scenario data on installed power plant capacities, electricity consumption, population development, etc. are obtained from the Integrated Assessment Modelling Consortium database. Electricity use and population development are used to estimate grid infrastructures development via linear regression models.</t>
  </si>
  <si>
    <t>See Van der Voet et al. (2019). Model the effects of population, metal intensity, economic growth, secondary metal production ratio and emission intensity individually via a logarithmic mean divisia index approach.</t>
  </si>
  <si>
    <t>Demand estimated using a multilevel dynamic material flow-stock model and based on several energy scenarios developed by the International Energy Agency (IEA) and Greenpeace (GP).</t>
  </si>
  <si>
    <t>Energy, water and CO2 emissions</t>
  </si>
  <si>
    <t>Electricity mix by region (not clear)</t>
  </si>
  <si>
    <t>Regional inventory for copper, global averages for the other metals</t>
  </si>
  <si>
    <t>Platinum production from primary and secondary resources, platinum intentional and non-intentional applications use and waste management and platinum flows and stocks in the environment.</t>
  </si>
  <si>
    <t>Share of secondary production, ore grade decline, energy increase due to ore grade decline, energy efficiency improvements.</t>
  </si>
  <si>
    <t>Share of secondary production, shares of laterite and sulfide resources in the largest Ni projects, average nickel ore grade in the largest Ni projects, relationships between ore grade and embedded energy for pyro- and hydrometallurgy production.</t>
  </si>
  <si>
    <t>Share of secondary production, changes in the background electricity supply mix based on the IEA World Energy Outlook, energy efficiency improvements in the foreground system, ore grade decline, pyro- and hydrometallurgical production rates.</t>
  </si>
  <si>
    <t>Share of secondary production.</t>
  </si>
  <si>
    <t>Share of secondary production, improvements in energy efficiency.</t>
  </si>
  <si>
    <t>Share of secondary production, market share of sub-technologies, material contents, lifetimes, energy efficiency improvements.</t>
  </si>
  <si>
    <t>Share of secondary production, change in the background electricity supply mix based on the IEA World Environmental Outlook, efficiency improvement in the foreground system, and ore grade decline.</t>
  </si>
  <si>
    <t>Current end-of-life recycling rate and near-perfect recycling conditions, relations between the metallurgical process, ore grade, the cumulative copper production and energy required for mining and processing, changes in the electricity mix based on the IEA World Energy Outlook, evolution of carbon intensity factors based on the IEA World Energy Outlook.</t>
  </si>
  <si>
    <t>Share of secondary production, changes in the background electricity supply mix based on the IEA, efficiency improvement in the foreground system, ore grade decline, and ratio between pyro/hydro primary production routes.</t>
  </si>
  <si>
    <t>The fraction of the demand that can be met by secondary sources is determined by historical demand, life time of Al applications, and their recycling rates and efficiencies; the energy required in each region and scenario is estimated based on the cumulative production in each region and scenario in the future, and the relations between cumulative production and energy in each region in the past; trends of historical market share are used to estimate the market share for each energy source in each region.</t>
  </si>
  <si>
    <t>OP mining: change to conveyor instead of diesel driven trucks. UG mining: shift to fully electric vehicles, changes in energy demand for drilling, hauling and ventilation.</t>
  </si>
  <si>
    <t>Share of secondary production, ore grade by region.</t>
  </si>
  <si>
    <t>Mined ore grade, primary production locations, energy-efficiency improvements of metal refining, shares of primary production routes, shares of primary and secondary production, changes in the electricity supply mix based on the results of the IAM IMAGE</t>
  </si>
  <si>
    <t>Changes in the LCA foreground system (mining processes) and background system (supply chains) modeled in different scenarios. Variations covered by sub-scenarios: success of Chinese REE consolidation strategy and environmental standards of REE mining and background processes. Mining sites most likely to contribute to global production were combined into sub-scenarios of supply according to multiple characteristics.</t>
  </si>
  <si>
    <t xml:space="preserve">The trends of the regional electricity mixes forecasted by the SSPs are extracted, and these trends are used to update the smelter electricity mixes. Energy intensity improvement, inert anode deployment. </t>
  </si>
  <si>
    <t>Share of secondary production, changing energy mix, technological progress toward low-carbon technologies (e.g. hydrogen-based steel production, carbon capture in the cement industry).</t>
  </si>
  <si>
    <t>Share of secondary production, shares of primary production routes, ore grade decline, energy and resources increase due to ore grade decline. Results of the IAM IMAGE incorporated in the updated database: electricity production efficiency and related emissions, regional representation of electricity markets, market shares of electricity producers.</t>
  </si>
  <si>
    <t>Two scenarios for energy and CO2 emissions intensities. The first assumes constant energy and CO2 emissions intensities. The second scenario assumes changing energy and CO2 emissions intensities for major metals and concrete based on several scenarios developed recently.</t>
  </si>
  <si>
    <t>Global warming, acidification potential, cumulative energy demand, terresterial ecotoxicity, freshwater ecotoxicity</t>
  </si>
  <si>
    <t>Impacts analyzed</t>
  </si>
  <si>
    <t>Climate Change</t>
  </si>
  <si>
    <t>Global warming, abiotic depletion potential, cumulative energy demand, land use, aquatic ecotoxicity (freshwater)</t>
  </si>
  <si>
    <t>Acidification potential, ecotoxicity potential, eutrophication potential, global warming potentia, human health particulate, human health cancer, human health non cancer, ozone depletion potential, smog formation potential</t>
  </si>
  <si>
    <t>Acidification, climate change, freshwater aquatic ecotoxicity, human toxicity, photochemical oxidation, abiotic depletion of resources-fossil fuels, abiotic depletion of resources-elements and cumulative energy demand.</t>
  </si>
  <si>
    <t>Climate change, ozone depletion potential, terrestrial acidification, freshwater eutrophication, marine eutrophication, human toxicity, photochemical oxidant formation, particulate matter formation, terrestrial ecotoxicity, freshwater ecotoxicity, marine ecotoxicity, ionizing radiation, agricultural land occupation, urban land occupation, natural land transformation, and water depletion in a single environmental score.</t>
  </si>
  <si>
    <t>Cumulative energy demand, particulate matter formation, photochemical oxidant formation, human toxicity, metal depletion and climate change</t>
  </si>
  <si>
    <t>Climate Change, Ecosystem Quality and Human Health</t>
  </si>
  <si>
    <t>REEs deposits depletion, energy and water consumption, as well as related emissions.</t>
  </si>
  <si>
    <t>Different projections for GHG intensities of materials.</t>
  </si>
  <si>
    <t>Fossil cumulative energy demand, particulate matter formation, metal depletion, human toxicity, photochemical oxidant formation and climate change.</t>
  </si>
  <si>
    <t>GHG emission intensities associated with primary and secondary refined production and direct smelting are based on life cycle assessment studies.</t>
  </si>
  <si>
    <t>Impact factors from Van der Voet et al. (2019).</t>
  </si>
  <si>
    <t>Impact factors from the literature.</t>
  </si>
  <si>
    <t>Consequential cradle-to-gate life cycle assessment using ecoinvent v3.0 and the impact category IPCC (100 years).</t>
  </si>
  <si>
    <t>Cradle-to-gate life cycle assessment using the database evoinvent 2.2 and the impact categories CML2022 and Cumulative Energy Demand. More specific data have been collected for several of the metals.</t>
  </si>
  <si>
    <t>Carbon intensities from the IEA.</t>
  </si>
  <si>
    <t>CO2 emissions are estimated in each region based on the amount of energy supplied by each energy source and CO2 emission factor of the energy source (VarunBhat and Prakash, 2009).</t>
  </si>
  <si>
    <t>Holistic process-based modelling approach, impact factors from the literature.</t>
  </si>
  <si>
    <t>Life cycle assessment using the database ecoinvent v3.3 and the impact categories TRACI.</t>
  </si>
  <si>
    <t>Life cycle assessment using the databse ecoinvent v3.4 and the impact categories CML2001, separate data were collected for the foreground processes.</t>
  </si>
  <si>
    <t>Life cycle assessment using the database ecoinvent v3.3 and the impact categories ReCiPe.</t>
  </si>
  <si>
    <t>Life cycle assessment using the database ecoinvent v3.5 and the impact categories ReCiPe 2008 and IPCC 2013 (100 years)</t>
  </si>
  <si>
    <t>Impact factors from the literature, the literature used the impact categories CML2002.</t>
  </si>
  <si>
    <t>Life cycle assessment using the database ecoinvent v3.5 and the impact categories Impact World +.</t>
  </si>
  <si>
    <t>Life cycle assessment using the database ecoinvent v3.6 and the impact categories ReCiPe 2016 and IPCC 2013 (100 years).</t>
  </si>
  <si>
    <t>Cradle-to-gate life cycle assessment using the database ecoinvent v2.2 and the impact categories CML2002 and Cumulative Energy Demand.</t>
  </si>
  <si>
    <t>Demand scenarios as specified by Wang et al. (2020), which uses a flexible bell-shaped curve-fitting model.</t>
  </si>
  <si>
    <t>Fuel cells</t>
  </si>
  <si>
    <t>Solar CSP</t>
  </si>
  <si>
    <t>Geothermal</t>
  </si>
  <si>
    <t>Biomass</t>
  </si>
  <si>
    <t>CCS</t>
  </si>
  <si>
    <t>Others</t>
  </si>
  <si>
    <t>Electricity Grids</t>
  </si>
  <si>
    <t>Total Material Requirement for the Global Energy Transition to 2050: A focus on transport and electricity</t>
  </si>
  <si>
    <t>Scenarios</t>
  </si>
  <si>
    <t>Methodology</t>
  </si>
  <si>
    <t>Model that quantifies resource flows of both minerals and energy resources under the energy transition by using stock-flow dynamics and the concept of Total Material Requirement (TMR). The model is applied to the International Energy Agency’s scenarios up to 2050, targeting 15 electricity generation and 5 transport technologies.</t>
  </si>
  <si>
    <t>IEA</t>
  </si>
  <si>
    <t>Enough Metals? Resource Constraints to Supply a Fully Renewable Energy System</t>
  </si>
  <si>
    <t>Moreau et al.</t>
  </si>
  <si>
    <t>Mass balance of 29 metals embodied in renewable energy technologies is compiled in order to satisfy global energy demand, based on five authoritative energy scenarios for 2050. The study expands upon these scenarios by modeling the storage capacity needed to support high shares of intermittent renewables (wind and solar).</t>
  </si>
  <si>
    <t>IPCC, WWF, IEA, IRENA</t>
  </si>
  <si>
    <t>Energy modeling approach to the global energy-mineral nexus: Exploring metal requirements and the well-below 2 °C target with 100 percent renewable energy</t>
  </si>
  <si>
    <t>In this paper, the material requirements for 2050 scenarios are assessed in terms of exergy to analyze the impact in natural resources in each scenario and identify which technologies are going to demand more resources.</t>
  </si>
  <si>
    <t>Global material requirements for the energy transition. An exergy flow analysis of decarbonisation pathways</t>
  </si>
  <si>
    <t>Valero et al.</t>
  </si>
  <si>
    <t>Tokimatsu et al.</t>
  </si>
  <si>
    <t xml:space="preserve">In this study a bottom-up cost-minimizing energy model is used to calculate aggregate metal requirements in different energy technology including hydrogen and climate policy scenarios and under a range of assumptions reflecting uncertainty in future metal intensities, recycling rate and life time of energy technologies. </t>
  </si>
  <si>
    <t>Three technology pathways are investigated: 100 percent renewables, coal &amp; nuclear and gas &amp; renewables, each under the two different climate policies: net zero emissions satisfying the well-below 2 °C target and business as usual without carbon constraints, resulting together in six scenarios.</t>
  </si>
  <si>
    <t>Material bottlenecks in the future development of green technologies</t>
  </si>
  <si>
    <t>Identification of bottlenecks is done using a combination of bottom-up and top-down approaches. Bottom-up approach: assessment, on a global basis, of the reserves, resources and estimated production trends for each commodity (assuming a Hubbert-like production trend). Top-down approach: assessment of material requirements for manufacturing green technologies assuming state of the art developments and competition for materials with the rest of sectors.</t>
  </si>
  <si>
    <t>EWEA, IEA, Green Peace</t>
  </si>
  <si>
    <t>Global metal flows in the renewable energy transition: Exploring the effects of substitutes, technological mix and development</t>
  </si>
  <si>
    <t>Månberger et al.</t>
  </si>
  <si>
    <t xml:space="preserve">This study analysed demand for 12 metals in global climate mitigation scenarios up to 2060 and quantified the impacts on demand of different assumptions on improvements and technological mix. </t>
  </si>
  <si>
    <t>Analysis of Potential for Critical Metal Resource Constraints in the International Energy Agency’s Long-Term Low-Carbon Energy Scenarios</t>
  </si>
  <si>
    <t>This paper undertakes the following: (1) Estimation of the impact of the expansion of low carbon energy technology on future metal demand based, on the International Energy Agency (IEA)’s scenarios; (2) estimation of the potential effects of low carbon energy technology recycling on the future supply-demand balance; (3) identification of critical metals that require priority measures.</t>
  </si>
  <si>
    <t>Scenarios for Demand Growth of Metals in Electricity Generation Technologies, Cars, and Electronic Appliances</t>
  </si>
  <si>
    <t>Deetman et al.</t>
  </si>
  <si>
    <t>IMAGE</t>
  </si>
  <si>
    <t>Metal supply constraints for a low-carbon economy?</t>
  </si>
  <si>
    <t>de Koning et al.</t>
  </si>
  <si>
    <t>3 scenarios developped by the authors and 1 scenario of the IEA</t>
  </si>
  <si>
    <t>Energy modeling approach to the global energy-mineral nexus: A first look at metal requirements and the 2 °C target</t>
  </si>
  <si>
    <t>This study estimates the metal requirement for various power generation technology mix scenarios by using a cost-minimizing energy model on the global energy-mineral nexus. Based on the future additions of various power generation technologies, metal requirements and cumulative production were estimated in zero-order and conservative scenarios, to compare with production levels in 2015 and reserves.</t>
  </si>
  <si>
    <t>Scenarios developped by the authors</t>
  </si>
  <si>
    <t>The Role of Critical Minerals in Clean Energy Transitions</t>
  </si>
  <si>
    <t>For each of the clean energy technologies, the overall mineral demand is estimated using four main variables: Clean energy deployment trends under different scenarios: World Energy Outlook 2020, Energy Technology Perspectives 2020; Sub-technology shares within each technology area: World Energy Outlook 2020, Energy Technology Perspectives 2020, Global EV Outlook; Mineral intensity of each sub-technology: extensive literature review; Mineral intensity improvements.</t>
  </si>
  <si>
    <t>Minerals for Climate Action: The Mineral Intensity of the Clean Energy Transition</t>
  </si>
  <si>
    <t>World Bank</t>
  </si>
  <si>
    <t>A literature scoping study and interviews with clean energy experts were conducted to review mineral use in electricity generation and energy storage technologies for clean and conventional energy. This information was then used to develop the assumptions used in the model to estimate annual mineral demand.</t>
  </si>
  <si>
    <t>IEA, IRENA</t>
  </si>
  <si>
    <t>Requirements for Minerals and Metals for 100% Renewable Scenarios</t>
  </si>
  <si>
    <t>Giurco et al.</t>
  </si>
  <si>
    <t>This chapter explores the magnitude of the changes in patterns of material use that will be associated with the increasing deployment of renewable energy and discusses the implications for sustainable development. In particular, this chapter focuses on the increased use of lithium and cobalt, metals which are used extensively in battery technologies, and silver used in solar cells.</t>
  </si>
  <si>
    <t>Increase in demand for critical materials under IEA Net-Zero emission by 2050 scenario</t>
  </si>
  <si>
    <t>Liang et al.</t>
  </si>
  <si>
    <t>Scenario-based dynamic material stock flow model to calculate the critical material requirements of major low-carbon technologies under the newly released International Energy Agency (IEA) NZE by 2050 scenario.</t>
  </si>
  <si>
    <t>Projected material requirements for the global electricity infrastructure – generation, transmission and storage</t>
  </si>
  <si>
    <t>The study analyses how the global material stocks and flows related to the electricity sector may develop towards 2050. The study focuses on three electricity sub-systems, being generation, transmission and storage and present a model covering both bulk and critical materials such as steel, aluminium and neodymium. Results are based on the second Shared Socio-Economic Pathway scenario, with additional climate policy assumptions based on the IMAGE integrated assessment framework, in combination with dynamic stock modelling and an elaborate review of material intensities.</t>
  </si>
  <si>
    <t>The stumbling block in 'the race of our lives': transition-critical materials, financial risks and the NGFS Climate Scenarios</t>
  </si>
  <si>
    <t>Climate Scenarios of the Network for Greening the Financial System</t>
  </si>
  <si>
    <t>This paper empirically estimates the material demand requirements for ‘Transition-Critical Materials’ (TCMs) implied under two NGFS Climate Scenarios, namely the ‘Net Zero by 2050’ and ‘Delayed Transition’ scenarios. We apply material intensity estimates to the underlying assumptions on the deployment of low-carbon technologies to determine the implied material demand between 2021 and 2040 for nine TCMs.</t>
  </si>
  <si>
    <t>cum_demand</t>
  </si>
  <si>
    <t>Time Horizon</t>
  </si>
  <si>
    <t>Global Metal Market</t>
  </si>
  <si>
    <t xml:space="preserve">This study estimatey the required extraction of Fe, Al, Cu, Ni, Cr, In, Nd, Dy, Li, Zn, and Pb until 2050 under several technology-specific low-carbon scenarios. The novel aspect of their method is that specific data on the metal requirements for low-carbon energy and energy technologies are analyzed in combination with long-term socio-economic scenarios implemented in a global multi-regional Input-Output model, which captures the global metal requirements and global greenhouse gas emissions of the global economy. </t>
  </si>
  <si>
    <t>The study shows how highly technology-specific data on products and material flows can be used in integrated assessment models to assess global resource and metal demand. They use the Shared Socio-economic Pathways as implemented by the IMAGE integrated assessment model as a starting point. This allows us to translate information on the use of electronic appliances, cars, and renewable energy technologies into quantitative data on metal flows, through application of metal content estimates in combination with a dynamic stock model.</t>
  </si>
  <si>
    <t>Global metal market with a focus on solar power systems, wind power systems and next-generation vehicles</t>
  </si>
  <si>
    <t>The Grantham Research Institute on Climate Change</t>
  </si>
  <si>
    <t>GCC</t>
  </si>
  <si>
    <t>Asia</t>
  </si>
  <si>
    <t>Netherlands</t>
  </si>
  <si>
    <t>New Zealand</t>
  </si>
  <si>
    <t>Qatar</t>
  </si>
  <si>
    <t>Slovenia</t>
  </si>
  <si>
    <t>Tajikistan</t>
  </si>
  <si>
    <t>United Arab Emirates</t>
  </si>
  <si>
    <t>United Kingdom</t>
  </si>
  <si>
    <t>electricity production, at natural gas-fired combined cycle power plant, post, pipeline 200km, storage 1000m</t>
  </si>
  <si>
    <t>electricity production, wind, 1-3MW turbine, offshore</t>
  </si>
  <si>
    <t>electricity production, at biomass-fired IGCC power plant</t>
  </si>
  <si>
    <t>electricity production, hard coal</t>
  </si>
  <si>
    <t>electricity production, lignite</t>
  </si>
  <si>
    <t>electricity production, at hard coal-fired IGCC power plant, pre, pipeline 200km, storage 1000m</t>
  </si>
  <si>
    <t>electricity production, at lignite-fired IGCC power plant, pre, pipeline 200km, storage 1000m</t>
  </si>
  <si>
    <t>electricity production, natural gas, subcritical, steam cycle</t>
  </si>
  <si>
    <t>electricity production, natural gas, combined cycle power plant</t>
  </si>
  <si>
    <t>electricity production, at biomass-fired IGCC power plant, pre, pipeline 200km, storage 1000m</t>
  </si>
  <si>
    <t>electricity production, at hard coal-fired IGCC power plant</t>
  </si>
  <si>
    <t>electricity production, at lignite-fired IGCC power plant</t>
  </si>
  <si>
    <t>heat and power co-generation, hard coal</t>
  </si>
  <si>
    <t>electricity production, solar tower power plant, 20 MW</t>
  </si>
  <si>
    <t>electricity production, solar thermal parabolic trough, 50 MW</t>
  </si>
  <si>
    <t>electricity production, nuclear, pressure water reactor</t>
  </si>
  <si>
    <t>electricity production, nuclear, boiling water reactor</t>
  </si>
  <si>
    <t>electricity production, wind, 1-3MW turbine, onshore</t>
  </si>
  <si>
    <t>electricity production, wind, &lt;1MW turbine, onshore</t>
  </si>
  <si>
    <t>heat and power co-generation, wood chips, 6667 kW</t>
  </si>
  <si>
    <t>electricity production, at hard coal-fired power plant, oxy, pipeline 200km, storage 1000m</t>
  </si>
  <si>
    <t>electricity production, at hard coal-fired power plant, post, pipeline 200km, storage 1000m</t>
  </si>
  <si>
    <t>electricity production, at lignite-fired power plant, oxy, pipeline 200km, storage 1000m</t>
  </si>
  <si>
    <t>electricity production, at lignite-fired power plant, post, pipeline 200km, storage 1000m</t>
  </si>
  <si>
    <t>heat and power co-generation, natural gas, conventional power plant, 100MW electrical</t>
  </si>
  <si>
    <t>electricity production, oil</t>
  </si>
  <si>
    <t>electricity production, deep geothermal</t>
  </si>
  <si>
    <t>electricity production, photovoltaic, commercial</t>
  </si>
  <si>
    <t>Solar</t>
  </si>
  <si>
    <t>metal</t>
  </si>
  <si>
    <t>alu</t>
  </si>
  <si>
    <t>lithium</t>
  </si>
  <si>
    <t>Korea, North</t>
  </si>
  <si>
    <t>Korea, Republic of</t>
  </si>
  <si>
    <t>Austria</t>
  </si>
  <si>
    <t>arsine</t>
  </si>
  <si>
    <t>Mine Prod tCu</t>
  </si>
  <si>
    <t>Prod Leach tCu</t>
  </si>
  <si>
    <t>Prod Smelter Primary tCu</t>
  </si>
  <si>
    <t>Prod Smelter Secondary tCu</t>
  </si>
  <si>
    <t>Prod Refinery Primary tCu</t>
  </si>
  <si>
    <t>Prod Refinery Secondary tCu</t>
  </si>
  <si>
    <t>boric oxide</t>
  </si>
  <si>
    <t>RU</t>
  </si>
  <si>
    <t>platinum group metal, extraction and refinery operations</t>
  </si>
  <si>
    <t>ZA</t>
  </si>
  <si>
    <t>JPN</t>
  </si>
  <si>
    <t>Colonne4</t>
  </si>
  <si>
    <t>market for copper, cathode (SM)</t>
  </si>
  <si>
    <t>Year</t>
  </si>
  <si>
    <t>Bosnia and Herzegovina</t>
  </si>
  <si>
    <t>Primary production kt</t>
  </si>
  <si>
    <t>IAI Area</t>
  </si>
  <si>
    <t>Western &amp; Central Europe</t>
  </si>
  <si>
    <t>Secondary production kt</t>
  </si>
  <si>
    <t>Share old scrap</t>
  </si>
  <si>
    <t>Primary production %</t>
  </si>
  <si>
    <t>Secondary production %</t>
  </si>
  <si>
    <t>primary production</t>
  </si>
  <si>
    <t>secondary production old scrap</t>
  </si>
  <si>
    <t>secondary production new scrap</t>
  </si>
  <si>
    <t>production pathway</t>
  </si>
  <si>
    <t>Note: share primary = 1-share secondary</t>
  </si>
  <si>
    <t>market for boric oxide</t>
  </si>
  <si>
    <t>market for ferrochromium, high-carbon, 68% Cr</t>
  </si>
  <si>
    <t>market for arsine</t>
  </si>
  <si>
    <t>market for graphite, battery grade</t>
  </si>
  <si>
    <t>market for lithium carbonate, battery grade</t>
  </si>
  <si>
    <t>market for manganese sulfate</t>
  </si>
  <si>
    <t>Iridium</t>
  </si>
  <si>
    <t>market for tin</t>
  </si>
  <si>
    <t>vanadium pentoxide production</t>
  </si>
  <si>
    <t>Colonne2</t>
  </si>
  <si>
    <t>new share to eliminate biomass, geothermal</t>
  </si>
  <si>
    <t>electricity production, wind, &gt;3MW turbine, onshore</t>
  </si>
  <si>
    <t>electricity production, nuclear, pressure water reactor, heavy water moderated</t>
  </si>
  <si>
    <t>electricity production, from hydrogen-fired one gigawatt gas turbine</t>
  </si>
  <si>
    <t>Colonne3</t>
  </si>
  <si>
    <t>Colonne5</t>
  </si>
  <si>
    <t>Colonne6</t>
  </si>
  <si>
    <t>Colonne7</t>
  </si>
  <si>
    <t>Colonne8</t>
  </si>
  <si>
    <t>Colonne9</t>
  </si>
  <si>
    <t>Colonne10</t>
  </si>
  <si>
    <t>Colonne11</t>
  </si>
  <si>
    <t>Colonne12</t>
  </si>
  <si>
    <t>Colonne13</t>
  </si>
  <si>
    <t>Colonne14</t>
  </si>
  <si>
    <t>comment</t>
  </si>
  <si>
    <t>remind</t>
  </si>
  <si>
    <t>chinese smelter mix calculated from the trends of the chinese mix</t>
  </si>
  <si>
    <t>IAI (2022)</t>
  </si>
  <si>
    <t>Materials</t>
  </si>
  <si>
    <t>Smelting16</t>
  </si>
  <si>
    <t>Smelting7</t>
  </si>
  <si>
    <t>Secondary production</t>
  </si>
  <si>
    <t>metals</t>
  </si>
  <si>
    <t>ecoinvent</t>
  </si>
  <si>
    <t>the share between the primary production pathways stay constant, see code</t>
  </si>
  <si>
    <t>chinese mix calculated by premise from remind</t>
  </si>
  <si>
    <t>primary, liquid, prebake</t>
  </si>
  <si>
    <t>Mine Prod %</t>
  </si>
  <si>
    <t>Prod Smelter Primary %</t>
  </si>
  <si>
    <t>market for nickel, class 1 (SM)</t>
  </si>
  <si>
    <t>market for aluminium, wrought alloy (SM)</t>
  </si>
  <si>
    <t>market for cobalt sulfate (SM)</t>
  </si>
  <si>
    <t>Reference Product</t>
  </si>
  <si>
    <t>graphite, battery grade</t>
  </si>
  <si>
    <t>lithium carbonate, battery grade</t>
  </si>
  <si>
    <t>iridium</t>
  </si>
  <si>
    <t>vanadium pentoxide</t>
  </si>
  <si>
    <t>Ferromanganese</t>
  </si>
  <si>
    <t>Ferronickel</t>
  </si>
  <si>
    <t>market for lithium carbonate, battery grade (SM)</t>
  </si>
  <si>
    <t>Market</t>
  </si>
  <si>
    <t>Secondary Producion Old Scrap</t>
  </si>
  <si>
    <t>Secondary Producion New Scrap</t>
  </si>
  <si>
    <t>Location</t>
  </si>
  <si>
    <t>Source: IEA (2021), The role of critical minerals in clean energy transitions</t>
  </si>
  <si>
    <t>Region REMIND</t>
  </si>
  <si>
    <t>IEA (2023), Energy Technology Perspectives</t>
  </si>
  <si>
    <t>Note: total copper demand from IEA (2021), The role of critical minerals in clean energy transitions</t>
  </si>
  <si>
    <t>Note: share of secondary production from IEA (2023), Energy Technology Perspectives</t>
  </si>
  <si>
    <t>Source: Mudd (2018) , Growing Global Copper Resources, Reserves and Production: Discovery Is Not the Only Control on Supply</t>
  </si>
  <si>
    <t>Source: USGS, 2019</t>
  </si>
  <si>
    <t>Note: total nickel demand from IEA (2021), The role of critical minerals in clean energy transitions</t>
  </si>
  <si>
    <t>Source: Mudd (2014), A Detailed Assessment of Global Nickel Resource Trends and Endowments</t>
  </si>
  <si>
    <t>Source : International Aluminium Institute</t>
  </si>
  <si>
    <t>Source: IAI,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</si>
</sst>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 #,##0_ ;_ * \-#,##0_ ;_ * &quot;-&quot;_ ;_ @_ "/>
    <numFmt numFmtId="165" formatCode="_-* #,##0.00_-;\-* #,##0.00_-;_-* &quot;-&quot;??_-;_-@_-"/>
    <numFmt numFmtId="166" formatCode="0.0"/>
    <numFmt numFmtId="167" formatCode="0.0000"/>
    <numFmt numFmtId="168" formatCode="0.000"/>
    <numFmt numFmtId="169" formatCode="_(* #,##0.00_);_(* \(#,##0.00\);_(* &quot;-&quot;??_);_(@_)"/>
    <numFmt numFmtId="170" formatCode="0.0%"/>
    <numFmt numFmtId="171" formatCode="0.00000"/>
    <numFmt numFmtId="172" formatCode="0.0000000000000000000000"/>
    <numFmt numFmtId="173" formatCode="0.0000%"/>
    <numFmt numFmtId="174" formatCode="0.0000000%"/>
    <numFmt numFmtId="175" formatCode="0.00000000000000000000"/>
  </numFmts>
  <fonts count="21" x14ac:knownFonts="1">
    <font>
      <sz val="10"/>
      <color rgb="FF000000"/>
      <name val="Arial"/>
      <scheme val="minor"/>
    </font>
    <font>
      <sz val="10"/>
      <color theme="1"/>
      <name val="Arial"/>
      <family val="2"/>
    </font>
    <font>
      <sz val="10"/>
      <color rgb="FF000000"/>
      <name val="Arial"/>
      <family val="2"/>
      <scheme val="minor"/>
    </font>
    <font>
      <sz val="11"/>
      <color indexed="8"/>
      <name val="Calibri"/>
      <family val="2"/>
    </font>
    <font>
      <sz val="11"/>
      <color theme="1"/>
      <name val="Arial"/>
      <family val="2"/>
      <scheme val="minor"/>
    </font>
    <font>
      <sz val="8"/>
      <name val="Arial"/>
      <family val="2"/>
      <scheme val="minor"/>
    </font>
    <font>
      <b/>
      <sz val="10"/>
      <color rgb="FF000000"/>
      <name val="Arial"/>
      <family val="2"/>
      <scheme val="minor"/>
    </font>
    <font>
      <sz val="10"/>
      <color rgb="FF000000"/>
      <name val="Arial"/>
      <family val="2"/>
      <scheme val="minor"/>
    </font>
    <font>
      <b/>
      <sz val="11"/>
      <color theme="1"/>
      <name val="Arial"/>
      <family val="2"/>
      <scheme val="minor"/>
    </font>
    <font>
      <b/>
      <sz val="12"/>
      <color rgb="FF000000"/>
      <name val="Times New Roman"/>
      <family val="1"/>
    </font>
    <font>
      <sz val="12"/>
      <color rgb="FF000000"/>
      <name val="Times New Roman"/>
      <family val="1"/>
    </font>
    <font>
      <sz val="12"/>
      <color theme="1"/>
      <name val="Arial"/>
      <family val="2"/>
      <scheme val="minor"/>
    </font>
    <font>
      <sz val="10"/>
      <color theme="2" tint="-0.249977111117893"/>
      <name val="Arial"/>
      <family val="2"/>
      <scheme val="minor"/>
    </font>
    <font>
      <sz val="10"/>
      <color theme="3"/>
      <name val="Arial"/>
      <family val="2"/>
      <scheme val="minor"/>
    </font>
    <font>
      <sz val="10"/>
      <color theme="1"/>
      <name val="Arial"/>
      <family val="2"/>
      <scheme val="minor"/>
    </font>
    <font>
      <b/>
      <sz val="10"/>
      <color theme="2" tint="-0.249977111117893"/>
      <name val="Arial"/>
      <family val="2"/>
      <scheme val="minor"/>
    </font>
    <font>
      <b/>
      <sz val="10"/>
      <color theme="0" tint="-0.249977111117893"/>
      <name val="Arial"/>
      <family val="2"/>
      <scheme val="minor"/>
    </font>
    <font>
      <b/>
      <sz val="10"/>
      <color theme="3"/>
      <name val="Arial"/>
      <family val="2"/>
      <scheme val="minor"/>
    </font>
    <font>
      <b/>
      <sz val="13"/>
      <color rgb="FF000000"/>
      <name val="Times New Roman"/>
      <family val="1"/>
    </font>
    <font>
      <sz val="13"/>
      <color rgb="FF000000"/>
      <name val="Times New Roman"/>
      <family val="1"/>
    </font>
    <font>
      <sz val="13"/>
      <color theme="1"/>
      <name val="Times New Roman"/>
      <family val="1"/>
    </font>
  </fonts>
  <fills count="3">
    <fill>
      <patternFill patternType="none"/>
    </fill>
    <fill>
      <patternFill patternType="gray125"/>
    </fill>
    <fill>
      <patternFill patternType="solid">
        <fgColor theme="4" tint="0.59999389629810485"/>
        <bgColor indexed="64"/>
      </patternFill>
    </fill>
  </fills>
  <borders count="7">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0">
    <xf numFmtId="0" fontId="0" fillId="0" borderId="0"/>
    <xf numFmtId="164" fontId="4" fillId="0" borderId="1" applyFont="0" applyFill="0" applyBorder="0" applyAlignment="0" applyProtection="0"/>
    <xf numFmtId="165" fontId="3" fillId="0" borderId="1" applyFont="0" applyFill="0" applyBorder="0" applyAlignment="0" applyProtection="0"/>
    <xf numFmtId="9" fontId="7" fillId="0" borderId="0" applyFont="0" applyFill="0" applyBorder="0" applyAlignment="0" applyProtection="0"/>
    <xf numFmtId="0" fontId="4" fillId="0" borderId="1"/>
    <xf numFmtId="169" fontId="11" fillId="0" borderId="1" applyFont="0" applyFill="0" applyBorder="0" applyAlignment="0" applyProtection="0"/>
    <xf numFmtId="0" fontId="11" fillId="0" borderId="1"/>
    <xf numFmtId="0" fontId="11" fillId="0" borderId="1"/>
    <xf numFmtId="169" fontId="11" fillId="0" borderId="1" applyFont="0" applyFill="0" applyBorder="0" applyAlignment="0" applyProtection="0"/>
    <xf numFmtId="0" fontId="11" fillId="0" borderId="1"/>
  </cellStyleXfs>
  <cellXfs count="103">
    <xf numFmtId="0" fontId="0" fillId="0" borderId="0" xfId="0"/>
    <xf numFmtId="0" fontId="1" fillId="0" borderId="1" xfId="0" applyFont="1" applyBorder="1"/>
    <xf numFmtId="0" fontId="1" fillId="0" borderId="0" xfId="0" applyFont="1"/>
    <xf numFmtId="0" fontId="0" fillId="0" borderId="1" xfId="0" applyBorder="1"/>
    <xf numFmtId="0" fontId="2" fillId="0" borderId="1" xfId="0" applyFont="1" applyBorder="1"/>
    <xf numFmtId="0" fontId="2" fillId="0" borderId="0" xfId="0" applyFont="1"/>
    <xf numFmtId="2" fontId="0" fillId="0" borderId="0" xfId="0" applyNumberFormat="1"/>
    <xf numFmtId="2" fontId="0" fillId="0" borderId="1" xfId="0" applyNumberFormat="1" applyBorder="1"/>
    <xf numFmtId="1" fontId="0" fillId="0" borderId="1" xfId="0" applyNumberFormat="1" applyBorder="1"/>
    <xf numFmtId="166" fontId="0" fillId="0" borderId="0" xfId="0" applyNumberFormat="1"/>
    <xf numFmtId="1" fontId="0" fillId="0" borderId="0" xfId="0" applyNumberFormat="1"/>
    <xf numFmtId="1" fontId="2" fillId="0" borderId="0" xfId="0" applyNumberFormat="1" applyFont="1"/>
    <xf numFmtId="2" fontId="2" fillId="0" borderId="0" xfId="0" applyNumberFormat="1" applyFont="1"/>
    <xf numFmtId="11" fontId="0" fillId="0" borderId="0" xfId="0" applyNumberFormat="1"/>
    <xf numFmtId="0" fontId="6" fillId="0" borderId="0" xfId="0" applyFont="1"/>
    <xf numFmtId="0" fontId="2" fillId="0" borderId="0" xfId="0" applyFont="1" applyAlignment="1">
      <alignment wrapText="1"/>
    </xf>
    <xf numFmtId="167" fontId="0" fillId="0" borderId="0" xfId="0" applyNumberFormat="1"/>
    <xf numFmtId="168" fontId="0" fillId="0" borderId="0" xfId="0" applyNumberFormat="1"/>
    <xf numFmtId="0" fontId="0" fillId="0" borderId="0" xfId="0" applyAlignment="1">
      <alignment wrapText="1"/>
    </xf>
    <xf numFmtId="11" fontId="6" fillId="0" borderId="0" xfId="0" applyNumberFormat="1" applyFont="1"/>
    <xf numFmtId="167" fontId="2" fillId="0" borderId="0" xfId="0" applyNumberFormat="1" applyFont="1"/>
    <xf numFmtId="168" fontId="2" fillId="0" borderId="0" xfId="0" applyNumberFormat="1" applyFont="1"/>
    <xf numFmtId="11" fontId="2" fillId="0" borderId="0" xfId="0" applyNumberFormat="1" applyFont="1"/>
    <xf numFmtId="14" fontId="0" fillId="0" borderId="0" xfId="0" applyNumberFormat="1"/>
    <xf numFmtId="167" fontId="2" fillId="2" borderId="0" xfId="0" applyNumberFormat="1" applyFont="1" applyFill="1"/>
    <xf numFmtId="0" fontId="4" fillId="0" borderId="1" xfId="4"/>
    <xf numFmtId="0" fontId="8" fillId="0" borderId="2" xfId="4" applyFont="1" applyBorder="1" applyAlignment="1">
      <alignment horizontal="center" vertical="top"/>
    </xf>
    <xf numFmtId="9" fontId="0" fillId="0" borderId="0" xfId="3" applyFont="1"/>
    <xf numFmtId="9" fontId="0" fillId="0" borderId="0" xfId="0" applyNumberFormat="1"/>
    <xf numFmtId="9" fontId="0" fillId="0" borderId="1" xfId="3" applyFont="1" applyFill="1" applyBorder="1"/>
    <xf numFmtId="168" fontId="0" fillId="0" borderId="1" xfId="0" applyNumberFormat="1" applyBorder="1"/>
    <xf numFmtId="0" fontId="0" fillId="0" borderId="1" xfId="3" applyNumberFormat="1" applyFont="1" applyFill="1" applyBorder="1"/>
    <xf numFmtId="11" fontId="4" fillId="0" borderId="1" xfId="4" applyNumberFormat="1"/>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center"/>
    </xf>
    <xf numFmtId="0" fontId="9" fillId="0" borderId="3" xfId="0" applyFont="1" applyBorder="1" applyAlignment="1">
      <alignment wrapText="1"/>
    </xf>
    <xf numFmtId="0" fontId="10" fillId="0" borderId="0" xfId="0" applyFont="1" applyAlignment="1">
      <alignment wrapText="1"/>
    </xf>
    <xf numFmtId="170" fontId="0" fillId="0" borderId="0" xfId="3" applyNumberFormat="1" applyFont="1"/>
    <xf numFmtId="170" fontId="0" fillId="0" borderId="0" xfId="0" applyNumberFormat="1"/>
    <xf numFmtId="9" fontId="0" fillId="0" borderId="1" xfId="3" applyFont="1" applyBorder="1"/>
    <xf numFmtId="0" fontId="13" fillId="0" borderId="1" xfId="0" applyFont="1" applyBorder="1"/>
    <xf numFmtId="0" fontId="13" fillId="0" borderId="1" xfId="0" applyFont="1" applyBorder="1" applyAlignment="1">
      <alignment horizontal="center" vertical="center" wrapText="1"/>
    </xf>
    <xf numFmtId="9" fontId="12" fillId="0" borderId="0" xfId="0" applyNumberFormat="1" applyFont="1"/>
    <xf numFmtId="9" fontId="12" fillId="0" borderId="1" xfId="0" applyNumberFormat="1" applyFont="1" applyBorder="1"/>
    <xf numFmtId="9" fontId="12" fillId="0" borderId="0" xfId="3" applyFont="1"/>
    <xf numFmtId="9" fontId="6" fillId="0" borderId="0" xfId="3" applyFont="1"/>
    <xf numFmtId="9" fontId="6" fillId="0" borderId="0" xfId="0" applyNumberFormat="1" applyFont="1"/>
    <xf numFmtId="168" fontId="6" fillId="0" borderId="0" xfId="0" applyNumberFormat="1" applyFont="1"/>
    <xf numFmtId="9" fontId="6" fillId="0" borderId="1" xfId="0" applyNumberFormat="1" applyFont="1" applyBorder="1"/>
    <xf numFmtId="9" fontId="6" fillId="0" borderId="0" xfId="3" quotePrefix="1" applyFont="1"/>
    <xf numFmtId="3" fontId="0" fillId="0" borderId="0" xfId="0" applyNumberFormat="1"/>
    <xf numFmtId="9" fontId="13" fillId="0" borderId="1" xfId="0" applyNumberFormat="1" applyFont="1" applyBorder="1"/>
    <xf numFmtId="172" fontId="0" fillId="0" borderId="0" xfId="0" applyNumberFormat="1"/>
    <xf numFmtId="171" fontId="0" fillId="0" borderId="0" xfId="0" applyNumberFormat="1"/>
    <xf numFmtId="168" fontId="0" fillId="0" borderId="0" xfId="3" applyNumberFormat="1" applyFont="1"/>
    <xf numFmtId="1" fontId="2" fillId="0" borderId="0" xfId="0" applyNumberFormat="1" applyFont="1" applyAlignment="1">
      <alignment wrapText="1"/>
    </xf>
    <xf numFmtId="1" fontId="14" fillId="0" borderId="0" xfId="0" applyNumberFormat="1" applyFont="1"/>
    <xf numFmtId="10" fontId="0" fillId="0" borderId="1" xfId="3" applyNumberFormat="1" applyFont="1" applyBorder="1"/>
    <xf numFmtId="10" fontId="0" fillId="0" borderId="0" xfId="3" applyNumberFormat="1" applyFont="1"/>
    <xf numFmtId="0" fontId="6" fillId="0" borderId="1" xfId="0" applyFont="1" applyBorder="1"/>
    <xf numFmtId="9" fontId="6" fillId="0" borderId="1" xfId="3" applyFont="1" applyBorder="1"/>
    <xf numFmtId="9" fontId="15" fillId="0" borderId="1" xfId="0" applyNumberFormat="1" applyFont="1" applyBorder="1"/>
    <xf numFmtId="9" fontId="15" fillId="0" borderId="0" xfId="0" applyNumberFormat="1" applyFont="1"/>
    <xf numFmtId="170" fontId="15" fillId="0" borderId="0" xfId="0" applyNumberFormat="1" applyFont="1"/>
    <xf numFmtId="10" fontId="6" fillId="0" borderId="0" xfId="0" applyNumberFormat="1" applyFont="1"/>
    <xf numFmtId="9" fontId="16" fillId="0" borderId="0" xfId="0" applyNumberFormat="1" applyFont="1"/>
    <xf numFmtId="10" fontId="15" fillId="0" borderId="0" xfId="0" applyNumberFormat="1" applyFont="1"/>
    <xf numFmtId="170" fontId="15" fillId="0" borderId="1" xfId="0" applyNumberFormat="1" applyFont="1" applyBorder="1"/>
    <xf numFmtId="10" fontId="15" fillId="0" borderId="1" xfId="0" applyNumberFormat="1" applyFont="1" applyBorder="1"/>
    <xf numFmtId="170" fontId="0" fillId="0" borderId="1" xfId="3" applyNumberFormat="1" applyFont="1" applyBorder="1"/>
    <xf numFmtId="173" fontId="15" fillId="0" borderId="0" xfId="0" applyNumberFormat="1" applyFont="1"/>
    <xf numFmtId="174" fontId="15" fillId="0" borderId="0" xfId="0" applyNumberFormat="1" applyFont="1"/>
    <xf numFmtId="0" fontId="17" fillId="0" borderId="1" xfId="0" applyFont="1" applyBorder="1"/>
    <xf numFmtId="0" fontId="17" fillId="0" borderId="1" xfId="0" applyFont="1" applyBorder="1" applyAlignment="1">
      <alignment horizontal="center" vertical="center" wrapText="1"/>
    </xf>
    <xf numFmtId="9" fontId="17" fillId="0" borderId="1" xfId="0" applyNumberFormat="1" applyFont="1" applyBorder="1"/>
    <xf numFmtId="175" fontId="0" fillId="0" borderId="0" xfId="0" applyNumberFormat="1"/>
    <xf numFmtId="168" fontId="14" fillId="0" borderId="0" xfId="0" applyNumberFormat="1" applyFont="1"/>
    <xf numFmtId="0" fontId="18" fillId="0" borderId="4" xfId="0" applyFont="1" applyBorder="1" applyAlignment="1">
      <alignment vertical="center" wrapText="1"/>
    </xf>
    <xf numFmtId="0" fontId="18" fillId="0" borderId="3" xfId="0" applyFont="1" applyBorder="1" applyAlignment="1">
      <alignment vertical="center" wrapText="1"/>
    </xf>
    <xf numFmtId="0" fontId="18" fillId="0" borderId="4" xfId="0" applyFont="1" applyBorder="1" applyAlignment="1">
      <alignment horizontal="center" vertical="center" wrapText="1"/>
    </xf>
    <xf numFmtId="0" fontId="19" fillId="0" borderId="0" xfId="0" applyFont="1" applyAlignment="1">
      <alignment vertical="center" wrapText="1"/>
    </xf>
    <xf numFmtId="0" fontId="19" fillId="0" borderId="0" xfId="0" applyFont="1" applyAlignment="1">
      <alignment horizontal="center" vertical="center" wrapText="1"/>
    </xf>
    <xf numFmtId="0" fontId="19" fillId="0" borderId="1" xfId="0" applyFont="1" applyBorder="1" applyAlignment="1">
      <alignment horizontal="left" vertical="center" wrapText="1"/>
    </xf>
    <xf numFmtId="0" fontId="19" fillId="0" borderId="1" xfId="0" applyFont="1" applyBorder="1" applyAlignment="1">
      <alignment horizontal="center" vertical="center" wrapText="1"/>
    </xf>
    <xf numFmtId="0" fontId="20" fillId="0" borderId="0" xfId="0" applyFont="1" applyAlignment="1">
      <alignment horizontal="left" vertical="center" wrapText="1"/>
    </xf>
    <xf numFmtId="0" fontId="2" fillId="0" borderId="1" xfId="0" applyFont="1" applyBorder="1" applyAlignment="1">
      <alignment wrapText="1"/>
    </xf>
    <xf numFmtId="0" fontId="0" fillId="0" borderId="1" xfId="0" applyBorder="1" applyAlignment="1">
      <alignment wrapText="1"/>
    </xf>
    <xf numFmtId="0" fontId="18" fillId="0" borderId="3" xfId="0" applyFont="1" applyBorder="1" applyAlignment="1">
      <alignment wrapText="1"/>
    </xf>
    <xf numFmtId="0" fontId="18" fillId="0" borderId="3" xfId="0" applyFont="1" applyBorder="1" applyAlignment="1">
      <alignment horizontal="left" wrapText="1"/>
    </xf>
    <xf numFmtId="0" fontId="18" fillId="0" borderId="5" xfId="0" applyFont="1" applyBorder="1" applyAlignment="1">
      <alignment wrapText="1"/>
    </xf>
    <xf numFmtId="0" fontId="18" fillId="0" borderId="1" xfId="0" applyFont="1" applyBorder="1" applyAlignment="1">
      <alignment wrapText="1"/>
    </xf>
    <xf numFmtId="0" fontId="18" fillId="0" borderId="6" xfId="0" applyFont="1" applyBorder="1" applyAlignment="1">
      <alignment wrapText="1"/>
    </xf>
    <xf numFmtId="0" fontId="19" fillId="0" borderId="0" xfId="0" applyFont="1" applyAlignment="1">
      <alignment wrapText="1"/>
    </xf>
    <xf numFmtId="0" fontId="19" fillId="0" borderId="0" xfId="0" applyFont="1" applyAlignment="1">
      <alignment horizontal="left" wrapText="1"/>
    </xf>
    <xf numFmtId="0" fontId="19" fillId="0" borderId="1" xfId="0" applyFont="1" applyBorder="1" applyAlignment="1">
      <alignment wrapText="1"/>
    </xf>
    <xf numFmtId="0" fontId="19" fillId="0" borderId="0" xfId="0" applyFont="1"/>
    <xf numFmtId="0" fontId="19" fillId="0" borderId="0" xfId="0" applyFont="1" applyAlignment="1">
      <alignment horizontal="left"/>
    </xf>
    <xf numFmtId="0" fontId="19" fillId="0" borderId="1" xfId="0" applyFont="1" applyBorder="1"/>
    <xf numFmtId="0" fontId="6" fillId="0" borderId="1" xfId="0" applyFont="1" applyBorder="1" applyAlignment="1">
      <alignment horizontal="left" vertical="center" wrapText="1"/>
    </xf>
    <xf numFmtId="0" fontId="2" fillId="0" borderId="0" xfId="0" applyFont="1" applyAlignment="1">
      <alignment horizontal="left" vertical="center" wrapText="1"/>
    </xf>
    <xf numFmtId="0" fontId="13" fillId="0" borderId="1" xfId="0" applyFont="1" applyBorder="1" applyAlignment="1">
      <alignment horizontal="left" vertical="center" wrapText="1"/>
    </xf>
    <xf numFmtId="0" fontId="2" fillId="0" borderId="1" xfId="0" applyFont="1" applyBorder="1" applyAlignment="1">
      <alignment horizontal="left" vertical="center" wrapText="1"/>
    </xf>
  </cellXfs>
  <cellStyles count="10">
    <cellStyle name="Comma 2" xfId="5" xr:uid="{E70F1BD0-0950-9647-A0FA-163EBAB808B8}"/>
    <cellStyle name="Comma 4" xfId="8" xr:uid="{5F3EA5D7-5382-B140-A969-802765D28980}"/>
    <cellStyle name="Millares [0] 3" xfId="1" xr:uid="{36BF7125-F855-0544-9EFE-E87754C62902}"/>
    <cellStyle name="Millares_ANU 2009(34a37-49-52a54)" xfId="2" xr:uid="{2542F2F3-2431-1748-95D6-80C437EA8B6A}"/>
    <cellStyle name="Normal" xfId="0" builtinId="0"/>
    <cellStyle name="Normal 2" xfId="4" xr:uid="{31058482-890C-BC4D-BBDD-084BA54E9CC0}"/>
    <cellStyle name="Normal 3" xfId="6" xr:uid="{9C3C72EF-8CB5-B945-8E72-07DE2FC5CC1F}"/>
    <cellStyle name="Normal 5" xfId="7" xr:uid="{EA178AE2-1C03-3047-921E-C70EB057D9B3}"/>
    <cellStyle name="Normal 7" xfId="9" xr:uid="{122B6E77-7307-8C4A-A45B-1DD4B6D0D911}"/>
    <cellStyle name="Pourcentage" xfId="3" builtinId="5"/>
  </cellStyles>
  <dxfs count="140">
    <dxf>
      <numFmt numFmtId="0" formatCode="Genera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b/>
        <i val="0"/>
        <strike val="0"/>
        <condense val="0"/>
        <extend val="0"/>
        <outline val="0"/>
        <shadow val="0"/>
        <u val="none"/>
        <vertAlign val="baseline"/>
        <sz val="11"/>
        <color theme="1"/>
        <name val="Arial"/>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Arial"/>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numFmt numFmtId="2" formatCode="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8" formatCode="0.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numFmt numFmtId="1" formatCode="0"/>
    </dxf>
    <dxf>
      <numFmt numFmtId="1" formatCode="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numFmt numFmtId="166" formatCode="0.0"/>
    </dxf>
    <dxf>
      <numFmt numFmtId="2" formatCode="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color theme="4" tint="-0.499984740745262"/>
      </font>
      <fill>
        <patternFill>
          <bgColor theme="4" tint="0.59996337778862885"/>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numFmt numFmtId="166"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2"/>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left"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font>
        <strike val="0"/>
        <outline val="0"/>
        <shadow val="0"/>
        <u val="none"/>
        <vertAlign val="baseline"/>
        <sz val="13"/>
        <color rgb="FF000000"/>
        <name val="Times New Roman"/>
        <family val="1"/>
        <scheme val="none"/>
      </font>
      <alignment horizontal="general" vertical="bottom" textRotation="0" wrapText="1" indent="0" justifyLastLine="0" shrinkToFit="0" readingOrder="0"/>
    </dxf>
    <dxf>
      <border outline="0">
        <top style="thin">
          <color indexed="64"/>
        </top>
      </border>
    </dxf>
    <dxf>
      <font>
        <strike val="0"/>
        <outline val="0"/>
        <shadow val="0"/>
        <u val="none"/>
        <vertAlign val="baseline"/>
        <sz val="12"/>
        <color rgb="FF000000"/>
        <name val="Times New Roman"/>
        <family val="1"/>
        <scheme val="none"/>
      </font>
      <alignment horizontal="general"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rgb="FF000000"/>
        <name val="Times New Roman"/>
        <family val="1"/>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3"/>
        <color rgb="FF000000"/>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3"/>
        <color rgb="FF000000"/>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strike val="0"/>
        <outline val="0"/>
        <shadow val="0"/>
        <u val="none"/>
        <vertAlign val="baseline"/>
        <sz val="13"/>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3"/>
        <color rgb="FF000000"/>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13"/>
        <color rgb="FF000000"/>
        <name val="Times New Roman"/>
        <family val="1"/>
        <scheme val="none"/>
      </font>
      <alignment vertical="center" textRotation="0" wrapText="1" indent="0" justifyLastLine="0" shrinkToFit="0" readingOrder="0"/>
    </dxf>
    <dxf>
      <font>
        <b val="0"/>
        <i val="0"/>
        <strike val="0"/>
        <condense val="0"/>
        <extend val="0"/>
        <outline val="0"/>
        <shadow val="0"/>
        <u val="none"/>
        <vertAlign val="baseline"/>
        <sz val="13"/>
        <color rgb="FF000000"/>
        <name val="Times New Roman"/>
        <family val="1"/>
        <scheme val="none"/>
      </font>
      <alignment horizontal="general" vertical="center" textRotation="0" wrapText="1" indent="0" justifyLastLine="0" shrinkToFit="0" readingOrder="0"/>
    </dxf>
    <dxf>
      <border outline="0">
        <top style="thin">
          <color indexed="64"/>
        </top>
      </border>
    </dxf>
    <dxf>
      <font>
        <strike val="0"/>
        <outline val="0"/>
        <shadow val="0"/>
        <u val="none"/>
        <vertAlign val="baseline"/>
        <sz val="13"/>
        <name val="Times New Roman"/>
        <family val="1"/>
        <scheme val="none"/>
      </font>
      <alignment vertical="center" textRotation="0" wrapText="1" indent="0" justifyLastLine="0" shrinkToFit="0" readingOrder="0"/>
    </dxf>
    <dxf>
      <font>
        <b/>
        <i val="0"/>
        <strike val="0"/>
        <condense val="0"/>
        <extend val="0"/>
        <outline val="0"/>
        <shadow val="0"/>
        <u val="none"/>
        <vertAlign val="baseline"/>
        <sz val="13"/>
        <color rgb="FF000000"/>
        <name val="Times New Roman"/>
        <family val="1"/>
        <scheme val="none"/>
      </font>
      <alignmen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styles" Target="styles.xml"/><Relationship Id="rId3" Type="http://schemas.openxmlformats.org/officeDocument/2006/relationships/worksheet" Target="worksheets/sheet3.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36"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lcia_cum_NZE_ei39!$I$1</c:f>
              <c:strCache>
                <c:ptCount val="1"/>
                <c:pt idx="0">
                  <c:v>IMPACT World+ Midpoint 2.0.1 | Midpoint | Climate change, long term</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lcia_cum_NZE_ei39!$I$2:$I$29</c:f>
              <c:numCache>
                <c:formatCode>General</c:formatCode>
                <c:ptCount val="28"/>
                <c:pt idx="0">
                  <c:v>7725523090450.4268</c:v>
                </c:pt>
                <c:pt idx="1">
                  <c:v>306204493.59028113</c:v>
                </c:pt>
                <c:pt idx="2">
                  <c:v>156422828.80457029</c:v>
                </c:pt>
                <c:pt idx="3">
                  <c:v>84591024914.633347</c:v>
                </c:pt>
                <c:pt idx="4">
                  <c:v>176252506007.05109</c:v>
                </c:pt>
                <c:pt idx="5">
                  <c:v>3012960044304.8179</c:v>
                </c:pt>
                <c:pt idx="6">
                  <c:v>11155349588.467541</c:v>
                </c:pt>
                <c:pt idx="7">
                  <c:v>582509639847.52478</c:v>
                </c:pt>
                <c:pt idx="8">
                  <c:v>331017479.46787208</c:v>
                </c:pt>
                <c:pt idx="9">
                  <c:v>115743792.0977944</c:v>
                </c:pt>
                <c:pt idx="10">
                  <c:v>175656778608.535</c:v>
                </c:pt>
                <c:pt idx="11">
                  <c:v>90331304522.501556</c:v>
                </c:pt>
                <c:pt idx="12">
                  <c:v>18280230644.27565</c:v>
                </c:pt>
                <c:pt idx="13">
                  <c:v>81740160143.582947</c:v>
                </c:pt>
                <c:pt idx="14">
                  <c:v>5646388062.6921501</c:v>
                </c:pt>
                <c:pt idx="15">
                  <c:v>1389573863967.7219</c:v>
                </c:pt>
                <c:pt idx="16">
                  <c:v>22838264970.0476</c:v>
                </c:pt>
                <c:pt idx="17">
                  <c:v>270657523624.8508</c:v>
                </c:pt>
                <c:pt idx="18">
                  <c:v>66981806018.91304</c:v>
                </c:pt>
                <c:pt idx="19">
                  <c:v>151884494.24562049</c:v>
                </c:pt>
                <c:pt idx="20">
                  <c:v>15887744090.01889</c:v>
                </c:pt>
                <c:pt idx="21">
                  <c:v>109452228.67596459</c:v>
                </c:pt>
                <c:pt idx="22">
                  <c:v>12916059.067253079</c:v>
                </c:pt>
                <c:pt idx="23">
                  <c:v>69026387907.402069</c:v>
                </c:pt>
                <c:pt idx="24">
                  <c:v>167379390.30484939</c:v>
                </c:pt>
                <c:pt idx="25">
                  <c:v>116533467653.7571</c:v>
                </c:pt>
                <c:pt idx="26">
                  <c:v>1257293602.0884931</c:v>
                </c:pt>
                <c:pt idx="27">
                  <c:v>643785932726.29639</c:v>
                </c:pt>
              </c:numCache>
            </c:numRef>
          </c:val>
          <c:extLst>
            <c:ext xmlns:c16="http://schemas.microsoft.com/office/drawing/2014/chart" uri="{C3380CC4-5D6E-409C-BE32-E72D297353CC}">
              <c16:uniqueId val="{00000000-6F57-6D47-B8D7-7DB440B48304}"/>
            </c:ext>
          </c:extLst>
        </c:ser>
        <c:dLbls>
          <c:showLegendKey val="0"/>
          <c:showVal val="0"/>
          <c:showCatName val="0"/>
          <c:showSerName val="0"/>
          <c:showPercent val="0"/>
          <c:showBubbleSize val="0"/>
        </c:dLbls>
        <c:gapWidth val="219"/>
        <c:overlap val="-27"/>
        <c:axId val="320438592"/>
        <c:axId val="320563712"/>
      </c:barChart>
      <c:catAx>
        <c:axId val="32043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0563712"/>
        <c:crosses val="autoZero"/>
        <c:auto val="1"/>
        <c:lblAlgn val="ctr"/>
        <c:lblOffset val="100"/>
        <c:noMultiLvlLbl val="0"/>
      </c:catAx>
      <c:valAx>
        <c:axId val="3205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043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lcia_cum_NZE_ei39!$R$1</c:f>
              <c:strCache>
                <c:ptCount val="1"/>
                <c:pt idx="0">
                  <c:v>IMPACT World+ Midpoint 2.0.1 | Midpoint | Land occupation, biodiversity</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lcia_cum_NZE_ei39!$R$2:$R$29</c:f>
              <c:numCache>
                <c:formatCode>General</c:formatCode>
                <c:ptCount val="28"/>
                <c:pt idx="0">
                  <c:v>98903822129.724701</c:v>
                </c:pt>
                <c:pt idx="1">
                  <c:v>6270004.383942103</c:v>
                </c:pt>
                <c:pt idx="2">
                  <c:v>5421226.4558050614</c:v>
                </c:pt>
                <c:pt idx="3">
                  <c:v>1002600694.7813359</c:v>
                </c:pt>
                <c:pt idx="4">
                  <c:v>5681176120.2572718</c:v>
                </c:pt>
                <c:pt idx="5">
                  <c:v>449035098110.23199</c:v>
                </c:pt>
                <c:pt idx="6">
                  <c:v>138009761.50231421</c:v>
                </c:pt>
                <c:pt idx="7">
                  <c:v>7153396315.5380669</c:v>
                </c:pt>
                <c:pt idx="8">
                  <c:v>15679071.421383619</c:v>
                </c:pt>
                <c:pt idx="9">
                  <c:v>7045345.5434276424</c:v>
                </c:pt>
                <c:pt idx="10">
                  <c:v>4415375328.1800423</c:v>
                </c:pt>
                <c:pt idx="11">
                  <c:v>2532195846.5039191</c:v>
                </c:pt>
                <c:pt idx="12">
                  <c:v>558880598.10246432</c:v>
                </c:pt>
                <c:pt idx="13">
                  <c:v>2200679769.6497831</c:v>
                </c:pt>
                <c:pt idx="14">
                  <c:v>1865190320.436599</c:v>
                </c:pt>
                <c:pt idx="15">
                  <c:v>49770910005.478554</c:v>
                </c:pt>
                <c:pt idx="16">
                  <c:v>967765651.2658478</c:v>
                </c:pt>
                <c:pt idx="17">
                  <c:v>7107579412.094697</c:v>
                </c:pt>
                <c:pt idx="18">
                  <c:v>19449711911.630161</c:v>
                </c:pt>
                <c:pt idx="19">
                  <c:v>49910847.762990512</c:v>
                </c:pt>
                <c:pt idx="20">
                  <c:v>4841631657.7641497</c:v>
                </c:pt>
                <c:pt idx="21">
                  <c:v>36896191.506651558</c:v>
                </c:pt>
                <c:pt idx="22">
                  <c:v>1461358.0598419991</c:v>
                </c:pt>
                <c:pt idx="23">
                  <c:v>5571694291.233078</c:v>
                </c:pt>
                <c:pt idx="24">
                  <c:v>12623852.873387409</c:v>
                </c:pt>
                <c:pt idx="25">
                  <c:v>5632000655.5470076</c:v>
                </c:pt>
                <c:pt idx="26">
                  <c:v>234594370.76192591</c:v>
                </c:pt>
                <c:pt idx="27">
                  <c:v>41280102357.69442</c:v>
                </c:pt>
              </c:numCache>
            </c:numRef>
          </c:val>
          <c:extLst>
            <c:ext xmlns:c16="http://schemas.microsoft.com/office/drawing/2014/chart" uri="{C3380CC4-5D6E-409C-BE32-E72D297353CC}">
              <c16:uniqueId val="{00000000-C997-4C4D-BB93-F8CBAFC72AAA}"/>
            </c:ext>
          </c:extLst>
        </c:ser>
        <c:dLbls>
          <c:showLegendKey val="0"/>
          <c:showVal val="0"/>
          <c:showCatName val="0"/>
          <c:showSerName val="0"/>
          <c:showPercent val="0"/>
          <c:showBubbleSize val="0"/>
        </c:dLbls>
        <c:gapWidth val="219"/>
        <c:overlap val="-27"/>
        <c:axId val="330372192"/>
        <c:axId val="330373840"/>
      </c:barChart>
      <c:catAx>
        <c:axId val="3303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0373840"/>
        <c:crosses val="autoZero"/>
        <c:auto val="1"/>
        <c:lblAlgn val="ctr"/>
        <c:lblOffset val="100"/>
        <c:noMultiLvlLbl val="0"/>
      </c:catAx>
      <c:valAx>
        <c:axId val="33037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037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lcia_cum_NZE_ei39!$S$1</c:f>
              <c:strCache>
                <c:ptCount val="1"/>
                <c:pt idx="0">
                  <c:v>IMPACT World+ Midpoint 2.0.1 | Midpoint | Land transformation, biodiversity</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lcia_cum_NZE_ei39!$S$2:$S$29</c:f>
              <c:numCache>
                <c:formatCode>General</c:formatCode>
                <c:ptCount val="28"/>
                <c:pt idx="0">
                  <c:v>780774997.44762039</c:v>
                </c:pt>
                <c:pt idx="1">
                  <c:v>43297.890421876007</c:v>
                </c:pt>
                <c:pt idx="2">
                  <c:v>40176.767331857409</c:v>
                </c:pt>
                <c:pt idx="3">
                  <c:v>9609984.6157207042</c:v>
                </c:pt>
                <c:pt idx="4">
                  <c:v>36121744.907025859</c:v>
                </c:pt>
                <c:pt idx="5">
                  <c:v>4339749258.3159065</c:v>
                </c:pt>
                <c:pt idx="6">
                  <c:v>1141258.7861362139</c:v>
                </c:pt>
                <c:pt idx="7">
                  <c:v>81732107.129732639</c:v>
                </c:pt>
                <c:pt idx="8">
                  <c:v>123170.3069786338</c:v>
                </c:pt>
                <c:pt idx="9">
                  <c:v>42317.216288441618</c:v>
                </c:pt>
                <c:pt idx="10">
                  <c:v>41193136.772500992</c:v>
                </c:pt>
                <c:pt idx="11">
                  <c:v>23987558.721633311</c:v>
                </c:pt>
                <c:pt idx="12">
                  <c:v>5041555.0731264036</c:v>
                </c:pt>
                <c:pt idx="13">
                  <c:v>17629924.7028252</c:v>
                </c:pt>
                <c:pt idx="14">
                  <c:v>18981658.13584261</c:v>
                </c:pt>
                <c:pt idx="15">
                  <c:v>823403652.11024618</c:v>
                </c:pt>
                <c:pt idx="16">
                  <c:v>5726974.2666061036</c:v>
                </c:pt>
                <c:pt idx="17">
                  <c:v>540784560.01941943</c:v>
                </c:pt>
                <c:pt idx="18">
                  <c:v>177217044.71334171</c:v>
                </c:pt>
                <c:pt idx="19">
                  <c:v>455176.05122473842</c:v>
                </c:pt>
                <c:pt idx="20">
                  <c:v>44144133.34875226</c:v>
                </c:pt>
                <c:pt idx="21">
                  <c:v>336743.27570274472</c:v>
                </c:pt>
                <c:pt idx="22">
                  <c:v>13605.02040338089</c:v>
                </c:pt>
                <c:pt idx="23">
                  <c:v>11600710.550968651</c:v>
                </c:pt>
                <c:pt idx="24">
                  <c:v>83181.690100445034</c:v>
                </c:pt>
                <c:pt idx="25">
                  <c:v>42446198.193003409</c:v>
                </c:pt>
                <c:pt idx="26">
                  <c:v>2950292.9215847771</c:v>
                </c:pt>
                <c:pt idx="27">
                  <c:v>58672756.85864377</c:v>
                </c:pt>
              </c:numCache>
            </c:numRef>
          </c:val>
          <c:extLst>
            <c:ext xmlns:c16="http://schemas.microsoft.com/office/drawing/2014/chart" uri="{C3380CC4-5D6E-409C-BE32-E72D297353CC}">
              <c16:uniqueId val="{00000000-0AB2-3C4B-BEF3-572D71372CD6}"/>
            </c:ext>
          </c:extLst>
        </c:ser>
        <c:dLbls>
          <c:showLegendKey val="0"/>
          <c:showVal val="0"/>
          <c:showCatName val="0"/>
          <c:showSerName val="0"/>
          <c:showPercent val="0"/>
          <c:showBubbleSize val="0"/>
        </c:dLbls>
        <c:gapWidth val="219"/>
        <c:overlap val="-27"/>
        <c:axId val="338433952"/>
        <c:axId val="334680704"/>
      </c:barChart>
      <c:catAx>
        <c:axId val="33843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4680704"/>
        <c:crosses val="autoZero"/>
        <c:auto val="1"/>
        <c:lblAlgn val="ctr"/>
        <c:lblOffset val="100"/>
        <c:noMultiLvlLbl val="0"/>
      </c:catAx>
      <c:valAx>
        <c:axId val="33468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843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lcia_cum_NZE_ei39!$T$1</c:f>
              <c:strCache>
                <c:ptCount val="1"/>
                <c:pt idx="0">
                  <c:v>IMPACT World+ Midpoint 2.0.1 | Midpoint | Marine eutrophication</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lcia_cum_NZE_ei39!$T$2:$T$29</c:f>
              <c:numCache>
                <c:formatCode>General</c:formatCode>
                <c:ptCount val="28"/>
                <c:pt idx="0">
                  <c:v>763155726.65004349</c:v>
                </c:pt>
                <c:pt idx="1">
                  <c:v>185807.11225445679</c:v>
                </c:pt>
                <c:pt idx="2">
                  <c:v>30452.298090907731</c:v>
                </c:pt>
                <c:pt idx="3">
                  <c:v>7700431.5639387136</c:v>
                </c:pt>
                <c:pt idx="4">
                  <c:v>139535871.01368329</c:v>
                </c:pt>
                <c:pt idx="5">
                  <c:v>1688639763.333868</c:v>
                </c:pt>
                <c:pt idx="6">
                  <c:v>32580214.784682568</c:v>
                </c:pt>
                <c:pt idx="7">
                  <c:v>101962687.306684</c:v>
                </c:pt>
                <c:pt idx="8">
                  <c:v>89516.0703282904</c:v>
                </c:pt>
                <c:pt idx="9">
                  <c:v>32321.60188585359</c:v>
                </c:pt>
                <c:pt idx="10">
                  <c:v>414066678.52580363</c:v>
                </c:pt>
                <c:pt idx="11">
                  <c:v>254094510.00588891</c:v>
                </c:pt>
                <c:pt idx="12">
                  <c:v>3062976.2683118642</c:v>
                </c:pt>
                <c:pt idx="13">
                  <c:v>8116373.0340770613</c:v>
                </c:pt>
                <c:pt idx="14">
                  <c:v>5758481.0896811886</c:v>
                </c:pt>
                <c:pt idx="15">
                  <c:v>904739868.75588977</c:v>
                </c:pt>
                <c:pt idx="16">
                  <c:v>2965469.9368452639</c:v>
                </c:pt>
                <c:pt idx="17">
                  <c:v>170725049.23564339</c:v>
                </c:pt>
                <c:pt idx="18">
                  <c:v>3032661999.5604062</c:v>
                </c:pt>
                <c:pt idx="19">
                  <c:v>7801868.2219272768</c:v>
                </c:pt>
                <c:pt idx="20">
                  <c:v>756784797.45997906</c:v>
                </c:pt>
                <c:pt idx="21">
                  <c:v>5786756.8420573277</c:v>
                </c:pt>
                <c:pt idx="22">
                  <c:v>7108.5700795704397</c:v>
                </c:pt>
                <c:pt idx="23">
                  <c:v>27657391.40007598</c:v>
                </c:pt>
                <c:pt idx="24">
                  <c:v>43478.531823271529</c:v>
                </c:pt>
                <c:pt idx="25">
                  <c:v>32312069.168903701</c:v>
                </c:pt>
                <c:pt idx="26">
                  <c:v>274876.18992985343</c:v>
                </c:pt>
                <c:pt idx="27">
                  <c:v>62731780.808984406</c:v>
                </c:pt>
              </c:numCache>
            </c:numRef>
          </c:val>
          <c:extLst>
            <c:ext xmlns:c16="http://schemas.microsoft.com/office/drawing/2014/chart" uri="{C3380CC4-5D6E-409C-BE32-E72D297353CC}">
              <c16:uniqueId val="{00000000-0884-3748-85CB-C8133B3EC206}"/>
            </c:ext>
          </c:extLst>
        </c:ser>
        <c:dLbls>
          <c:showLegendKey val="0"/>
          <c:showVal val="0"/>
          <c:showCatName val="0"/>
          <c:showSerName val="0"/>
          <c:showPercent val="0"/>
          <c:showBubbleSize val="0"/>
        </c:dLbls>
        <c:gapWidth val="219"/>
        <c:overlap val="-27"/>
        <c:axId val="335122880"/>
        <c:axId val="340775200"/>
      </c:barChart>
      <c:catAx>
        <c:axId val="33512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0775200"/>
        <c:crosses val="autoZero"/>
        <c:auto val="1"/>
        <c:lblAlgn val="ctr"/>
        <c:lblOffset val="100"/>
        <c:noMultiLvlLbl val="0"/>
      </c:catAx>
      <c:valAx>
        <c:axId val="34077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512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lcia_cum_NZE_ei39!$U$1</c:f>
              <c:strCache>
                <c:ptCount val="1"/>
                <c:pt idx="0">
                  <c:v>IMPACT World+ Midpoint 2.0.1 | Midpoint | Mineral resources use</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lcia_cum_NZE_ei39!$U$2:$U$29</c:f>
              <c:numCache>
                <c:formatCode>General</c:formatCode>
                <c:ptCount val="28"/>
                <c:pt idx="0">
                  <c:v>38667063910.079048</c:v>
                </c:pt>
                <c:pt idx="1">
                  <c:v>5503499.0547639485</c:v>
                </c:pt>
                <c:pt idx="2">
                  <c:v>14889182.26608946</c:v>
                </c:pt>
                <c:pt idx="3">
                  <c:v>18175582388.857651</c:v>
                </c:pt>
                <c:pt idx="4">
                  <c:v>118108796148.7908</c:v>
                </c:pt>
                <c:pt idx="5">
                  <c:v>353354133640.27618</c:v>
                </c:pt>
                <c:pt idx="6">
                  <c:v>171435011.33941641</c:v>
                </c:pt>
                <c:pt idx="7">
                  <c:v>4698077506.689333</c:v>
                </c:pt>
                <c:pt idx="8">
                  <c:v>52308660.793446973</c:v>
                </c:pt>
                <c:pt idx="9">
                  <c:v>20184151.544448759</c:v>
                </c:pt>
                <c:pt idx="10">
                  <c:v>4844123707.4862804</c:v>
                </c:pt>
                <c:pt idx="11">
                  <c:v>2738718621.099174</c:v>
                </c:pt>
                <c:pt idx="12">
                  <c:v>10545374234.465191</c:v>
                </c:pt>
                <c:pt idx="13">
                  <c:v>29298231957.355572</c:v>
                </c:pt>
                <c:pt idx="14">
                  <c:v>619717524.81333733</c:v>
                </c:pt>
                <c:pt idx="15">
                  <c:v>555060604518.80713</c:v>
                </c:pt>
                <c:pt idx="16">
                  <c:v>4445337489.1847763</c:v>
                </c:pt>
                <c:pt idx="17">
                  <c:v>3399184669.182219</c:v>
                </c:pt>
                <c:pt idx="18">
                  <c:v>2383581712122.689</c:v>
                </c:pt>
                <c:pt idx="19">
                  <c:v>6131299304.2525873</c:v>
                </c:pt>
                <c:pt idx="20">
                  <c:v>594830428978.00171</c:v>
                </c:pt>
                <c:pt idx="21">
                  <c:v>4548313265.8001785</c:v>
                </c:pt>
                <c:pt idx="22">
                  <c:v>1068361.516600738</c:v>
                </c:pt>
                <c:pt idx="23">
                  <c:v>2149693625.8002181</c:v>
                </c:pt>
                <c:pt idx="24">
                  <c:v>5782659.5378439771</c:v>
                </c:pt>
                <c:pt idx="25">
                  <c:v>19738581266.248741</c:v>
                </c:pt>
                <c:pt idx="26">
                  <c:v>391900581.07568121</c:v>
                </c:pt>
                <c:pt idx="27">
                  <c:v>2861438660.431138</c:v>
                </c:pt>
              </c:numCache>
            </c:numRef>
          </c:val>
          <c:extLst>
            <c:ext xmlns:c16="http://schemas.microsoft.com/office/drawing/2014/chart" uri="{C3380CC4-5D6E-409C-BE32-E72D297353CC}">
              <c16:uniqueId val="{00000000-0BB3-4147-A61F-4A1E2FEF785C}"/>
            </c:ext>
          </c:extLst>
        </c:ser>
        <c:dLbls>
          <c:showLegendKey val="0"/>
          <c:showVal val="0"/>
          <c:showCatName val="0"/>
          <c:showSerName val="0"/>
          <c:showPercent val="0"/>
          <c:showBubbleSize val="0"/>
        </c:dLbls>
        <c:gapWidth val="219"/>
        <c:overlap val="-27"/>
        <c:axId val="415061584"/>
        <c:axId val="462942880"/>
      </c:barChart>
      <c:catAx>
        <c:axId val="41506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62942880"/>
        <c:crosses val="autoZero"/>
        <c:auto val="1"/>
        <c:lblAlgn val="ctr"/>
        <c:lblOffset val="100"/>
        <c:noMultiLvlLbl val="0"/>
      </c:catAx>
      <c:valAx>
        <c:axId val="46294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1506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lcia_cum_NZE_ei39!$V$1</c:f>
              <c:strCache>
                <c:ptCount val="1"/>
                <c:pt idx="0">
                  <c:v>IMPACT World+ Midpoint 2.0.1 | Midpoint | Ozone layer depletion</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lcia_cum_NZE_ei39!$V$2:$V$29</c:f>
              <c:numCache>
                <c:formatCode>General</c:formatCode>
                <c:ptCount val="28"/>
                <c:pt idx="0">
                  <c:v>92783.732754852754</c:v>
                </c:pt>
                <c:pt idx="1">
                  <c:v>2.930890107584216</c:v>
                </c:pt>
                <c:pt idx="2">
                  <c:v>2.1176066611956559</c:v>
                </c:pt>
                <c:pt idx="3">
                  <c:v>273.58969430360338</c:v>
                </c:pt>
                <c:pt idx="4">
                  <c:v>13207.97160637854</c:v>
                </c:pt>
                <c:pt idx="5">
                  <c:v>38978.312778504609</c:v>
                </c:pt>
                <c:pt idx="6">
                  <c:v>1154.7654010211211</c:v>
                </c:pt>
                <c:pt idx="7">
                  <c:v>10458.347216488201</c:v>
                </c:pt>
                <c:pt idx="8">
                  <c:v>5.7231017585430184</c:v>
                </c:pt>
                <c:pt idx="9">
                  <c:v>12.808090008129071</c:v>
                </c:pt>
                <c:pt idx="10">
                  <c:v>8212.1446550621476</c:v>
                </c:pt>
                <c:pt idx="11">
                  <c:v>4906.6541274726278</c:v>
                </c:pt>
                <c:pt idx="12">
                  <c:v>96.141563219471593</c:v>
                </c:pt>
                <c:pt idx="13">
                  <c:v>813.93265461049373</c:v>
                </c:pt>
                <c:pt idx="14">
                  <c:v>79.562003294424414</c:v>
                </c:pt>
                <c:pt idx="15">
                  <c:v>30352.132486198989</c:v>
                </c:pt>
                <c:pt idx="16">
                  <c:v>220.3543153740998</c:v>
                </c:pt>
                <c:pt idx="17">
                  <c:v>2231.2516097359412</c:v>
                </c:pt>
                <c:pt idx="18">
                  <c:v>5176.8333818588026</c:v>
                </c:pt>
                <c:pt idx="19">
                  <c:v>11.868779139147939</c:v>
                </c:pt>
                <c:pt idx="20">
                  <c:v>1244.486094201598</c:v>
                </c:pt>
                <c:pt idx="21">
                  <c:v>8.7471648566451741</c:v>
                </c:pt>
                <c:pt idx="22">
                  <c:v>0.78532659202046673</c:v>
                </c:pt>
                <c:pt idx="23">
                  <c:v>1289.3796626099579</c:v>
                </c:pt>
                <c:pt idx="24">
                  <c:v>1.6045032826593</c:v>
                </c:pt>
                <c:pt idx="25">
                  <c:v>2111.1968243529</c:v>
                </c:pt>
                <c:pt idx="26">
                  <c:v>353.37194880201042</c:v>
                </c:pt>
                <c:pt idx="27">
                  <c:v>9994.8205459142337</c:v>
                </c:pt>
              </c:numCache>
            </c:numRef>
          </c:val>
          <c:extLst>
            <c:ext xmlns:c16="http://schemas.microsoft.com/office/drawing/2014/chart" uri="{C3380CC4-5D6E-409C-BE32-E72D297353CC}">
              <c16:uniqueId val="{00000000-ABDC-AD45-ACF1-409F89B10D39}"/>
            </c:ext>
          </c:extLst>
        </c:ser>
        <c:dLbls>
          <c:showLegendKey val="0"/>
          <c:showVal val="0"/>
          <c:showCatName val="0"/>
          <c:showSerName val="0"/>
          <c:showPercent val="0"/>
          <c:showBubbleSize val="0"/>
        </c:dLbls>
        <c:gapWidth val="219"/>
        <c:overlap val="-27"/>
        <c:axId val="330415504"/>
        <c:axId val="330417152"/>
      </c:barChart>
      <c:catAx>
        <c:axId val="33041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0417152"/>
        <c:crosses val="autoZero"/>
        <c:auto val="1"/>
        <c:lblAlgn val="ctr"/>
        <c:lblOffset val="100"/>
        <c:noMultiLvlLbl val="0"/>
      </c:catAx>
      <c:valAx>
        <c:axId val="33041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041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lcia_cum_NZE_ei39!$W$1</c:f>
              <c:strCache>
                <c:ptCount val="1"/>
                <c:pt idx="0">
                  <c:v>IMPACT World+ Midpoint 2.0.1 | Midpoint | Particulate matter formation</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lcia_cum_NZE_ei39!$W$2:$W$29</c:f>
              <c:numCache>
                <c:formatCode>General</c:formatCode>
                <c:ptCount val="28"/>
                <c:pt idx="0">
                  <c:v>5494601307.578249</c:v>
                </c:pt>
                <c:pt idx="1">
                  <c:v>179472.1311982359</c:v>
                </c:pt>
                <c:pt idx="2">
                  <c:v>82999.94825931995</c:v>
                </c:pt>
                <c:pt idx="3">
                  <c:v>34897777.296891093</c:v>
                </c:pt>
                <c:pt idx="4">
                  <c:v>114404240.63512599</c:v>
                </c:pt>
                <c:pt idx="5">
                  <c:v>11977915358.023001</c:v>
                </c:pt>
                <c:pt idx="6">
                  <c:v>3776439.4412548249</c:v>
                </c:pt>
                <c:pt idx="7">
                  <c:v>1087080988.7146349</c:v>
                </c:pt>
                <c:pt idx="8">
                  <c:v>155116.37907759269</c:v>
                </c:pt>
                <c:pt idx="9">
                  <c:v>165642.28679093291</c:v>
                </c:pt>
                <c:pt idx="10">
                  <c:v>121379819.8415606</c:v>
                </c:pt>
                <c:pt idx="11">
                  <c:v>70779689.448253304</c:v>
                </c:pt>
                <c:pt idx="12">
                  <c:v>21207875.6214073</c:v>
                </c:pt>
                <c:pt idx="13">
                  <c:v>44018158.766012669</c:v>
                </c:pt>
                <c:pt idx="14">
                  <c:v>9899261.8104554135</c:v>
                </c:pt>
                <c:pt idx="15">
                  <c:v>6897749029.2158546</c:v>
                </c:pt>
                <c:pt idx="16">
                  <c:v>20024883.920057021</c:v>
                </c:pt>
                <c:pt idx="17">
                  <c:v>774072266.83997202</c:v>
                </c:pt>
                <c:pt idx="18">
                  <c:v>43305442.930489257</c:v>
                </c:pt>
                <c:pt idx="19">
                  <c:v>97106.875872295524</c:v>
                </c:pt>
                <c:pt idx="20">
                  <c:v>10248341.22484139</c:v>
                </c:pt>
                <c:pt idx="21">
                  <c:v>70096.611541867882</c:v>
                </c:pt>
                <c:pt idx="22">
                  <c:v>44344.99095108232</c:v>
                </c:pt>
                <c:pt idx="23">
                  <c:v>52976664.030984893</c:v>
                </c:pt>
                <c:pt idx="24">
                  <c:v>265199.30226948479</c:v>
                </c:pt>
                <c:pt idx="25">
                  <c:v>53101718.792446531</c:v>
                </c:pt>
                <c:pt idx="26">
                  <c:v>745654.68337706884</c:v>
                </c:pt>
                <c:pt idx="27">
                  <c:v>325573652.45377529</c:v>
                </c:pt>
              </c:numCache>
            </c:numRef>
          </c:val>
          <c:extLst>
            <c:ext xmlns:c16="http://schemas.microsoft.com/office/drawing/2014/chart" uri="{C3380CC4-5D6E-409C-BE32-E72D297353CC}">
              <c16:uniqueId val="{00000000-286B-1148-B3D7-4EA1D444721A}"/>
            </c:ext>
          </c:extLst>
        </c:ser>
        <c:dLbls>
          <c:showLegendKey val="0"/>
          <c:showVal val="0"/>
          <c:showCatName val="0"/>
          <c:showSerName val="0"/>
          <c:showPercent val="0"/>
          <c:showBubbleSize val="0"/>
        </c:dLbls>
        <c:gapWidth val="219"/>
        <c:overlap val="-27"/>
        <c:axId val="330432480"/>
        <c:axId val="330434128"/>
      </c:barChart>
      <c:catAx>
        <c:axId val="33043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0434128"/>
        <c:crosses val="autoZero"/>
        <c:auto val="1"/>
        <c:lblAlgn val="ctr"/>
        <c:lblOffset val="100"/>
        <c:noMultiLvlLbl val="0"/>
      </c:catAx>
      <c:valAx>
        <c:axId val="33043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043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lcia_cum_NZE_ei39!$X$1</c:f>
              <c:strCache>
                <c:ptCount val="1"/>
                <c:pt idx="0">
                  <c:v>IMPACT World+ Midpoint 2.0.1 | Midpoint | Photochemical oxidant formation</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lcia_cum_NZE_ei39!$X$2:$X$29</c:f>
              <c:numCache>
                <c:formatCode>General</c:formatCode>
                <c:ptCount val="28"/>
                <c:pt idx="0">
                  <c:v>29149728148.511631</c:v>
                </c:pt>
                <c:pt idx="1">
                  <c:v>1260838.0482055061</c:v>
                </c:pt>
                <c:pt idx="2">
                  <c:v>835917.18732778495</c:v>
                </c:pt>
                <c:pt idx="3">
                  <c:v>308296611.10879672</c:v>
                </c:pt>
                <c:pt idx="4">
                  <c:v>700819439.53250241</c:v>
                </c:pt>
                <c:pt idx="5">
                  <c:v>50325912781.47757</c:v>
                </c:pt>
                <c:pt idx="6">
                  <c:v>31681623.802234851</c:v>
                </c:pt>
                <c:pt idx="7">
                  <c:v>4421291246.0684338</c:v>
                </c:pt>
                <c:pt idx="8">
                  <c:v>2522345.1473537288</c:v>
                </c:pt>
                <c:pt idx="9">
                  <c:v>708338.0623313908</c:v>
                </c:pt>
                <c:pt idx="10">
                  <c:v>823163531.89770067</c:v>
                </c:pt>
                <c:pt idx="11">
                  <c:v>465854002.50340438</c:v>
                </c:pt>
                <c:pt idx="12">
                  <c:v>119142020.27485751</c:v>
                </c:pt>
                <c:pt idx="13">
                  <c:v>295377070.40394908</c:v>
                </c:pt>
                <c:pt idx="14">
                  <c:v>106357443.5154891</c:v>
                </c:pt>
                <c:pt idx="15">
                  <c:v>19758430677.85482</c:v>
                </c:pt>
                <c:pt idx="16">
                  <c:v>85490825.24316518</c:v>
                </c:pt>
                <c:pt idx="17">
                  <c:v>5737255699.9737883</c:v>
                </c:pt>
                <c:pt idx="18">
                  <c:v>307154829.28884929</c:v>
                </c:pt>
                <c:pt idx="19">
                  <c:v>648887.94120042841</c:v>
                </c:pt>
                <c:pt idx="20">
                  <c:v>70192909.629990309</c:v>
                </c:pt>
                <c:pt idx="21">
                  <c:v>448008.08051239513</c:v>
                </c:pt>
                <c:pt idx="22">
                  <c:v>151907.62720474639</c:v>
                </c:pt>
                <c:pt idx="23">
                  <c:v>744632084.87393987</c:v>
                </c:pt>
                <c:pt idx="24">
                  <c:v>1105581.1185492971</c:v>
                </c:pt>
                <c:pt idx="25">
                  <c:v>817496210.10029805</c:v>
                </c:pt>
                <c:pt idx="26">
                  <c:v>5984815.335849043</c:v>
                </c:pt>
                <c:pt idx="27">
                  <c:v>2879534624.0904012</c:v>
                </c:pt>
              </c:numCache>
            </c:numRef>
          </c:val>
          <c:extLst>
            <c:ext xmlns:c16="http://schemas.microsoft.com/office/drawing/2014/chart" uri="{C3380CC4-5D6E-409C-BE32-E72D297353CC}">
              <c16:uniqueId val="{00000000-7B5F-3946-A9F1-3F37DC2DE685}"/>
            </c:ext>
          </c:extLst>
        </c:ser>
        <c:dLbls>
          <c:showLegendKey val="0"/>
          <c:showVal val="0"/>
          <c:showCatName val="0"/>
          <c:showSerName val="0"/>
          <c:showPercent val="0"/>
          <c:showBubbleSize val="0"/>
        </c:dLbls>
        <c:gapWidth val="219"/>
        <c:overlap val="-27"/>
        <c:axId val="330461616"/>
        <c:axId val="330463264"/>
      </c:barChart>
      <c:catAx>
        <c:axId val="33046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0463264"/>
        <c:crosses val="autoZero"/>
        <c:auto val="1"/>
        <c:lblAlgn val="ctr"/>
        <c:lblOffset val="100"/>
        <c:noMultiLvlLbl val="0"/>
      </c:catAx>
      <c:valAx>
        <c:axId val="33046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046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lcia_cum_NZE_ei39!$Y$1</c:f>
              <c:strCache>
                <c:ptCount val="1"/>
                <c:pt idx="0">
                  <c:v>IMPACT World+ Midpoint 2.0.1 | Midpoint | Terrestrial acidification</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lcia_cum_NZE_ei39!$Y$2:$Y$29</c:f>
              <c:numCache>
                <c:formatCode>General</c:formatCode>
                <c:ptCount val="28"/>
                <c:pt idx="0">
                  <c:v>40061288776.344254</c:v>
                </c:pt>
                <c:pt idx="1">
                  <c:v>2002747.426975349</c:v>
                </c:pt>
                <c:pt idx="2">
                  <c:v>891190.07481120597</c:v>
                </c:pt>
                <c:pt idx="3">
                  <c:v>441527144.79553783</c:v>
                </c:pt>
                <c:pt idx="4">
                  <c:v>1307435372.4194529</c:v>
                </c:pt>
                <c:pt idx="5">
                  <c:v>193262598318.16229</c:v>
                </c:pt>
                <c:pt idx="6">
                  <c:v>32623073.75904445</c:v>
                </c:pt>
                <c:pt idx="7">
                  <c:v>10533020178.213329</c:v>
                </c:pt>
                <c:pt idx="8">
                  <c:v>2338423.5396880889</c:v>
                </c:pt>
                <c:pt idx="9">
                  <c:v>2230635.651943062</c:v>
                </c:pt>
                <c:pt idx="10">
                  <c:v>1151497965.8135231</c:v>
                </c:pt>
                <c:pt idx="11">
                  <c:v>674973116.29150009</c:v>
                </c:pt>
                <c:pt idx="12">
                  <c:v>108469040.132772</c:v>
                </c:pt>
                <c:pt idx="13">
                  <c:v>464294929.45635593</c:v>
                </c:pt>
                <c:pt idx="14">
                  <c:v>79870317.121942058</c:v>
                </c:pt>
                <c:pt idx="15">
                  <c:v>124910198969.21021</c:v>
                </c:pt>
                <c:pt idx="16">
                  <c:v>110509420.07808121</c:v>
                </c:pt>
                <c:pt idx="17">
                  <c:v>14034834254.070379</c:v>
                </c:pt>
                <c:pt idx="18">
                  <c:v>414413490.50471091</c:v>
                </c:pt>
                <c:pt idx="19">
                  <c:v>945829.11423383991</c:v>
                </c:pt>
                <c:pt idx="20">
                  <c:v>98464047.80281651</c:v>
                </c:pt>
                <c:pt idx="21">
                  <c:v>681458.462199623</c:v>
                </c:pt>
                <c:pt idx="22">
                  <c:v>694022.14888758468</c:v>
                </c:pt>
                <c:pt idx="23">
                  <c:v>561648624.52916479</c:v>
                </c:pt>
                <c:pt idx="24">
                  <c:v>3676418.1379899471</c:v>
                </c:pt>
                <c:pt idx="25">
                  <c:v>820192841.16817856</c:v>
                </c:pt>
                <c:pt idx="26">
                  <c:v>6779151.3721133415</c:v>
                </c:pt>
                <c:pt idx="27">
                  <c:v>2728865644.2843928</c:v>
                </c:pt>
              </c:numCache>
            </c:numRef>
          </c:val>
          <c:extLst>
            <c:ext xmlns:c16="http://schemas.microsoft.com/office/drawing/2014/chart" uri="{C3380CC4-5D6E-409C-BE32-E72D297353CC}">
              <c16:uniqueId val="{00000000-33CE-E04E-88A2-8633BFE74F88}"/>
            </c:ext>
          </c:extLst>
        </c:ser>
        <c:dLbls>
          <c:showLegendKey val="0"/>
          <c:showVal val="0"/>
          <c:showCatName val="0"/>
          <c:showSerName val="0"/>
          <c:showPercent val="0"/>
          <c:showBubbleSize val="0"/>
        </c:dLbls>
        <c:gapWidth val="219"/>
        <c:overlap val="-27"/>
        <c:axId val="430772048"/>
        <c:axId val="337206848"/>
      </c:barChart>
      <c:catAx>
        <c:axId val="43077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206848"/>
        <c:crosses val="autoZero"/>
        <c:auto val="1"/>
        <c:lblAlgn val="ctr"/>
        <c:lblOffset val="100"/>
        <c:noMultiLvlLbl val="0"/>
      </c:catAx>
      <c:valAx>
        <c:axId val="33720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3077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lcia_cum_NZE_ei39!$Z$1</c:f>
              <c:strCache>
                <c:ptCount val="1"/>
                <c:pt idx="0">
                  <c:v>IMPACT World+ Midpoint 2.0.1 | Midpoint | Water scarcity</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lcia_cum_NZE_ei39!$Z$2:$Z$29</c:f>
              <c:numCache>
                <c:formatCode>General</c:formatCode>
                <c:ptCount val="28"/>
                <c:pt idx="0">
                  <c:v>2047074554271.5</c:v>
                </c:pt>
                <c:pt idx="1">
                  <c:v>132689543.5545883</c:v>
                </c:pt>
                <c:pt idx="2">
                  <c:v>141621802.28279111</c:v>
                </c:pt>
                <c:pt idx="3">
                  <c:v>11122800157.115231</c:v>
                </c:pt>
                <c:pt idx="4">
                  <c:v>1268749645586.844</c:v>
                </c:pt>
                <c:pt idx="5">
                  <c:v>3946460682948.25</c:v>
                </c:pt>
                <c:pt idx="6">
                  <c:v>5513720108.8081055</c:v>
                </c:pt>
                <c:pt idx="7">
                  <c:v>71301881624.84375</c:v>
                </c:pt>
                <c:pt idx="8">
                  <c:v>444757094.3440094</c:v>
                </c:pt>
                <c:pt idx="9">
                  <c:v>75863366.982753754</c:v>
                </c:pt>
                <c:pt idx="10">
                  <c:v>71436296729.449219</c:v>
                </c:pt>
                <c:pt idx="11">
                  <c:v>41118380122.253906</c:v>
                </c:pt>
                <c:pt idx="12">
                  <c:v>2533545178.3320308</c:v>
                </c:pt>
                <c:pt idx="13">
                  <c:v>70636196342.109375</c:v>
                </c:pt>
                <c:pt idx="14">
                  <c:v>10018027040.0415</c:v>
                </c:pt>
                <c:pt idx="15">
                  <c:v>5241562937740.375</c:v>
                </c:pt>
                <c:pt idx="16">
                  <c:v>6828130425.3828115</c:v>
                </c:pt>
                <c:pt idx="17">
                  <c:v>63454409720.279297</c:v>
                </c:pt>
                <c:pt idx="18">
                  <c:v>-4888613464.4316406</c:v>
                </c:pt>
                <c:pt idx="19">
                  <c:v>-6851316.7073402395</c:v>
                </c:pt>
                <c:pt idx="20">
                  <c:v>-1077402357.312988</c:v>
                </c:pt>
                <c:pt idx="21">
                  <c:v>-5535180.1563720703</c:v>
                </c:pt>
                <c:pt idx="22">
                  <c:v>16635827.97634029</c:v>
                </c:pt>
                <c:pt idx="23">
                  <c:v>27792218058.734379</c:v>
                </c:pt>
                <c:pt idx="24">
                  <c:v>160625892.26631159</c:v>
                </c:pt>
                <c:pt idx="25">
                  <c:v>164185576230.97659</c:v>
                </c:pt>
                <c:pt idx="26">
                  <c:v>1633876156.6025701</c:v>
                </c:pt>
                <c:pt idx="27">
                  <c:v>339908986449.78119</c:v>
                </c:pt>
              </c:numCache>
            </c:numRef>
          </c:val>
          <c:extLst>
            <c:ext xmlns:c16="http://schemas.microsoft.com/office/drawing/2014/chart" uri="{C3380CC4-5D6E-409C-BE32-E72D297353CC}">
              <c16:uniqueId val="{00000000-E0DE-2F4B-BE7C-734F7B3987EE}"/>
            </c:ext>
          </c:extLst>
        </c:ser>
        <c:dLbls>
          <c:showLegendKey val="0"/>
          <c:showVal val="0"/>
          <c:showCatName val="0"/>
          <c:showSerName val="0"/>
          <c:showPercent val="0"/>
          <c:showBubbleSize val="0"/>
        </c:dLbls>
        <c:gapWidth val="219"/>
        <c:overlap val="-27"/>
        <c:axId val="331399248"/>
        <c:axId val="792406240"/>
      </c:barChart>
      <c:catAx>
        <c:axId val="33139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92406240"/>
        <c:crosses val="autoZero"/>
        <c:auto val="1"/>
        <c:lblAlgn val="ctr"/>
        <c:lblOffset val="100"/>
        <c:noMultiLvlLbl val="0"/>
      </c:catAx>
      <c:valAx>
        <c:axId val="79240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139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ore grade - cum mine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9117501489529723E-2"/>
                  <c:y val="0.158540214758094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calculs_cop_grade!$E$10:$X$10</c:f>
              <c:numCache>
                <c:formatCode>General</c:formatCode>
                <c:ptCount val="20"/>
                <c:pt idx="0">
                  <c:v>4580.6000000000004</c:v>
                </c:pt>
                <c:pt idx="1">
                  <c:v>9484.7999999999993</c:v>
                </c:pt>
                <c:pt idx="2">
                  <c:v>14897.3</c:v>
                </c:pt>
                <c:pt idx="3">
                  <c:v>20217.8</c:v>
                </c:pt>
                <c:pt idx="4">
                  <c:v>25578.6</c:v>
                </c:pt>
                <c:pt idx="5">
                  <c:v>31135.629999999997</c:v>
                </c:pt>
                <c:pt idx="6">
                  <c:v>36463.229999999996</c:v>
                </c:pt>
                <c:pt idx="7">
                  <c:v>41857.629999999997</c:v>
                </c:pt>
                <c:pt idx="8">
                  <c:v>47276.53</c:v>
                </c:pt>
                <c:pt idx="9">
                  <c:v>52539.33</c:v>
                </c:pt>
                <c:pt idx="10">
                  <c:v>57973.23</c:v>
                </c:pt>
                <c:pt idx="11">
                  <c:v>63749.23</c:v>
                </c:pt>
                <c:pt idx="12">
                  <c:v>69510.33</c:v>
                </c:pt>
                <c:pt idx="13">
                  <c:v>75282.430000000008</c:v>
                </c:pt>
                <c:pt idx="14">
                  <c:v>80835.030000000013</c:v>
                </c:pt>
                <c:pt idx="15">
                  <c:v>86338.530000000013</c:v>
                </c:pt>
                <c:pt idx="16">
                  <c:v>92170.130000000019</c:v>
                </c:pt>
                <c:pt idx="17">
                  <c:v>97957.530000000013</c:v>
                </c:pt>
                <c:pt idx="18">
                  <c:v>103690.63000000002</c:v>
                </c:pt>
                <c:pt idx="19">
                  <c:v>109315.53000000001</c:v>
                </c:pt>
              </c:numCache>
            </c:numRef>
          </c:xVal>
          <c:yVal>
            <c:numRef>
              <c:f>calculs_cop_grade!$E$11:$X$11</c:f>
              <c:numCache>
                <c:formatCode>0.00</c:formatCode>
                <c:ptCount val="20"/>
                <c:pt idx="0">
                  <c:v>1.1288298129131402</c:v>
                </c:pt>
                <c:pt idx="1">
                  <c:v>1.0980251429835466</c:v>
                </c:pt>
                <c:pt idx="2">
                  <c:v>1.1136887335171866</c:v>
                </c:pt>
                <c:pt idx="3">
                  <c:v>1.0724012919459787</c:v>
                </c:pt>
                <c:pt idx="4">
                  <c:v>1.0782485961312724</c:v>
                </c:pt>
                <c:pt idx="5">
                  <c:v>1.082491065224638</c:v>
                </c:pt>
                <c:pt idx="6">
                  <c:v>0.98820838640315234</c:v>
                </c:pt>
                <c:pt idx="7">
                  <c:v>0.91773731689476801</c:v>
                </c:pt>
                <c:pt idx="8">
                  <c:v>0.88770641390077842</c:v>
                </c:pt>
                <c:pt idx="9">
                  <c:v>0.84411173516591831</c:v>
                </c:pt>
                <c:pt idx="10" formatCode="General">
                  <c:v>0.72</c:v>
                </c:pt>
                <c:pt idx="11" formatCode="General">
                  <c:v>0.71</c:v>
                </c:pt>
                <c:pt idx="12" formatCode="General">
                  <c:v>0.72</c:v>
                </c:pt>
                <c:pt idx="13" formatCode="General">
                  <c:v>0.69</c:v>
                </c:pt>
                <c:pt idx="14" formatCode="General">
                  <c:v>0.65</c:v>
                </c:pt>
                <c:pt idx="15" formatCode="General">
                  <c:v>0.65</c:v>
                </c:pt>
                <c:pt idx="16" formatCode="General">
                  <c:v>0.61</c:v>
                </c:pt>
                <c:pt idx="17" formatCode="General">
                  <c:v>0.64</c:v>
                </c:pt>
                <c:pt idx="18" formatCode="General">
                  <c:v>0.64</c:v>
                </c:pt>
                <c:pt idx="19" formatCode="General">
                  <c:v>0.63</c:v>
                </c:pt>
              </c:numCache>
            </c:numRef>
          </c:yVal>
          <c:smooth val="0"/>
          <c:extLst>
            <c:ext xmlns:c16="http://schemas.microsoft.com/office/drawing/2014/chart" uri="{C3380CC4-5D6E-409C-BE32-E72D297353CC}">
              <c16:uniqueId val="{00000000-B58E-EA46-8672-FE3784374D25}"/>
            </c:ext>
          </c:extLst>
        </c:ser>
        <c:dLbls>
          <c:showLegendKey val="0"/>
          <c:showVal val="0"/>
          <c:showCatName val="0"/>
          <c:showSerName val="0"/>
          <c:showPercent val="0"/>
          <c:showBubbleSize val="0"/>
        </c:dLbls>
        <c:axId val="1054236000"/>
        <c:axId val="1073669343"/>
      </c:scatterChart>
      <c:valAx>
        <c:axId val="1054236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73669343"/>
        <c:crosses val="autoZero"/>
        <c:crossBetween val="midCat"/>
      </c:valAx>
      <c:valAx>
        <c:axId val="1073669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4236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lcia_cum_NZE_ei39!$J$1</c:f>
              <c:strCache>
                <c:ptCount val="1"/>
                <c:pt idx="0">
                  <c:v>IMPACT World+ Midpoint 2.0.1 | Midpoint | Climate change, short term</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lcia_cum_NZE_ei39!$J$2:$J$29</c:f>
              <c:numCache>
                <c:formatCode>General</c:formatCode>
                <c:ptCount val="28"/>
                <c:pt idx="0">
                  <c:v>8253022098005.2207</c:v>
                </c:pt>
                <c:pt idx="1">
                  <c:v>322294569.91587108</c:v>
                </c:pt>
                <c:pt idx="2">
                  <c:v>166032658.9518989</c:v>
                </c:pt>
                <c:pt idx="3">
                  <c:v>87071150328.967926</c:v>
                </c:pt>
                <c:pt idx="4">
                  <c:v>188343704093.24619</c:v>
                </c:pt>
                <c:pt idx="5">
                  <c:v>3213280408973.167</c:v>
                </c:pt>
                <c:pt idx="6">
                  <c:v>12231512199.49468</c:v>
                </c:pt>
                <c:pt idx="7">
                  <c:v>657338999679.23901</c:v>
                </c:pt>
                <c:pt idx="8">
                  <c:v>347986450.71847272</c:v>
                </c:pt>
                <c:pt idx="9">
                  <c:v>123434017.0298166</c:v>
                </c:pt>
                <c:pt idx="10">
                  <c:v>187710448613.98651</c:v>
                </c:pt>
                <c:pt idx="11">
                  <c:v>97110799294.730225</c:v>
                </c:pt>
                <c:pt idx="12">
                  <c:v>19290557066.632881</c:v>
                </c:pt>
                <c:pt idx="13">
                  <c:v>86286899780.695938</c:v>
                </c:pt>
                <c:pt idx="14">
                  <c:v>6063770063.6755037</c:v>
                </c:pt>
                <c:pt idx="15">
                  <c:v>1496274793240.512</c:v>
                </c:pt>
                <c:pt idx="16">
                  <c:v>24383129901.695759</c:v>
                </c:pt>
                <c:pt idx="17">
                  <c:v>279712366038.21069</c:v>
                </c:pt>
                <c:pt idx="18">
                  <c:v>72289349008.607193</c:v>
                </c:pt>
                <c:pt idx="19">
                  <c:v>163926700.21938229</c:v>
                </c:pt>
                <c:pt idx="20">
                  <c:v>17151066887.64653</c:v>
                </c:pt>
                <c:pt idx="21">
                  <c:v>118193701.93816601</c:v>
                </c:pt>
                <c:pt idx="22">
                  <c:v>13786120.319242099</c:v>
                </c:pt>
                <c:pt idx="23">
                  <c:v>73859698511.589188</c:v>
                </c:pt>
                <c:pt idx="24">
                  <c:v>179123568.1207701</c:v>
                </c:pt>
                <c:pt idx="25">
                  <c:v>122326303352.7643</c:v>
                </c:pt>
                <c:pt idx="26">
                  <c:v>1323988964.799758</c:v>
                </c:pt>
                <c:pt idx="27">
                  <c:v>695561006966.13806</c:v>
                </c:pt>
              </c:numCache>
            </c:numRef>
          </c:val>
          <c:extLst>
            <c:ext xmlns:c16="http://schemas.microsoft.com/office/drawing/2014/chart" uri="{C3380CC4-5D6E-409C-BE32-E72D297353CC}">
              <c16:uniqueId val="{00000000-95A3-7B4C-9356-EDC760C7E402}"/>
            </c:ext>
          </c:extLst>
        </c:ser>
        <c:dLbls>
          <c:showLegendKey val="0"/>
          <c:showVal val="0"/>
          <c:showCatName val="0"/>
          <c:showSerName val="0"/>
          <c:showPercent val="0"/>
          <c:showBubbleSize val="0"/>
        </c:dLbls>
        <c:gapWidth val="219"/>
        <c:overlap val="-27"/>
        <c:axId val="111577376"/>
        <c:axId val="111456192"/>
      </c:barChart>
      <c:catAx>
        <c:axId val="11157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1456192"/>
        <c:crosses val="autoZero"/>
        <c:auto val="1"/>
        <c:lblAlgn val="ctr"/>
        <c:lblOffset val="100"/>
        <c:noMultiLvlLbl val="0"/>
      </c:catAx>
      <c:valAx>
        <c:axId val="11145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157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ore grade - fuel use mine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4.4551149294651303E-4"/>
                  <c:y val="0.12302338553727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calculs_cop_grade!$E$11:$X$11</c:f>
              <c:numCache>
                <c:formatCode>0.00</c:formatCode>
                <c:ptCount val="20"/>
                <c:pt idx="0">
                  <c:v>1.1288298129131402</c:v>
                </c:pt>
                <c:pt idx="1">
                  <c:v>1.0980251429835466</c:v>
                </c:pt>
                <c:pt idx="2">
                  <c:v>1.1136887335171866</c:v>
                </c:pt>
                <c:pt idx="3">
                  <c:v>1.0724012919459787</c:v>
                </c:pt>
                <c:pt idx="4">
                  <c:v>1.0782485961312724</c:v>
                </c:pt>
                <c:pt idx="5">
                  <c:v>1.082491065224638</c:v>
                </c:pt>
                <c:pt idx="6">
                  <c:v>0.98820838640315234</c:v>
                </c:pt>
                <c:pt idx="7">
                  <c:v>0.91773731689476801</c:v>
                </c:pt>
                <c:pt idx="8">
                  <c:v>0.88770641390077842</c:v>
                </c:pt>
                <c:pt idx="9">
                  <c:v>0.84411173516591831</c:v>
                </c:pt>
                <c:pt idx="10" formatCode="General">
                  <c:v>0.72</c:v>
                </c:pt>
                <c:pt idx="11" formatCode="General">
                  <c:v>0.71</c:v>
                </c:pt>
                <c:pt idx="12" formatCode="General">
                  <c:v>0.72</c:v>
                </c:pt>
                <c:pt idx="13" formatCode="General">
                  <c:v>0.69</c:v>
                </c:pt>
                <c:pt idx="14" formatCode="General">
                  <c:v>0.65</c:v>
                </c:pt>
                <c:pt idx="15" formatCode="General">
                  <c:v>0.65</c:v>
                </c:pt>
                <c:pt idx="16" formatCode="General">
                  <c:v>0.61</c:v>
                </c:pt>
                <c:pt idx="17" formatCode="General">
                  <c:v>0.64</c:v>
                </c:pt>
                <c:pt idx="18" formatCode="General">
                  <c:v>0.64</c:v>
                </c:pt>
                <c:pt idx="19" formatCode="General">
                  <c:v>0.63</c:v>
                </c:pt>
              </c:numCache>
            </c:numRef>
          </c:xVal>
          <c:yVal>
            <c:numRef>
              <c:f>calculs_cop_grade!$E$12:$X$12</c:f>
              <c:numCache>
                <c:formatCode>General</c:formatCode>
                <c:ptCount val="20"/>
                <c:pt idx="0">
                  <c:v>4076.8582304534793</c:v>
                </c:pt>
                <c:pt idx="1">
                  <c:v>3964.3913269179002</c:v>
                </c:pt>
                <c:pt idx="2">
                  <c:v>3932.8794933798886</c:v>
                </c:pt>
                <c:pt idx="3">
                  <c:v>3799.9</c:v>
                </c:pt>
                <c:pt idx="4">
                  <c:v>4084.6</c:v>
                </c:pt>
                <c:pt idx="5">
                  <c:v>4702.8999999999996</c:v>
                </c:pt>
                <c:pt idx="6">
                  <c:v>5186.3999999999996</c:v>
                </c:pt>
                <c:pt idx="7">
                  <c:v>6155.9</c:v>
                </c:pt>
                <c:pt idx="8">
                  <c:v>5705.9</c:v>
                </c:pt>
                <c:pt idx="9">
                  <c:v>6986.2215422705704</c:v>
                </c:pt>
                <c:pt idx="10">
                  <c:v>6764.9692080130308</c:v>
                </c:pt>
                <c:pt idx="11">
                  <c:v>6905.1038945298797</c:v>
                </c:pt>
                <c:pt idx="12">
                  <c:v>7244.0181438774434</c:v>
                </c:pt>
                <c:pt idx="13">
                  <c:v>7924.2206132232823</c:v>
                </c:pt>
                <c:pt idx="14">
                  <c:v>8998.9898679084563</c:v>
                </c:pt>
                <c:pt idx="15">
                  <c:v>8895.7566186380445</c:v>
                </c:pt>
                <c:pt idx="16">
                  <c:v>9267.6936658450468</c:v>
                </c:pt>
                <c:pt idx="17">
                  <c:v>8970.7514173644922</c:v>
                </c:pt>
                <c:pt idx="18">
                  <c:v>9232.2322334339096</c:v>
                </c:pt>
                <c:pt idx="19">
                  <c:v>8822.3867360503828</c:v>
                </c:pt>
              </c:numCache>
            </c:numRef>
          </c:yVal>
          <c:smooth val="0"/>
          <c:extLst>
            <c:ext xmlns:c16="http://schemas.microsoft.com/office/drawing/2014/chart" uri="{C3380CC4-5D6E-409C-BE32-E72D297353CC}">
              <c16:uniqueId val="{00000000-C033-6C43-9691-5CB0A84FE60D}"/>
            </c:ext>
          </c:extLst>
        </c:ser>
        <c:dLbls>
          <c:showLegendKey val="0"/>
          <c:showVal val="0"/>
          <c:showCatName val="0"/>
          <c:showSerName val="0"/>
          <c:showPercent val="0"/>
          <c:showBubbleSize val="0"/>
        </c:dLbls>
        <c:axId val="729772016"/>
        <c:axId val="729775648"/>
      </c:scatterChart>
      <c:valAx>
        <c:axId val="7297720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9775648"/>
        <c:crosses val="autoZero"/>
        <c:crossBetween val="midCat"/>
      </c:valAx>
      <c:valAx>
        <c:axId val="72977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9772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ore</a:t>
            </a:r>
            <a:r>
              <a:rPr lang="fr-FR" baseline="0"/>
              <a:t> grade - fuel use concentrator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spPr>
            <a:ln w="19050" cap="rnd">
              <a:noFill/>
              <a:round/>
            </a:ln>
            <a:effectLst/>
          </c:spPr>
          <c:marker>
            <c:symbol val="circle"/>
            <c:size val="5"/>
            <c:spPr>
              <a:solidFill>
                <a:schemeClr val="accent2"/>
              </a:solidFill>
              <a:ln w="9525">
                <a:solidFill>
                  <a:schemeClr val="accent2"/>
                </a:solidFill>
              </a:ln>
              <a:effectLst/>
            </c:spPr>
          </c:marker>
          <c:xVal>
            <c:numRef>
              <c:f>calculs_cop_grade!$E$11:$X$11</c:f>
              <c:numCache>
                <c:formatCode>0.00</c:formatCode>
                <c:ptCount val="20"/>
                <c:pt idx="0">
                  <c:v>1.1288298129131402</c:v>
                </c:pt>
                <c:pt idx="1">
                  <c:v>1.0980251429835466</c:v>
                </c:pt>
                <c:pt idx="2">
                  <c:v>1.1136887335171866</c:v>
                </c:pt>
                <c:pt idx="3">
                  <c:v>1.0724012919459787</c:v>
                </c:pt>
                <c:pt idx="4">
                  <c:v>1.0782485961312724</c:v>
                </c:pt>
                <c:pt idx="5">
                  <c:v>1.082491065224638</c:v>
                </c:pt>
                <c:pt idx="6">
                  <c:v>0.98820838640315234</c:v>
                </c:pt>
                <c:pt idx="7">
                  <c:v>0.91773731689476801</c:v>
                </c:pt>
                <c:pt idx="8">
                  <c:v>0.88770641390077842</c:v>
                </c:pt>
                <c:pt idx="9">
                  <c:v>0.84411173516591831</c:v>
                </c:pt>
                <c:pt idx="10" formatCode="General">
                  <c:v>0.72</c:v>
                </c:pt>
                <c:pt idx="11" formatCode="General">
                  <c:v>0.71</c:v>
                </c:pt>
                <c:pt idx="12" formatCode="General">
                  <c:v>0.72</c:v>
                </c:pt>
                <c:pt idx="13" formatCode="General">
                  <c:v>0.69</c:v>
                </c:pt>
                <c:pt idx="14" formatCode="General">
                  <c:v>0.65</c:v>
                </c:pt>
                <c:pt idx="15" formatCode="General">
                  <c:v>0.65</c:v>
                </c:pt>
                <c:pt idx="16" formatCode="General">
                  <c:v>0.61</c:v>
                </c:pt>
                <c:pt idx="17" formatCode="General">
                  <c:v>0.64</c:v>
                </c:pt>
                <c:pt idx="18" formatCode="General">
                  <c:v>0.64</c:v>
                </c:pt>
                <c:pt idx="19" formatCode="General">
                  <c:v>0.63</c:v>
                </c:pt>
              </c:numCache>
            </c:numRef>
          </c:xVal>
          <c:yVal>
            <c:numRef>
              <c:f>calculs_cop_grade!$E$13:$X$13</c:f>
              <c:numCache>
                <c:formatCode>General</c:formatCode>
                <c:ptCount val="20"/>
                <c:pt idx="0">
                  <c:v>188.75151606368613</c:v>
                </c:pt>
                <c:pt idx="1">
                  <c:v>203.39460936505662</c:v>
                </c:pt>
                <c:pt idx="2">
                  <c:v>176.24423590822644</c:v>
                </c:pt>
                <c:pt idx="3">
                  <c:v>215.82598778932038</c:v>
                </c:pt>
                <c:pt idx="4">
                  <c:v>185.38483707950408</c:v>
                </c:pt>
                <c:pt idx="5">
                  <c:v>188.64115821956671</c:v>
                </c:pt>
                <c:pt idx="6">
                  <c:v>233.38731517670305</c:v>
                </c:pt>
                <c:pt idx="7">
                  <c:v>238.57912961315833</c:v>
                </c:pt>
                <c:pt idx="8">
                  <c:v>206.40723798406103</c:v>
                </c:pt>
                <c:pt idx="9">
                  <c:v>222.22787395996599</c:v>
                </c:pt>
                <c:pt idx="10">
                  <c:v>194.28049618641955</c:v>
                </c:pt>
                <c:pt idx="11">
                  <c:v>248.08903866496001</c:v>
                </c:pt>
                <c:pt idx="12">
                  <c:v>236.09168123677986</c:v>
                </c:pt>
                <c:pt idx="13">
                  <c:v>231.98797852544072</c:v>
                </c:pt>
                <c:pt idx="14">
                  <c:v>352.83158081243465</c:v>
                </c:pt>
                <c:pt idx="15">
                  <c:v>361.84960538497603</c:v>
                </c:pt>
                <c:pt idx="16">
                  <c:v>292.01504546971358</c:v>
                </c:pt>
                <c:pt idx="17">
                  <c:v>323.91361968012683</c:v>
                </c:pt>
                <c:pt idx="18">
                  <c:v>430.53510501907368</c:v>
                </c:pt>
                <c:pt idx="19">
                  <c:v>354.56553143699011</c:v>
                </c:pt>
              </c:numCache>
            </c:numRef>
          </c:yVal>
          <c:smooth val="0"/>
          <c:extLst>
            <c:ext xmlns:c16="http://schemas.microsoft.com/office/drawing/2014/chart" uri="{C3380CC4-5D6E-409C-BE32-E72D297353CC}">
              <c16:uniqueId val="{00000001-9A8A-054C-8C71-EC7D38D9F5E3}"/>
            </c:ext>
          </c:extLst>
        </c:ser>
        <c:dLbls>
          <c:showLegendKey val="0"/>
          <c:showVal val="0"/>
          <c:showCatName val="0"/>
          <c:showSerName val="0"/>
          <c:showPercent val="0"/>
          <c:showBubbleSize val="0"/>
        </c:dLbls>
        <c:axId val="1224061136"/>
        <c:axId val="1224062784"/>
      </c:scatterChart>
      <c:valAx>
        <c:axId val="12240611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24062784"/>
        <c:crosses val="autoZero"/>
        <c:crossBetween val="midCat"/>
      </c:valAx>
      <c:valAx>
        <c:axId val="122406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240611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ore</a:t>
            </a:r>
            <a:r>
              <a:rPr lang="fr-FR" baseline="0"/>
              <a:t> grade - electricity use mine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2"/>
          <c:order val="0"/>
          <c:spPr>
            <a:ln w="19050" cap="rnd">
              <a:noFill/>
              <a:round/>
            </a:ln>
            <a:effectLst/>
          </c:spPr>
          <c:marker>
            <c:symbol val="circle"/>
            <c:size val="5"/>
            <c:spPr>
              <a:solidFill>
                <a:schemeClr val="accent3"/>
              </a:solidFill>
              <a:ln w="9525">
                <a:solidFill>
                  <a:schemeClr val="accent3"/>
                </a:solidFill>
              </a:ln>
              <a:effectLst/>
            </c:spPr>
          </c:marker>
          <c:xVal>
            <c:numRef>
              <c:f>calculs_cop_grade!$E$11:$X$11</c:f>
              <c:numCache>
                <c:formatCode>0.00</c:formatCode>
                <c:ptCount val="20"/>
                <c:pt idx="0">
                  <c:v>1.1288298129131402</c:v>
                </c:pt>
                <c:pt idx="1">
                  <c:v>1.0980251429835466</c:v>
                </c:pt>
                <c:pt idx="2">
                  <c:v>1.1136887335171866</c:v>
                </c:pt>
                <c:pt idx="3">
                  <c:v>1.0724012919459787</c:v>
                </c:pt>
                <c:pt idx="4">
                  <c:v>1.0782485961312724</c:v>
                </c:pt>
                <c:pt idx="5">
                  <c:v>1.082491065224638</c:v>
                </c:pt>
                <c:pt idx="6">
                  <c:v>0.98820838640315234</c:v>
                </c:pt>
                <c:pt idx="7">
                  <c:v>0.91773731689476801</c:v>
                </c:pt>
                <c:pt idx="8">
                  <c:v>0.88770641390077842</c:v>
                </c:pt>
                <c:pt idx="9">
                  <c:v>0.84411173516591831</c:v>
                </c:pt>
                <c:pt idx="10" formatCode="General">
                  <c:v>0.72</c:v>
                </c:pt>
                <c:pt idx="11" formatCode="General">
                  <c:v>0.71</c:v>
                </c:pt>
                <c:pt idx="12" formatCode="General">
                  <c:v>0.72</c:v>
                </c:pt>
                <c:pt idx="13" formatCode="General">
                  <c:v>0.69</c:v>
                </c:pt>
                <c:pt idx="14" formatCode="General">
                  <c:v>0.65</c:v>
                </c:pt>
                <c:pt idx="15" formatCode="General">
                  <c:v>0.65</c:v>
                </c:pt>
                <c:pt idx="16" formatCode="General">
                  <c:v>0.61</c:v>
                </c:pt>
                <c:pt idx="17" formatCode="General">
                  <c:v>0.64</c:v>
                </c:pt>
                <c:pt idx="18" formatCode="General">
                  <c:v>0.64</c:v>
                </c:pt>
                <c:pt idx="19" formatCode="General">
                  <c:v>0.63</c:v>
                </c:pt>
              </c:numCache>
            </c:numRef>
          </c:xVal>
          <c:yVal>
            <c:numRef>
              <c:f>calculs_cop_grade!$E$14:$X$14</c:f>
              <c:numCache>
                <c:formatCode>General</c:formatCode>
                <c:ptCount val="20"/>
                <c:pt idx="0">
                  <c:v>618.3304586951806</c:v>
                </c:pt>
                <c:pt idx="1">
                  <c:v>673.4688583303863</c:v>
                </c:pt>
                <c:pt idx="2">
                  <c:v>689.14471822578082</c:v>
                </c:pt>
                <c:pt idx="3">
                  <c:v>770</c:v>
                </c:pt>
                <c:pt idx="4">
                  <c:v>758.5</c:v>
                </c:pt>
                <c:pt idx="5">
                  <c:v>757.3</c:v>
                </c:pt>
                <c:pt idx="6">
                  <c:v>808.2</c:v>
                </c:pt>
                <c:pt idx="7">
                  <c:v>878.1</c:v>
                </c:pt>
                <c:pt idx="8">
                  <c:v>772.4</c:v>
                </c:pt>
                <c:pt idx="9">
                  <c:v>840.49810939162501</c:v>
                </c:pt>
                <c:pt idx="10">
                  <c:v>832.53980543284138</c:v>
                </c:pt>
                <c:pt idx="11">
                  <c:v>821.5276089342201</c:v>
                </c:pt>
                <c:pt idx="12">
                  <c:v>817.77096532562962</c:v>
                </c:pt>
                <c:pt idx="13">
                  <c:v>787.40674404727724</c:v>
                </c:pt>
                <c:pt idx="14">
                  <c:v>772.54878710571245</c:v>
                </c:pt>
                <c:pt idx="15">
                  <c:v>853.40569752796614</c:v>
                </c:pt>
                <c:pt idx="16">
                  <c:v>834.27986793649006</c:v>
                </c:pt>
                <c:pt idx="17">
                  <c:v>853.49697471330069</c:v>
                </c:pt>
                <c:pt idx="18">
                  <c:v>958.66479498784281</c:v>
                </c:pt>
                <c:pt idx="19">
                  <c:v>961.00532520815511</c:v>
                </c:pt>
              </c:numCache>
            </c:numRef>
          </c:yVal>
          <c:smooth val="0"/>
          <c:extLst>
            <c:ext xmlns:c16="http://schemas.microsoft.com/office/drawing/2014/chart" uri="{C3380CC4-5D6E-409C-BE32-E72D297353CC}">
              <c16:uniqueId val="{00000002-D89D-A94A-95D7-F98D182B2E7F}"/>
            </c:ext>
          </c:extLst>
        </c:ser>
        <c:dLbls>
          <c:showLegendKey val="0"/>
          <c:showVal val="0"/>
          <c:showCatName val="0"/>
          <c:showSerName val="0"/>
          <c:showPercent val="0"/>
          <c:showBubbleSize val="0"/>
        </c:dLbls>
        <c:axId val="954603232"/>
        <c:axId val="954591200"/>
      </c:scatterChart>
      <c:valAx>
        <c:axId val="95460323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54591200"/>
        <c:crosses val="autoZero"/>
        <c:crossBetween val="midCat"/>
      </c:valAx>
      <c:valAx>
        <c:axId val="95459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54603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ore</a:t>
            </a:r>
            <a:r>
              <a:rPr lang="fr-FR" baseline="0"/>
              <a:t> grade - electricity use concentrator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3"/>
          <c:order val="0"/>
          <c:spPr>
            <a:ln w="1905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1"/>
            <c:dispEq val="1"/>
            <c:trendlineLbl>
              <c:layout>
                <c:manualLayout>
                  <c:x val="-8.0620650431102996E-4"/>
                  <c:y val="0.1744942309307099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calculs_cop_grade!$E$11:$X$11</c:f>
              <c:numCache>
                <c:formatCode>0.00</c:formatCode>
                <c:ptCount val="20"/>
                <c:pt idx="0">
                  <c:v>1.1288298129131402</c:v>
                </c:pt>
                <c:pt idx="1">
                  <c:v>1.0980251429835466</c:v>
                </c:pt>
                <c:pt idx="2">
                  <c:v>1.1136887335171866</c:v>
                </c:pt>
                <c:pt idx="3">
                  <c:v>1.0724012919459787</c:v>
                </c:pt>
                <c:pt idx="4">
                  <c:v>1.0782485961312724</c:v>
                </c:pt>
                <c:pt idx="5">
                  <c:v>1.082491065224638</c:v>
                </c:pt>
                <c:pt idx="6">
                  <c:v>0.98820838640315234</c:v>
                </c:pt>
                <c:pt idx="7">
                  <c:v>0.91773731689476801</c:v>
                </c:pt>
                <c:pt idx="8">
                  <c:v>0.88770641390077842</c:v>
                </c:pt>
                <c:pt idx="9">
                  <c:v>0.84411173516591831</c:v>
                </c:pt>
                <c:pt idx="10" formatCode="General">
                  <c:v>0.72</c:v>
                </c:pt>
                <c:pt idx="11" formatCode="General">
                  <c:v>0.71</c:v>
                </c:pt>
                <c:pt idx="12" formatCode="General">
                  <c:v>0.72</c:v>
                </c:pt>
                <c:pt idx="13" formatCode="General">
                  <c:v>0.69</c:v>
                </c:pt>
                <c:pt idx="14" formatCode="General">
                  <c:v>0.65</c:v>
                </c:pt>
                <c:pt idx="15" formatCode="General">
                  <c:v>0.65</c:v>
                </c:pt>
                <c:pt idx="16" formatCode="General">
                  <c:v>0.61</c:v>
                </c:pt>
                <c:pt idx="17" formatCode="General">
                  <c:v>0.64</c:v>
                </c:pt>
                <c:pt idx="18" formatCode="General">
                  <c:v>0.64</c:v>
                </c:pt>
                <c:pt idx="19" formatCode="General">
                  <c:v>0.63</c:v>
                </c:pt>
              </c:numCache>
            </c:numRef>
          </c:xVal>
          <c:yVal>
            <c:numRef>
              <c:f>calculs_cop_grade!$E$15:$X$15</c:f>
              <c:numCache>
                <c:formatCode>General</c:formatCode>
                <c:ptCount val="20"/>
                <c:pt idx="0">
                  <c:v>6881.705165135927</c:v>
                </c:pt>
                <c:pt idx="1">
                  <c:v>7135.3156383311298</c:v>
                </c:pt>
                <c:pt idx="2">
                  <c:v>6942.6786531269308</c:v>
                </c:pt>
                <c:pt idx="3">
                  <c:v>7240.7382907097863</c:v>
                </c:pt>
                <c:pt idx="4">
                  <c:v>7424.5023287714221</c:v>
                </c:pt>
                <c:pt idx="5">
                  <c:v>7862.7450756225526</c:v>
                </c:pt>
                <c:pt idx="6">
                  <c:v>8208.5472547420777</c:v>
                </c:pt>
                <c:pt idx="7">
                  <c:v>9055.4980196366141</c:v>
                </c:pt>
                <c:pt idx="8">
                  <c:v>8945.6</c:v>
                </c:pt>
                <c:pt idx="9">
                  <c:v>10283.474781265535</c:v>
                </c:pt>
                <c:pt idx="10">
                  <c:v>11250.298099905105</c:v>
                </c:pt>
                <c:pt idx="11">
                  <c:v>10557.216981523503</c:v>
                </c:pt>
                <c:pt idx="12">
                  <c:v>10810.35307387483</c:v>
                </c:pt>
                <c:pt idx="13">
                  <c:v>11325.036859037156</c:v>
                </c:pt>
                <c:pt idx="14">
                  <c:v>12069.755775542058</c:v>
                </c:pt>
                <c:pt idx="15">
                  <c:v>12147.435212275632</c:v>
                </c:pt>
                <c:pt idx="16">
                  <c:v>11790.245156449704</c:v>
                </c:pt>
                <c:pt idx="17">
                  <c:v>11405.500590237274</c:v>
                </c:pt>
                <c:pt idx="18">
                  <c:v>11459.068400231688</c:v>
                </c:pt>
                <c:pt idx="19">
                  <c:v>11999.98108985816</c:v>
                </c:pt>
              </c:numCache>
            </c:numRef>
          </c:yVal>
          <c:smooth val="0"/>
          <c:extLst>
            <c:ext xmlns:c16="http://schemas.microsoft.com/office/drawing/2014/chart" uri="{C3380CC4-5D6E-409C-BE32-E72D297353CC}">
              <c16:uniqueId val="{00000003-D04F-CE42-B747-B298607AD717}"/>
            </c:ext>
          </c:extLst>
        </c:ser>
        <c:dLbls>
          <c:showLegendKey val="0"/>
          <c:showVal val="0"/>
          <c:showCatName val="0"/>
          <c:showSerName val="0"/>
          <c:showPercent val="0"/>
          <c:showBubbleSize val="0"/>
        </c:dLbls>
        <c:axId val="1457509024"/>
        <c:axId val="1456794240"/>
      </c:scatterChart>
      <c:valAx>
        <c:axId val="14575090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56794240"/>
        <c:crosses val="autoZero"/>
        <c:crossBetween val="midCat"/>
      </c:valAx>
      <c:valAx>
        <c:axId val="145679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575090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lcia_cum_NZE_ei39!$K$1</c:f>
              <c:strCache>
                <c:ptCount val="1"/>
                <c:pt idx="0">
                  <c:v>IMPACT World+ Midpoint 2.0.1 | Midpoint | Fossil and nuclear energy use</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lcia_cum_NZE_ei39!$K$2:$K$29</c:f>
              <c:numCache>
                <c:formatCode>General</c:formatCode>
                <c:ptCount val="28"/>
                <c:pt idx="0">
                  <c:v>83544204701347.766</c:v>
                </c:pt>
                <c:pt idx="1">
                  <c:v>3494542812.0362811</c:v>
                </c:pt>
                <c:pt idx="2">
                  <c:v>2454305794.9314351</c:v>
                </c:pt>
                <c:pt idx="3">
                  <c:v>1023406348145.5439</c:v>
                </c:pt>
                <c:pt idx="4">
                  <c:v>3380418001484.5771</c:v>
                </c:pt>
                <c:pt idx="5">
                  <c:v>42126011001186.469</c:v>
                </c:pt>
                <c:pt idx="6">
                  <c:v>179740701666.9675</c:v>
                </c:pt>
                <c:pt idx="7">
                  <c:v>11087551169406.73</c:v>
                </c:pt>
                <c:pt idx="8">
                  <c:v>5577938019.3491268</c:v>
                </c:pt>
                <c:pt idx="9">
                  <c:v>1542002578.172014</c:v>
                </c:pt>
                <c:pt idx="10">
                  <c:v>2244442747403.5088</c:v>
                </c:pt>
                <c:pt idx="11">
                  <c:v>1231062910910.012</c:v>
                </c:pt>
                <c:pt idx="12">
                  <c:v>192059175265.77328</c:v>
                </c:pt>
                <c:pt idx="13">
                  <c:v>1005618251608.046</c:v>
                </c:pt>
                <c:pt idx="14">
                  <c:v>74561848138.59082</c:v>
                </c:pt>
                <c:pt idx="15">
                  <c:v>23083582717019.43</c:v>
                </c:pt>
                <c:pt idx="16">
                  <c:v>293687070223.93921</c:v>
                </c:pt>
                <c:pt idx="17">
                  <c:v>4423082438770.5195</c:v>
                </c:pt>
                <c:pt idx="18">
                  <c:v>897965695148.07764</c:v>
                </c:pt>
                <c:pt idx="19">
                  <c:v>2018944275.2676849</c:v>
                </c:pt>
                <c:pt idx="20">
                  <c:v>212093276718.6373</c:v>
                </c:pt>
                <c:pt idx="21">
                  <c:v>1448787917.845835</c:v>
                </c:pt>
                <c:pt idx="22">
                  <c:v>189051916.27334881</c:v>
                </c:pt>
                <c:pt idx="23">
                  <c:v>1036093843681.325</c:v>
                </c:pt>
                <c:pt idx="24">
                  <c:v>2477256324.4432678</c:v>
                </c:pt>
                <c:pt idx="25">
                  <c:v>1980991246285.855</c:v>
                </c:pt>
                <c:pt idx="26">
                  <c:v>17631790260.649311</c:v>
                </c:pt>
                <c:pt idx="27">
                  <c:v>8307897323967.5146</c:v>
                </c:pt>
              </c:numCache>
            </c:numRef>
          </c:val>
          <c:extLst>
            <c:ext xmlns:c16="http://schemas.microsoft.com/office/drawing/2014/chart" uri="{C3380CC4-5D6E-409C-BE32-E72D297353CC}">
              <c16:uniqueId val="{00000000-6AA1-794A-B0A0-D94D8992A3D9}"/>
            </c:ext>
          </c:extLst>
        </c:ser>
        <c:dLbls>
          <c:showLegendKey val="0"/>
          <c:showVal val="0"/>
          <c:showCatName val="0"/>
          <c:showSerName val="0"/>
          <c:showPercent val="0"/>
          <c:showBubbleSize val="0"/>
        </c:dLbls>
        <c:gapWidth val="219"/>
        <c:overlap val="-27"/>
        <c:axId val="426350464"/>
        <c:axId val="426366752"/>
      </c:barChart>
      <c:catAx>
        <c:axId val="42635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366752"/>
        <c:crosses val="autoZero"/>
        <c:auto val="1"/>
        <c:lblAlgn val="ctr"/>
        <c:lblOffset val="100"/>
        <c:noMultiLvlLbl val="0"/>
      </c:catAx>
      <c:valAx>
        <c:axId val="42636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35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lcia_cum_NZE_ei39!$L$1</c:f>
              <c:strCache>
                <c:ptCount val="1"/>
                <c:pt idx="0">
                  <c:v>IMPACT World+ Midpoint 2.0.1 | Midpoint | Freshwater acidification</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lcia_cum_NZE_ei39!$L$2:$L$29</c:f>
              <c:numCache>
                <c:formatCode>General</c:formatCode>
                <c:ptCount val="28"/>
                <c:pt idx="0">
                  <c:v>38676402312.864433</c:v>
                </c:pt>
                <c:pt idx="1">
                  <c:v>1938486.57433895</c:v>
                </c:pt>
                <c:pt idx="2">
                  <c:v>841293.84702561889</c:v>
                </c:pt>
                <c:pt idx="3">
                  <c:v>425586005.84530038</c:v>
                </c:pt>
                <c:pt idx="4">
                  <c:v>1277080427.900526</c:v>
                </c:pt>
                <c:pt idx="5">
                  <c:v>187782923135.4527</c:v>
                </c:pt>
                <c:pt idx="6">
                  <c:v>28925669.33260211</c:v>
                </c:pt>
                <c:pt idx="7">
                  <c:v>10369938449.98251</c:v>
                </c:pt>
                <c:pt idx="8">
                  <c:v>2194506.0530043649</c:v>
                </c:pt>
                <c:pt idx="9">
                  <c:v>2186340.20166833</c:v>
                </c:pt>
                <c:pt idx="10">
                  <c:v>1078397111.466681</c:v>
                </c:pt>
                <c:pt idx="11">
                  <c:v>631665501.4667021</c:v>
                </c:pt>
                <c:pt idx="12">
                  <c:v>102390283.0562038</c:v>
                </c:pt>
                <c:pt idx="13">
                  <c:v>448285312.14147621</c:v>
                </c:pt>
                <c:pt idx="14">
                  <c:v>61396865.246054649</c:v>
                </c:pt>
                <c:pt idx="15">
                  <c:v>124270502892.9431</c:v>
                </c:pt>
                <c:pt idx="16">
                  <c:v>106172991.1789186</c:v>
                </c:pt>
                <c:pt idx="17">
                  <c:v>13310970948.53701</c:v>
                </c:pt>
                <c:pt idx="18">
                  <c:v>382729609.33812147</c:v>
                </c:pt>
                <c:pt idx="19">
                  <c:v>873898.47093285737</c:v>
                </c:pt>
                <c:pt idx="20">
                  <c:v>90947348.416541725</c:v>
                </c:pt>
                <c:pt idx="21">
                  <c:v>629638.72529354622</c:v>
                </c:pt>
                <c:pt idx="22">
                  <c:v>678646.37393405219</c:v>
                </c:pt>
                <c:pt idx="23">
                  <c:v>485736829.18415701</c:v>
                </c:pt>
                <c:pt idx="24">
                  <c:v>3591611.5830151942</c:v>
                </c:pt>
                <c:pt idx="25">
                  <c:v>770506682.03047431</c:v>
                </c:pt>
                <c:pt idx="26">
                  <c:v>6458986.0503893737</c:v>
                </c:pt>
                <c:pt idx="27">
                  <c:v>2619204224.5653501</c:v>
                </c:pt>
              </c:numCache>
            </c:numRef>
          </c:val>
          <c:extLst>
            <c:ext xmlns:c16="http://schemas.microsoft.com/office/drawing/2014/chart" uri="{C3380CC4-5D6E-409C-BE32-E72D297353CC}">
              <c16:uniqueId val="{00000000-55B0-CC45-AC7E-6D44BC490476}"/>
            </c:ext>
          </c:extLst>
        </c:ser>
        <c:dLbls>
          <c:showLegendKey val="0"/>
          <c:showVal val="0"/>
          <c:showCatName val="0"/>
          <c:showSerName val="0"/>
          <c:showPercent val="0"/>
          <c:showBubbleSize val="0"/>
        </c:dLbls>
        <c:gapWidth val="219"/>
        <c:overlap val="-27"/>
        <c:axId val="426656480"/>
        <c:axId val="648187584"/>
      </c:barChart>
      <c:catAx>
        <c:axId val="42665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48187584"/>
        <c:crosses val="autoZero"/>
        <c:auto val="1"/>
        <c:lblAlgn val="ctr"/>
        <c:lblOffset val="100"/>
        <c:noMultiLvlLbl val="0"/>
      </c:catAx>
      <c:valAx>
        <c:axId val="64818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65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lcia_cum_NZE_ei39!$M$1</c:f>
              <c:strCache>
                <c:ptCount val="1"/>
                <c:pt idx="0">
                  <c:v>IMPACT World+ Midpoint 2.0.1 | Midpoint | Freshwater ecotoxicity</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lcia_cum_NZE_ei39!$M$2:$M$29</c:f>
              <c:numCache>
                <c:formatCode>General</c:formatCode>
                <c:ptCount val="28"/>
                <c:pt idx="0">
                  <c:v>2154005434969008</c:v>
                </c:pt>
                <c:pt idx="1">
                  <c:v>81256559218.012421</c:v>
                </c:pt>
                <c:pt idx="2">
                  <c:v>81612704381.008133</c:v>
                </c:pt>
                <c:pt idx="3">
                  <c:v>19088313277308.41</c:v>
                </c:pt>
                <c:pt idx="4">
                  <c:v>68386471449217.508</c:v>
                </c:pt>
                <c:pt idx="5">
                  <c:v>2.0687930640930472E+16</c:v>
                </c:pt>
                <c:pt idx="6">
                  <c:v>1604866051056.7471</c:v>
                </c:pt>
                <c:pt idx="7">
                  <c:v>161479386621130.09</c:v>
                </c:pt>
                <c:pt idx="8">
                  <c:v>258402267619.0105</c:v>
                </c:pt>
                <c:pt idx="9">
                  <c:v>120351840950.3988</c:v>
                </c:pt>
                <c:pt idx="10">
                  <c:v>56436680129771.617</c:v>
                </c:pt>
                <c:pt idx="11">
                  <c:v>32585893251862.699</c:v>
                </c:pt>
                <c:pt idx="12">
                  <c:v>9487892547146.0684</c:v>
                </c:pt>
                <c:pt idx="13">
                  <c:v>25472403293529.91</c:v>
                </c:pt>
                <c:pt idx="14">
                  <c:v>63460815614470.477</c:v>
                </c:pt>
                <c:pt idx="15">
                  <c:v>2760981047879902</c:v>
                </c:pt>
                <c:pt idx="16">
                  <c:v>8566997946504.1357</c:v>
                </c:pt>
                <c:pt idx="17">
                  <c:v>2382118093759295</c:v>
                </c:pt>
                <c:pt idx="18">
                  <c:v>48802965062911.031</c:v>
                </c:pt>
                <c:pt idx="19">
                  <c:v>108940517987.09171</c:v>
                </c:pt>
                <c:pt idx="20">
                  <c:v>11638804959048.17</c:v>
                </c:pt>
                <c:pt idx="21">
                  <c:v>80208109793.073349</c:v>
                </c:pt>
                <c:pt idx="22">
                  <c:v>48371497413.084312</c:v>
                </c:pt>
                <c:pt idx="23">
                  <c:v>197721564774173.69</c:v>
                </c:pt>
                <c:pt idx="24">
                  <c:v>275816182598.6897</c:v>
                </c:pt>
                <c:pt idx="25">
                  <c:v>82634916649896.734</c:v>
                </c:pt>
                <c:pt idx="26">
                  <c:v>315932255031.93262</c:v>
                </c:pt>
                <c:pt idx="27">
                  <c:v>107853973158736.5</c:v>
                </c:pt>
              </c:numCache>
            </c:numRef>
          </c:val>
          <c:extLst>
            <c:ext xmlns:c16="http://schemas.microsoft.com/office/drawing/2014/chart" uri="{C3380CC4-5D6E-409C-BE32-E72D297353CC}">
              <c16:uniqueId val="{00000000-88D8-0E44-B773-9A28337E2107}"/>
            </c:ext>
          </c:extLst>
        </c:ser>
        <c:dLbls>
          <c:showLegendKey val="0"/>
          <c:showVal val="0"/>
          <c:showCatName val="0"/>
          <c:showSerName val="0"/>
          <c:showPercent val="0"/>
          <c:showBubbleSize val="0"/>
        </c:dLbls>
        <c:gapWidth val="219"/>
        <c:overlap val="-27"/>
        <c:axId val="367167552"/>
        <c:axId val="461588479"/>
      </c:barChart>
      <c:catAx>
        <c:axId val="36716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61588479"/>
        <c:crosses val="autoZero"/>
        <c:auto val="1"/>
        <c:lblAlgn val="ctr"/>
        <c:lblOffset val="100"/>
        <c:noMultiLvlLbl val="0"/>
      </c:catAx>
      <c:valAx>
        <c:axId val="4615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716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lcia_cum_NZE_ei39!$N$1</c:f>
              <c:strCache>
                <c:ptCount val="1"/>
                <c:pt idx="0">
                  <c:v>IMPACT World+ Midpoint 2.0.1 | Midpoint | Freshwater eutrophication</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lcia_cum_NZE_ei39!$N$2:$N$29</c:f>
              <c:numCache>
                <c:formatCode>General</c:formatCode>
                <c:ptCount val="28"/>
                <c:pt idx="0">
                  <c:v>23048032.952953529</c:v>
                </c:pt>
                <c:pt idx="1">
                  <c:v>4650.7224433252786</c:v>
                </c:pt>
                <c:pt idx="2">
                  <c:v>1278.527790963833</c:v>
                </c:pt>
                <c:pt idx="3">
                  <c:v>145913.1521219032</c:v>
                </c:pt>
                <c:pt idx="4">
                  <c:v>63067727.078505494</c:v>
                </c:pt>
                <c:pt idx="5">
                  <c:v>102752305.06360979</c:v>
                </c:pt>
                <c:pt idx="6">
                  <c:v>2047762.777948434</c:v>
                </c:pt>
                <c:pt idx="7">
                  <c:v>2641645.672518265</c:v>
                </c:pt>
                <c:pt idx="8">
                  <c:v>3754.773838303985</c:v>
                </c:pt>
                <c:pt idx="9">
                  <c:v>5210.8608432209749</c:v>
                </c:pt>
                <c:pt idx="10">
                  <c:v>367334264.37134099</c:v>
                </c:pt>
                <c:pt idx="11">
                  <c:v>226286096.92466089</c:v>
                </c:pt>
                <c:pt idx="12">
                  <c:v>67578.557655966841</c:v>
                </c:pt>
                <c:pt idx="13">
                  <c:v>428860.70240966469</c:v>
                </c:pt>
                <c:pt idx="14">
                  <c:v>138684.74084653129</c:v>
                </c:pt>
                <c:pt idx="15">
                  <c:v>385279937.46012372</c:v>
                </c:pt>
                <c:pt idx="16">
                  <c:v>276762.82723602752</c:v>
                </c:pt>
                <c:pt idx="17">
                  <c:v>2295368.868559984</c:v>
                </c:pt>
                <c:pt idx="18">
                  <c:v>29096707.049715839</c:v>
                </c:pt>
                <c:pt idx="19">
                  <c:v>68416.928990977773</c:v>
                </c:pt>
                <c:pt idx="20">
                  <c:v>7065258.8011358418</c:v>
                </c:pt>
                <c:pt idx="21">
                  <c:v>50719.737240277696</c:v>
                </c:pt>
                <c:pt idx="22">
                  <c:v>617.16575157417537</c:v>
                </c:pt>
                <c:pt idx="23">
                  <c:v>1344292.6742399849</c:v>
                </c:pt>
                <c:pt idx="24">
                  <c:v>8134.1514213618902</c:v>
                </c:pt>
                <c:pt idx="25">
                  <c:v>1401903.319673409</c:v>
                </c:pt>
                <c:pt idx="26">
                  <c:v>77722.999145554408</c:v>
                </c:pt>
                <c:pt idx="27">
                  <c:v>4239166.8907174226</c:v>
                </c:pt>
              </c:numCache>
            </c:numRef>
          </c:val>
          <c:extLst>
            <c:ext xmlns:c16="http://schemas.microsoft.com/office/drawing/2014/chart" uri="{C3380CC4-5D6E-409C-BE32-E72D297353CC}">
              <c16:uniqueId val="{00000000-C4D3-6646-8CD4-1025B4A80C86}"/>
            </c:ext>
          </c:extLst>
        </c:ser>
        <c:dLbls>
          <c:showLegendKey val="0"/>
          <c:showVal val="0"/>
          <c:showCatName val="0"/>
          <c:showSerName val="0"/>
          <c:showPercent val="0"/>
          <c:showBubbleSize val="0"/>
        </c:dLbls>
        <c:gapWidth val="219"/>
        <c:overlap val="-27"/>
        <c:axId val="1885649055"/>
        <c:axId val="1885605903"/>
      </c:barChart>
      <c:catAx>
        <c:axId val="188564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85605903"/>
        <c:crosses val="autoZero"/>
        <c:auto val="1"/>
        <c:lblAlgn val="ctr"/>
        <c:lblOffset val="100"/>
        <c:noMultiLvlLbl val="0"/>
      </c:catAx>
      <c:valAx>
        <c:axId val="188560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8564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lcia_cum_NZE_ei39!$O$1</c:f>
              <c:strCache>
                <c:ptCount val="1"/>
                <c:pt idx="0">
                  <c:v>IMPACT World+ Midpoint 2.0.1 | Midpoint | Human toxicity cancer</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lcia_cum_NZE_ei39!$O$2:$O$29</c:f>
              <c:numCache>
                <c:formatCode>General</c:formatCode>
                <c:ptCount val="28"/>
                <c:pt idx="0">
                  <c:v>505387.09913997189</c:v>
                </c:pt>
                <c:pt idx="1">
                  <c:v>4.6408312421234834</c:v>
                </c:pt>
                <c:pt idx="2">
                  <c:v>37.37817541380781</c:v>
                </c:pt>
                <c:pt idx="3">
                  <c:v>5110.4457848517404</c:v>
                </c:pt>
                <c:pt idx="4">
                  <c:v>5394.5097648092706</c:v>
                </c:pt>
                <c:pt idx="5">
                  <c:v>571327.70300556684</c:v>
                </c:pt>
                <c:pt idx="6">
                  <c:v>168.73191313252821</c:v>
                </c:pt>
                <c:pt idx="7">
                  <c:v>6303.3501178978186</c:v>
                </c:pt>
                <c:pt idx="8">
                  <c:v>136.34035599443919</c:v>
                </c:pt>
                <c:pt idx="9">
                  <c:v>51.929080353914017</c:v>
                </c:pt>
                <c:pt idx="10">
                  <c:v>3544.3323662373768</c:v>
                </c:pt>
                <c:pt idx="11">
                  <c:v>2021.0933819281361</c:v>
                </c:pt>
                <c:pt idx="12">
                  <c:v>161436.9970986305</c:v>
                </c:pt>
                <c:pt idx="13">
                  <c:v>1310.9292724258689</c:v>
                </c:pt>
                <c:pt idx="14">
                  <c:v>570.96017977319843</c:v>
                </c:pt>
                <c:pt idx="15">
                  <c:v>35196.154883716546</c:v>
                </c:pt>
                <c:pt idx="16">
                  <c:v>271.49470445530062</c:v>
                </c:pt>
                <c:pt idx="17">
                  <c:v>4125.3823400473166</c:v>
                </c:pt>
                <c:pt idx="18">
                  <c:v>2762.4812985960721</c:v>
                </c:pt>
                <c:pt idx="19">
                  <c:v>6.7909412458383542</c:v>
                </c:pt>
                <c:pt idx="20">
                  <c:v>674.56482133306179</c:v>
                </c:pt>
                <c:pt idx="21">
                  <c:v>4.9569934319234683</c:v>
                </c:pt>
                <c:pt idx="22">
                  <c:v>2.148536480503167</c:v>
                </c:pt>
                <c:pt idx="23">
                  <c:v>4146.5458424977942</c:v>
                </c:pt>
                <c:pt idx="24">
                  <c:v>11.85239939623114</c:v>
                </c:pt>
                <c:pt idx="25">
                  <c:v>51525.141359878442</c:v>
                </c:pt>
                <c:pt idx="26">
                  <c:v>20.98920653539119</c:v>
                </c:pt>
                <c:pt idx="27">
                  <c:v>4604.1575733881646</c:v>
                </c:pt>
              </c:numCache>
            </c:numRef>
          </c:val>
          <c:extLst>
            <c:ext xmlns:c16="http://schemas.microsoft.com/office/drawing/2014/chart" uri="{C3380CC4-5D6E-409C-BE32-E72D297353CC}">
              <c16:uniqueId val="{00000000-AC58-BE40-AC56-28F1030210AC}"/>
            </c:ext>
          </c:extLst>
        </c:ser>
        <c:dLbls>
          <c:showLegendKey val="0"/>
          <c:showVal val="0"/>
          <c:showCatName val="0"/>
          <c:showSerName val="0"/>
          <c:showPercent val="0"/>
          <c:showBubbleSize val="0"/>
        </c:dLbls>
        <c:gapWidth val="219"/>
        <c:overlap val="-27"/>
        <c:axId val="320128672"/>
        <c:axId val="320436160"/>
      </c:barChart>
      <c:catAx>
        <c:axId val="32012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0436160"/>
        <c:crosses val="autoZero"/>
        <c:auto val="1"/>
        <c:lblAlgn val="ctr"/>
        <c:lblOffset val="100"/>
        <c:noMultiLvlLbl val="0"/>
      </c:catAx>
      <c:valAx>
        <c:axId val="32043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012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lcia_cum_NZE_ei39!$P$1</c:f>
              <c:strCache>
                <c:ptCount val="1"/>
                <c:pt idx="0">
                  <c:v>IMPACT World+ Midpoint 2.0.1 | Midpoint | Human toxicity non-cancer</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lcia_cum_NZE_ei39!$P$2:$P$29</c:f>
              <c:numCache>
                <c:formatCode>General</c:formatCode>
                <c:ptCount val="28"/>
                <c:pt idx="0">
                  <c:v>1588158.3313244779</c:v>
                </c:pt>
                <c:pt idx="1">
                  <c:v>67.158319654125549</c:v>
                </c:pt>
                <c:pt idx="2">
                  <c:v>149.56782221088909</c:v>
                </c:pt>
                <c:pt idx="3">
                  <c:v>8184.2744502270307</c:v>
                </c:pt>
                <c:pt idx="4">
                  <c:v>79287.738333860936</c:v>
                </c:pt>
                <c:pt idx="5">
                  <c:v>29571003.846452739</c:v>
                </c:pt>
                <c:pt idx="6">
                  <c:v>935.65153554737003</c:v>
                </c:pt>
                <c:pt idx="7">
                  <c:v>52919.463758357662</c:v>
                </c:pt>
                <c:pt idx="8">
                  <c:v>496.68424753510681</c:v>
                </c:pt>
                <c:pt idx="9">
                  <c:v>931.49365640787573</c:v>
                </c:pt>
                <c:pt idx="10">
                  <c:v>39359.976264981713</c:v>
                </c:pt>
                <c:pt idx="11">
                  <c:v>23050.90309983931</c:v>
                </c:pt>
                <c:pt idx="12">
                  <c:v>2960.8205042770678</c:v>
                </c:pt>
                <c:pt idx="13">
                  <c:v>15117.072598189359</c:v>
                </c:pt>
                <c:pt idx="14">
                  <c:v>1237.045859244452</c:v>
                </c:pt>
                <c:pt idx="15">
                  <c:v>397447.82181956968</c:v>
                </c:pt>
                <c:pt idx="16">
                  <c:v>6826.9502371227491</c:v>
                </c:pt>
                <c:pt idx="17">
                  <c:v>50581.665411647104</c:v>
                </c:pt>
                <c:pt idx="18">
                  <c:v>24311.705558521069</c:v>
                </c:pt>
                <c:pt idx="19">
                  <c:v>55.377040746659873</c:v>
                </c:pt>
                <c:pt idx="20">
                  <c:v>5835.6285575369138</c:v>
                </c:pt>
                <c:pt idx="21">
                  <c:v>40.842504671532708</c:v>
                </c:pt>
                <c:pt idx="22">
                  <c:v>107.2124629320612</c:v>
                </c:pt>
                <c:pt idx="23">
                  <c:v>30637.328554554471</c:v>
                </c:pt>
                <c:pt idx="24">
                  <c:v>576.53897195538866</c:v>
                </c:pt>
                <c:pt idx="25">
                  <c:v>184957.60932243531</c:v>
                </c:pt>
                <c:pt idx="26">
                  <c:v>200.09143913372171</c:v>
                </c:pt>
                <c:pt idx="27">
                  <c:v>32488.01889488435</c:v>
                </c:pt>
              </c:numCache>
            </c:numRef>
          </c:val>
          <c:extLst>
            <c:ext xmlns:c16="http://schemas.microsoft.com/office/drawing/2014/chart" uri="{C3380CC4-5D6E-409C-BE32-E72D297353CC}">
              <c16:uniqueId val="{00000000-6EB9-EA4D-B59C-A4F0023C1601}"/>
            </c:ext>
          </c:extLst>
        </c:ser>
        <c:dLbls>
          <c:showLegendKey val="0"/>
          <c:showVal val="0"/>
          <c:showCatName val="0"/>
          <c:showSerName val="0"/>
          <c:showPercent val="0"/>
          <c:showBubbleSize val="0"/>
        </c:dLbls>
        <c:gapWidth val="219"/>
        <c:overlap val="-27"/>
        <c:axId val="480488640"/>
        <c:axId val="648186000"/>
      </c:barChart>
      <c:catAx>
        <c:axId val="48048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48186000"/>
        <c:crosses val="autoZero"/>
        <c:auto val="1"/>
        <c:lblAlgn val="ctr"/>
        <c:lblOffset val="100"/>
        <c:noMultiLvlLbl val="0"/>
      </c:catAx>
      <c:valAx>
        <c:axId val="64818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048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lcia_cum_NZE_ei39!$Q$1</c:f>
              <c:strCache>
                <c:ptCount val="1"/>
                <c:pt idx="0">
                  <c:v>IMPACT World+ Midpoint 2.0.1 | Midpoint | Ionizing radiations</c:v>
                </c:pt>
              </c:strCache>
            </c:strRef>
          </c:tx>
          <c:spPr>
            <a:solidFill>
              <a:schemeClr val="accent1"/>
            </a:solidFill>
            <a:ln>
              <a:noFill/>
            </a:ln>
            <a:effectLst/>
          </c:spPr>
          <c:invertIfNegative val="0"/>
          <c:cat>
            <c:strRef>
              <c:f>lcia_cum_NZE_ei39!$B$2:$B$29</c:f>
              <c:strCache>
                <c:ptCount val="28"/>
                <c:pt idx="0">
                  <c:v>aluminium, wrought alloy | market for aluminium, wrought alloy | GLO | kilogram | cutoff391</c:v>
                </c:pt>
                <c:pt idx="1">
                  <c:v>boron carbide | market for boron carbide | GLO | kilogram | cutoff391</c:v>
                </c:pt>
                <c:pt idx="2">
                  <c:v>cadmium, semiconductor-grade | market for cadmium, semiconductor-grade | GLO | kilogram | cutoff391</c:v>
                </c:pt>
                <c:pt idx="3">
                  <c:v>ferrochromium, high-carbon, 55% Cr | market for ferrochromium, high-carbon, 55% Cr | GLO | kilogram | cutoff391</c:v>
                </c:pt>
                <c:pt idx="4">
                  <c:v>cobalt sulfate | market for cobalt sulfate | CN | kilogram | cutoff391</c:v>
                </c:pt>
                <c:pt idx="5">
                  <c:v>copper, cathode | market for copper, cathode | GLO | kilogram | cutoff391</c:v>
                </c:pt>
                <c:pt idx="6">
                  <c:v>gallium, semiconductor-grade | market for gallium, semiconductor-grade | GLO | kilogram | cutoff391</c:v>
                </c:pt>
                <c:pt idx="7">
                  <c:v>synthetic graphite, battery grade | market for synthetic graphite, battery grade | CN | kilogram | cutoff391</c:v>
                </c:pt>
                <c:pt idx="8">
                  <c:v>indium | market for indium | GLO | kilogram | cutoff391</c:v>
                </c:pt>
                <c:pt idx="9">
                  <c:v>lead | market for lead | GLO | kilogram | cutoff391</c:v>
                </c:pt>
                <c:pt idx="10">
                  <c:v>lithium hydroxide | market for lithium hydroxide | GLO | kilogram | cutoff391</c:v>
                </c:pt>
                <c:pt idx="11">
                  <c:v>lithium carbonate | market for lithium carbonate | GLO | kilogram | cutoff391</c:v>
                </c:pt>
                <c:pt idx="12">
                  <c:v>ferromanganese, high-coal, 74.5% Mn | market for ferromanganese, high-coal, 74.5% Mn | GLO | kilogram | cutoff391</c:v>
                </c:pt>
                <c:pt idx="13">
                  <c:v>manganese dioxide | market for manganese dioxide | GLO | kilogram | cutoff391</c:v>
                </c:pt>
                <c:pt idx="14">
                  <c:v>molybdenite | market for molybdenite | GLO | kilogram | cutoff391</c:v>
                </c:pt>
                <c:pt idx="15">
                  <c:v>nickel, class 1 | market for nickel, class 1 | GLO | kilogram | cutoff391</c:v>
                </c:pt>
                <c:pt idx="16">
                  <c:v>ferronickel | market for ferronickel | GLO | kilogram | cutoff391</c:v>
                </c:pt>
                <c:pt idx="17">
                  <c:v>platinum | market for platinum | GLO | kilogram | cutoff391</c:v>
                </c:pt>
                <c:pt idx="18">
                  <c:v>neodymium oxide | market for neodymium oxide | GLO | kilogram | cutoff391</c:v>
                </c:pt>
                <c:pt idx="19">
                  <c:v>dysprosium oxide | market for dysprosium oxide | GLO | kilogram | cutoff391</c:v>
                </c:pt>
                <c:pt idx="20">
                  <c:v>praseodymium oxide | market for praseodymium oxide | GLO | kilogram | cutoff391</c:v>
                </c:pt>
                <c:pt idx="21">
                  <c:v>terbium oxide | market for terbium oxide | GLO | kilogram | cutoff391</c:v>
                </c:pt>
                <c:pt idx="22">
                  <c:v>selenium | market for selenium | GLO | kilogram | cutoff391</c:v>
                </c:pt>
                <c:pt idx="23">
                  <c:v>silver | market for silver | GLO | kilogram | cutoff391</c:v>
                </c:pt>
                <c:pt idx="24">
                  <c:v>tellurium, semiconductor-grade | market for tellurium, semiconductor-grade | GLO | kilogram | cutoff391</c:v>
                </c:pt>
                <c:pt idx="25">
                  <c:v>zinc | market for zinc | GLO | kilogram | cutoff391</c:v>
                </c:pt>
                <c:pt idx="26">
                  <c:v>zirconium oxide | market for zirconium oxide | GLO | kilogram | cutoff391</c:v>
                </c:pt>
                <c:pt idx="27">
                  <c:v>silicon, metallurgical grade | market for silicon, metallurgical grade | GLO | kilogram | cutoff391</c:v>
                </c:pt>
              </c:strCache>
            </c:strRef>
          </c:cat>
          <c:val>
            <c:numRef>
              <c:f>lcia_cum_NZE_ei39!$Q$2:$Q$29</c:f>
              <c:numCache>
                <c:formatCode>General</c:formatCode>
                <c:ptCount val="28"/>
                <c:pt idx="0">
                  <c:v>16996657244082.449</c:v>
                </c:pt>
                <c:pt idx="1">
                  <c:v>2812743210.934186</c:v>
                </c:pt>
                <c:pt idx="2">
                  <c:v>3643778858.1668549</c:v>
                </c:pt>
                <c:pt idx="3">
                  <c:v>420934565929.84637</c:v>
                </c:pt>
                <c:pt idx="4">
                  <c:v>10800845788182.99</c:v>
                </c:pt>
                <c:pt idx="5">
                  <c:v>42765144398670.18</c:v>
                </c:pt>
                <c:pt idx="6">
                  <c:v>61057369533.232986</c:v>
                </c:pt>
                <c:pt idx="7">
                  <c:v>2607277681292.627</c:v>
                </c:pt>
                <c:pt idx="8">
                  <c:v>10164762221.696011</c:v>
                </c:pt>
                <c:pt idx="9">
                  <c:v>1225587263.9290819</c:v>
                </c:pt>
                <c:pt idx="10">
                  <c:v>945102312787.74622</c:v>
                </c:pt>
                <c:pt idx="11">
                  <c:v>499262370396.99841</c:v>
                </c:pt>
                <c:pt idx="12">
                  <c:v>115798135477.7133</c:v>
                </c:pt>
                <c:pt idx="13">
                  <c:v>982979254835.79504</c:v>
                </c:pt>
                <c:pt idx="14">
                  <c:v>57142268223.191017</c:v>
                </c:pt>
                <c:pt idx="15">
                  <c:v>48370840386087.406</c:v>
                </c:pt>
                <c:pt idx="16">
                  <c:v>160975097150.76389</c:v>
                </c:pt>
                <c:pt idx="17">
                  <c:v>1315064479376.134</c:v>
                </c:pt>
                <c:pt idx="18">
                  <c:v>6881318385518.6006</c:v>
                </c:pt>
                <c:pt idx="19">
                  <c:v>17670902252.74234</c:v>
                </c:pt>
                <c:pt idx="20">
                  <c:v>1715838069724.3091</c:v>
                </c:pt>
                <c:pt idx="21">
                  <c:v>13100823150.03845</c:v>
                </c:pt>
                <c:pt idx="22">
                  <c:v>200198385.83011141</c:v>
                </c:pt>
                <c:pt idx="23">
                  <c:v>973502355432.90918</c:v>
                </c:pt>
                <c:pt idx="24">
                  <c:v>2976802791.7904272</c:v>
                </c:pt>
                <c:pt idx="25">
                  <c:v>3633794671020.9941</c:v>
                </c:pt>
                <c:pt idx="26">
                  <c:v>12221886082.97784</c:v>
                </c:pt>
                <c:pt idx="27">
                  <c:v>6883810880607.7012</c:v>
                </c:pt>
              </c:numCache>
            </c:numRef>
          </c:val>
          <c:extLst>
            <c:ext xmlns:c16="http://schemas.microsoft.com/office/drawing/2014/chart" uri="{C3380CC4-5D6E-409C-BE32-E72D297353CC}">
              <c16:uniqueId val="{00000000-9D74-8B41-98DE-80FE4B47E783}"/>
            </c:ext>
          </c:extLst>
        </c:ser>
        <c:dLbls>
          <c:showLegendKey val="0"/>
          <c:showVal val="0"/>
          <c:showCatName val="0"/>
          <c:showSerName val="0"/>
          <c:showPercent val="0"/>
          <c:showBubbleSize val="0"/>
        </c:dLbls>
        <c:gapWidth val="219"/>
        <c:overlap val="-27"/>
        <c:axId val="320037872"/>
        <c:axId val="320051824"/>
      </c:barChart>
      <c:catAx>
        <c:axId val="32003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0051824"/>
        <c:crosses val="autoZero"/>
        <c:auto val="1"/>
        <c:lblAlgn val="ctr"/>
        <c:lblOffset val="100"/>
        <c:noMultiLvlLbl val="0"/>
      </c:catAx>
      <c:valAx>
        <c:axId val="32005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003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7</xdr:col>
      <xdr:colOff>52966</xdr:colOff>
      <xdr:row>29</xdr:row>
      <xdr:rowOff>183314</xdr:rowOff>
    </xdr:from>
    <xdr:to>
      <xdr:col>9</xdr:col>
      <xdr:colOff>795079</xdr:colOff>
      <xdr:row>44</xdr:row>
      <xdr:rowOff>46863</xdr:rowOff>
    </xdr:to>
    <xdr:graphicFrame macro="">
      <xdr:nvGraphicFramePr>
        <xdr:cNvPr id="2" name="Graphique 1">
          <a:extLst>
            <a:ext uri="{FF2B5EF4-FFF2-40B4-BE49-F238E27FC236}">
              <a16:creationId xmlns:a16="http://schemas.microsoft.com/office/drawing/2014/main" id="{664CA11F-B000-AD4A-9101-8DDC92091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3439238</xdr:colOff>
      <xdr:row>45</xdr:row>
      <xdr:rowOff>166380</xdr:rowOff>
    </xdr:from>
    <xdr:to>
      <xdr:col>10</xdr:col>
      <xdr:colOff>732860</xdr:colOff>
      <xdr:row>60</xdr:row>
      <xdr:rowOff>29929</xdr:rowOff>
    </xdr:to>
    <xdr:graphicFrame macro="">
      <xdr:nvGraphicFramePr>
        <xdr:cNvPr id="3" name="Graphique 2">
          <a:extLst>
            <a:ext uri="{FF2B5EF4-FFF2-40B4-BE49-F238E27FC236}">
              <a16:creationId xmlns:a16="http://schemas.microsoft.com/office/drawing/2014/main" id="{8C642AD6-B033-5F40-BAD6-E485DCD2E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3622355</xdr:colOff>
      <xdr:row>29</xdr:row>
      <xdr:rowOff>103373</xdr:rowOff>
    </xdr:from>
    <xdr:to>
      <xdr:col>11</xdr:col>
      <xdr:colOff>638740</xdr:colOff>
      <xdr:row>43</xdr:row>
      <xdr:rowOff>158898</xdr:rowOff>
    </xdr:to>
    <xdr:graphicFrame macro="">
      <xdr:nvGraphicFramePr>
        <xdr:cNvPr id="4" name="Graphique 3">
          <a:extLst>
            <a:ext uri="{FF2B5EF4-FFF2-40B4-BE49-F238E27FC236}">
              <a16:creationId xmlns:a16="http://schemas.microsoft.com/office/drawing/2014/main" id="{FFB43DFB-28A2-AA41-9B78-428F60FE4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3341969</xdr:colOff>
      <xdr:row>45</xdr:row>
      <xdr:rowOff>33474</xdr:rowOff>
    </xdr:from>
    <xdr:to>
      <xdr:col>12</xdr:col>
      <xdr:colOff>397342</xdr:colOff>
      <xdr:row>59</xdr:row>
      <xdr:rowOff>89000</xdr:rowOff>
    </xdr:to>
    <xdr:graphicFrame macro="">
      <xdr:nvGraphicFramePr>
        <xdr:cNvPr id="5" name="Graphique 4">
          <a:extLst>
            <a:ext uri="{FF2B5EF4-FFF2-40B4-BE49-F238E27FC236}">
              <a16:creationId xmlns:a16="http://schemas.microsoft.com/office/drawing/2014/main" id="{C15A11B0-9788-874A-97B5-4D5F27B2D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17722</xdr:colOff>
      <xdr:row>31</xdr:row>
      <xdr:rowOff>16540</xdr:rowOff>
    </xdr:from>
    <xdr:to>
      <xdr:col>13</xdr:col>
      <xdr:colOff>738372</xdr:colOff>
      <xdr:row>45</xdr:row>
      <xdr:rowOff>72066</xdr:rowOff>
    </xdr:to>
    <xdr:graphicFrame macro="">
      <xdr:nvGraphicFramePr>
        <xdr:cNvPr id="6" name="Graphique 5">
          <a:extLst>
            <a:ext uri="{FF2B5EF4-FFF2-40B4-BE49-F238E27FC236}">
              <a16:creationId xmlns:a16="http://schemas.microsoft.com/office/drawing/2014/main" id="{9FD25FF5-EE40-364D-AEC6-593AB238B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3591837</xdr:colOff>
      <xdr:row>46</xdr:row>
      <xdr:rowOff>11815</xdr:rowOff>
    </xdr:from>
    <xdr:to>
      <xdr:col>14</xdr:col>
      <xdr:colOff>227616</xdr:colOff>
      <xdr:row>60</xdr:row>
      <xdr:rowOff>61631</xdr:rowOff>
    </xdr:to>
    <xdr:graphicFrame macro="">
      <xdr:nvGraphicFramePr>
        <xdr:cNvPr id="7" name="Graphique 6">
          <a:extLst>
            <a:ext uri="{FF2B5EF4-FFF2-40B4-BE49-F238E27FC236}">
              <a16:creationId xmlns:a16="http://schemas.microsoft.com/office/drawing/2014/main" id="{6B9CDE84-7611-724A-AAF5-C92FDE9EB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3972441</xdr:colOff>
      <xdr:row>30</xdr:row>
      <xdr:rowOff>1380</xdr:rowOff>
    </xdr:from>
    <xdr:to>
      <xdr:col>15</xdr:col>
      <xdr:colOff>592666</xdr:colOff>
      <xdr:row>44</xdr:row>
      <xdr:rowOff>56905</xdr:rowOff>
    </xdr:to>
    <xdr:graphicFrame macro="">
      <xdr:nvGraphicFramePr>
        <xdr:cNvPr id="8" name="Graphique 7">
          <a:extLst>
            <a:ext uri="{FF2B5EF4-FFF2-40B4-BE49-F238E27FC236}">
              <a16:creationId xmlns:a16="http://schemas.microsoft.com/office/drawing/2014/main" id="{3D2D98FD-7725-1044-BB31-B6C6272B1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3641061</xdr:colOff>
      <xdr:row>45</xdr:row>
      <xdr:rowOff>107311</xdr:rowOff>
    </xdr:from>
    <xdr:to>
      <xdr:col>16</xdr:col>
      <xdr:colOff>487916</xdr:colOff>
      <xdr:row>59</xdr:row>
      <xdr:rowOff>162836</xdr:rowOff>
    </xdr:to>
    <xdr:graphicFrame macro="">
      <xdr:nvGraphicFramePr>
        <xdr:cNvPr id="9" name="Graphique 8">
          <a:extLst>
            <a:ext uri="{FF2B5EF4-FFF2-40B4-BE49-F238E27FC236}">
              <a16:creationId xmlns:a16="http://schemas.microsoft.com/office/drawing/2014/main" id="{DBA0CE86-BCBB-594F-A9B4-EC40EE6FC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3263212</xdr:colOff>
      <xdr:row>30</xdr:row>
      <xdr:rowOff>26976</xdr:rowOff>
    </xdr:from>
    <xdr:to>
      <xdr:col>17</xdr:col>
      <xdr:colOff>676350</xdr:colOff>
      <xdr:row>44</xdr:row>
      <xdr:rowOff>82501</xdr:rowOff>
    </xdr:to>
    <xdr:graphicFrame macro="">
      <xdr:nvGraphicFramePr>
        <xdr:cNvPr id="10" name="Graphique 9">
          <a:extLst>
            <a:ext uri="{FF2B5EF4-FFF2-40B4-BE49-F238E27FC236}">
              <a16:creationId xmlns:a16="http://schemas.microsoft.com/office/drawing/2014/main" id="{C8E8F8BB-66EB-2242-81C6-601261547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3487047</xdr:colOff>
      <xdr:row>45</xdr:row>
      <xdr:rowOff>146255</xdr:rowOff>
    </xdr:from>
    <xdr:to>
      <xdr:col>18</xdr:col>
      <xdr:colOff>810964</xdr:colOff>
      <xdr:row>60</xdr:row>
      <xdr:rowOff>168028</xdr:rowOff>
    </xdr:to>
    <xdr:graphicFrame macro="">
      <xdr:nvGraphicFramePr>
        <xdr:cNvPr id="11" name="Graphique 10">
          <a:extLst>
            <a:ext uri="{FF2B5EF4-FFF2-40B4-BE49-F238E27FC236}">
              <a16:creationId xmlns:a16="http://schemas.microsoft.com/office/drawing/2014/main" id="{98BF049D-D30D-184C-962D-106B2A824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1064963</xdr:colOff>
      <xdr:row>30</xdr:row>
      <xdr:rowOff>89665</xdr:rowOff>
    </xdr:from>
    <xdr:to>
      <xdr:col>19</xdr:col>
      <xdr:colOff>2264578</xdr:colOff>
      <xdr:row>45</xdr:row>
      <xdr:rowOff>78648</xdr:rowOff>
    </xdr:to>
    <xdr:graphicFrame macro="">
      <xdr:nvGraphicFramePr>
        <xdr:cNvPr id="12" name="Graphique 11">
          <a:extLst>
            <a:ext uri="{FF2B5EF4-FFF2-40B4-BE49-F238E27FC236}">
              <a16:creationId xmlns:a16="http://schemas.microsoft.com/office/drawing/2014/main" id="{D5510944-5948-0342-8F10-C858B480A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3635566</xdr:colOff>
      <xdr:row>46</xdr:row>
      <xdr:rowOff>181472</xdr:rowOff>
    </xdr:from>
    <xdr:to>
      <xdr:col>20</xdr:col>
      <xdr:colOff>566144</xdr:colOff>
      <xdr:row>61</xdr:row>
      <xdr:rowOff>170455</xdr:rowOff>
    </xdr:to>
    <xdr:graphicFrame macro="">
      <xdr:nvGraphicFramePr>
        <xdr:cNvPr id="13" name="Graphique 12">
          <a:extLst>
            <a:ext uri="{FF2B5EF4-FFF2-40B4-BE49-F238E27FC236}">
              <a16:creationId xmlns:a16="http://schemas.microsoft.com/office/drawing/2014/main" id="{2CA0D9B7-B3FD-9942-B3B8-D9F8E5833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3191832</xdr:colOff>
      <xdr:row>29</xdr:row>
      <xdr:rowOff>181473</xdr:rowOff>
    </xdr:from>
    <xdr:to>
      <xdr:col>21</xdr:col>
      <xdr:colOff>673253</xdr:colOff>
      <xdr:row>44</xdr:row>
      <xdr:rowOff>170456</xdr:rowOff>
    </xdr:to>
    <xdr:graphicFrame macro="">
      <xdr:nvGraphicFramePr>
        <xdr:cNvPr id="14" name="Graphique 13">
          <a:extLst>
            <a:ext uri="{FF2B5EF4-FFF2-40B4-BE49-F238E27FC236}">
              <a16:creationId xmlns:a16="http://schemas.microsoft.com/office/drawing/2014/main" id="{98707603-7AC4-084A-8BEF-B43DE6613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3176529</xdr:colOff>
      <xdr:row>46</xdr:row>
      <xdr:rowOff>74364</xdr:rowOff>
    </xdr:from>
    <xdr:to>
      <xdr:col>22</xdr:col>
      <xdr:colOff>627349</xdr:colOff>
      <xdr:row>61</xdr:row>
      <xdr:rowOff>63347</xdr:rowOff>
    </xdr:to>
    <xdr:graphicFrame macro="">
      <xdr:nvGraphicFramePr>
        <xdr:cNvPr id="15" name="Graphique 14">
          <a:extLst>
            <a:ext uri="{FF2B5EF4-FFF2-40B4-BE49-F238E27FC236}">
              <a16:creationId xmlns:a16="http://schemas.microsoft.com/office/drawing/2014/main" id="{67BC1E89-94CC-A744-8236-6D93C75BF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3176530</xdr:colOff>
      <xdr:row>30</xdr:row>
      <xdr:rowOff>43761</xdr:rowOff>
    </xdr:from>
    <xdr:to>
      <xdr:col>23</xdr:col>
      <xdr:colOff>612048</xdr:colOff>
      <xdr:row>45</xdr:row>
      <xdr:rowOff>32744</xdr:rowOff>
    </xdr:to>
    <xdr:graphicFrame macro="">
      <xdr:nvGraphicFramePr>
        <xdr:cNvPr id="16" name="Graphique 15">
          <a:extLst>
            <a:ext uri="{FF2B5EF4-FFF2-40B4-BE49-F238E27FC236}">
              <a16:creationId xmlns:a16="http://schemas.microsoft.com/office/drawing/2014/main" id="{B0D54CDE-849C-C240-8C10-364B13468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3298941</xdr:colOff>
      <xdr:row>48</xdr:row>
      <xdr:rowOff>28460</xdr:rowOff>
    </xdr:from>
    <xdr:to>
      <xdr:col>24</xdr:col>
      <xdr:colOff>459036</xdr:colOff>
      <xdr:row>63</xdr:row>
      <xdr:rowOff>17443</xdr:rowOff>
    </xdr:to>
    <xdr:graphicFrame macro="">
      <xdr:nvGraphicFramePr>
        <xdr:cNvPr id="17" name="Graphique 16">
          <a:extLst>
            <a:ext uri="{FF2B5EF4-FFF2-40B4-BE49-F238E27FC236}">
              <a16:creationId xmlns:a16="http://schemas.microsoft.com/office/drawing/2014/main" id="{0009E6B5-2EA2-AE4D-843C-D8E7F3940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23</xdr:col>
      <xdr:colOff>3650868</xdr:colOff>
      <xdr:row>31</xdr:row>
      <xdr:rowOff>28461</xdr:rowOff>
    </xdr:from>
    <xdr:to>
      <xdr:col>25</xdr:col>
      <xdr:colOff>856867</xdr:colOff>
      <xdr:row>46</xdr:row>
      <xdr:rowOff>17444</xdr:rowOff>
    </xdr:to>
    <xdr:graphicFrame macro="">
      <xdr:nvGraphicFramePr>
        <xdr:cNvPr id="18" name="Graphique 17">
          <a:extLst>
            <a:ext uri="{FF2B5EF4-FFF2-40B4-BE49-F238E27FC236}">
              <a16:creationId xmlns:a16="http://schemas.microsoft.com/office/drawing/2014/main" id="{76AC0740-1135-C547-AA12-5BF7ECC23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24</xdr:col>
      <xdr:colOff>3543759</xdr:colOff>
      <xdr:row>48</xdr:row>
      <xdr:rowOff>43761</xdr:rowOff>
    </xdr:from>
    <xdr:to>
      <xdr:col>27</xdr:col>
      <xdr:colOff>489638</xdr:colOff>
      <xdr:row>63</xdr:row>
      <xdr:rowOff>32744</xdr:rowOff>
    </xdr:to>
    <xdr:graphicFrame macro="">
      <xdr:nvGraphicFramePr>
        <xdr:cNvPr id="19" name="Graphique 18">
          <a:extLst>
            <a:ext uri="{FF2B5EF4-FFF2-40B4-BE49-F238E27FC236}">
              <a16:creationId xmlns:a16="http://schemas.microsoft.com/office/drawing/2014/main" id="{1B33B295-2DCF-F24B-AAE5-BBD5F8DB5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200281</xdr:colOff>
      <xdr:row>20</xdr:row>
      <xdr:rowOff>196160</xdr:rowOff>
    </xdr:from>
    <xdr:to>
      <xdr:col>11</xdr:col>
      <xdr:colOff>183444</xdr:colOff>
      <xdr:row>48</xdr:row>
      <xdr:rowOff>158044</xdr:rowOff>
    </xdr:to>
    <xdr:graphicFrame macro="">
      <xdr:nvGraphicFramePr>
        <xdr:cNvPr id="2" name="Graphique 1">
          <a:extLst>
            <a:ext uri="{FF2B5EF4-FFF2-40B4-BE49-F238E27FC236}">
              <a16:creationId xmlns:a16="http://schemas.microsoft.com/office/drawing/2014/main" id="{1990603E-87FC-A72C-5174-3C86331A5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642057</xdr:colOff>
      <xdr:row>20</xdr:row>
      <xdr:rowOff>187677</xdr:rowOff>
    </xdr:from>
    <xdr:to>
      <xdr:col>20</xdr:col>
      <xdr:colOff>268111</xdr:colOff>
      <xdr:row>47</xdr:row>
      <xdr:rowOff>42332</xdr:rowOff>
    </xdr:to>
    <xdr:graphicFrame macro="">
      <xdr:nvGraphicFramePr>
        <xdr:cNvPr id="3" name="Graphique 2">
          <a:extLst>
            <a:ext uri="{FF2B5EF4-FFF2-40B4-BE49-F238E27FC236}">
              <a16:creationId xmlns:a16="http://schemas.microsoft.com/office/drawing/2014/main" id="{70B66846-5E6A-9521-F43F-65E5F0EA7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254000</xdr:colOff>
      <xdr:row>48</xdr:row>
      <xdr:rowOff>82457</xdr:rowOff>
    </xdr:from>
    <xdr:to>
      <xdr:col>20</xdr:col>
      <xdr:colOff>846667</xdr:colOff>
      <xdr:row>74</xdr:row>
      <xdr:rowOff>55217</xdr:rowOff>
    </xdr:to>
    <xdr:graphicFrame macro="">
      <xdr:nvGraphicFramePr>
        <xdr:cNvPr id="4" name="Graphique 3">
          <a:extLst>
            <a:ext uri="{FF2B5EF4-FFF2-40B4-BE49-F238E27FC236}">
              <a16:creationId xmlns:a16="http://schemas.microsoft.com/office/drawing/2014/main" id="{1891294A-1AEF-DEC6-C8E7-B0CE685E8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419651</xdr:colOff>
      <xdr:row>20</xdr:row>
      <xdr:rowOff>137676</xdr:rowOff>
    </xdr:from>
    <xdr:to>
      <xdr:col>27</xdr:col>
      <xdr:colOff>478549</xdr:colOff>
      <xdr:row>47</xdr:row>
      <xdr:rowOff>0</xdr:rowOff>
    </xdr:to>
    <xdr:graphicFrame macro="">
      <xdr:nvGraphicFramePr>
        <xdr:cNvPr id="5" name="Graphique 4">
          <a:extLst>
            <a:ext uri="{FF2B5EF4-FFF2-40B4-BE49-F238E27FC236}">
              <a16:creationId xmlns:a16="http://schemas.microsoft.com/office/drawing/2014/main" id="{3DC9E882-1FE0-910D-E212-07C3C91CA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272406</xdr:colOff>
      <xdr:row>49</xdr:row>
      <xdr:rowOff>64051</xdr:rowOff>
    </xdr:from>
    <xdr:to>
      <xdr:col>28</xdr:col>
      <xdr:colOff>883478</xdr:colOff>
      <xdr:row>73</xdr:row>
      <xdr:rowOff>165651</xdr:rowOff>
    </xdr:to>
    <xdr:graphicFrame macro="">
      <xdr:nvGraphicFramePr>
        <xdr:cNvPr id="6" name="Graphique 5">
          <a:extLst>
            <a:ext uri="{FF2B5EF4-FFF2-40B4-BE49-F238E27FC236}">
              <a16:creationId xmlns:a16="http://schemas.microsoft.com/office/drawing/2014/main" id="{0080A854-8C28-FE51-5352-2C58BC507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ll data" connectionId="1" xr16:uid="{69434CF0-7012-FB4B-B0DB-F2D2E3021803}"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97396B2-5B1C-8E41-845C-083596B03143}" name="Tableau7" displayName="Tableau7" ref="A1:R17" totalsRowShown="0" headerRowDxfId="139" dataDxfId="138" tableBorderDxfId="137">
  <autoFilter ref="A1:R17" xr:uid="{297396B2-5B1C-8E41-845C-083596B03143}"/>
  <tableColumns count="18">
    <tableColumn id="1" xr3:uid="{7E178469-AEFA-7B41-A608-DB11C0EFBBC6}" name="Title" dataDxfId="136"/>
    <tableColumn id="2" xr3:uid="{F2FCD1B5-477C-5D44-AF51-A14C7023FBC5}" name="Author" dataDxfId="135"/>
    <tableColumn id="3" xr3:uid="{3A791625-6A29-E440-9721-1C3FA2366A49}" name="Date" dataDxfId="134"/>
    <tableColumn id="4" xr3:uid="{96D694BD-30C1-B740-9F1F-037A9BB1BA33}" name="Time Horizon" dataDxfId="133"/>
    <tableColumn id="5" xr3:uid="{65748E24-DBED-F648-8932-F365977DDB37}" name="Solar PV" dataDxfId="132"/>
    <tableColumn id="6" xr3:uid="{D43BCB73-9372-B44D-88E4-23A6AC0B2125}" name="Wind" dataDxfId="131"/>
    <tableColumn id="7" xr3:uid="{E1BF3A23-0DB8-FC49-BB31-57D24770EAA1}" name="EV" dataDxfId="130"/>
    <tableColumn id="8" xr3:uid="{0199C131-29DC-AA4E-AB42-AB68AC7754A6}" name="Battery Storage" dataDxfId="129"/>
    <tableColumn id="9" xr3:uid="{B8F3F278-87C4-914A-B641-2FD9D5C596BC}" name="Electricity Grids" dataDxfId="128"/>
    <tableColumn id="10" xr3:uid="{F853B11F-DF21-E348-B45B-6E5927F26426}" name="Fuel cells" dataDxfId="127"/>
    <tableColumn id="11" xr3:uid="{715D7712-16F7-9146-B396-6B2172BB7621}" name="Solar CSP" dataDxfId="126"/>
    <tableColumn id="12" xr3:uid="{EADD3AC1-7038-C94C-AA4E-9853A6BC6639}" name="Nuclear" dataDxfId="125"/>
    <tableColumn id="13" xr3:uid="{9747257E-A379-2445-9065-7DA2924117E0}" name="Geothermal" dataDxfId="124"/>
    <tableColumn id="14" xr3:uid="{FE44F968-2B98-2349-ADBB-6B6315269469}" name="Biomass" dataDxfId="123"/>
    <tableColumn id="15" xr3:uid="{C25111F6-D372-C84B-BCEF-A986F0DFA890}" name="CCS" dataDxfId="122"/>
    <tableColumn id="16" xr3:uid="{E75A0387-19D5-8E44-B946-5734FFF1CE49}" name="Others" dataDxfId="121"/>
    <tableColumn id="17" xr3:uid="{0A41C0F6-CBF4-DA40-8221-41C95305FE3C}" name="Methodology" dataDxfId="120"/>
    <tableColumn id="18" xr3:uid="{66922FAC-1F25-5246-88B0-34DEE9B905D2}" name="Scenarios" dataDxfId="119"/>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199CD81-2F99-4044-8C44-1AE0F3530D04}" name="Tableau15" displayName="Tableau15" ref="A1:H623" totalsRowShown="0" headerRowDxfId="34">
  <autoFilter ref="A1:H623" xr:uid="{1199CD81-2F99-4044-8C44-1AE0F3530D04}"/>
  <tableColumns count="8">
    <tableColumn id="1" xr3:uid="{04D3D95E-7567-8749-AA77-AF422AAD22ED}" name="Country"/>
    <tableColumn id="2" xr3:uid="{C9340A66-1AEE-5340-9817-BE006EFF5084}" name="Deposit"/>
    <tableColumn id="3" xr3:uid="{A44EC675-CF5C-6046-936A-58659D607E92}" name="ResV Mt"/>
    <tableColumn id="4" xr3:uid="{8F5A99FC-E4F7-FA47-A27E-ED1A4C62BD4F}" name="Grade ResV"/>
    <tableColumn id="5" xr3:uid="{A60B94A5-EEB7-9C4A-8EFF-DD660C089F60}" name="ResV ktNi">
      <calculatedColumnFormula>C2*D2*10</calculatedColumnFormula>
    </tableColumn>
    <tableColumn id="6" xr3:uid="{AF1BE476-8561-E146-AAF4-D5C89A28A951}" name="ResC Mt"/>
    <tableColumn id="7" xr3:uid="{9B942605-FD15-9B41-8881-1A6FA3D4C558}" name="Grade ResC"/>
    <tableColumn id="8" xr3:uid="{4BDCBEAB-DC1A-E14A-8C4F-F82A261F44B3}" name="ResC ktNi">
      <calculatedColumnFormula>F2*G2*10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26D920F-4E48-4147-A8B9-5AC68018876F}" name="Tableau20" displayName="Tableau20" ref="A1:B27" totalsRowShown="0" headerRowDxfId="33">
  <autoFilter ref="A1:B27" xr:uid="{A26D920F-4E48-4147-A8B9-5AC68018876F}"/>
  <sortState xmlns:xlrd2="http://schemas.microsoft.com/office/spreadsheetml/2017/richdata2" ref="A2:B27">
    <sortCondition descending="1" ref="B1:B27"/>
  </sortState>
  <tableColumns count="2">
    <tableColumn id="1" xr3:uid="{FD00A5AD-BECC-934A-85B0-30FD906704AC}" name="Country" dataDxfId="32"/>
    <tableColumn id="2" xr3:uid="{A48AF317-2D66-6E40-A584-DD8A879E630C}" name="Mine Prod tNi"/>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2A735AB-D5A0-414D-B2EC-4852B5A1A6F2}" name="Tableau18" displayName="Tableau18" ref="A1:U429" totalsRowShown="0">
  <autoFilter ref="A1:U429" xr:uid="{B2A735AB-D5A0-414D-B2EC-4852B5A1A6F2}"/>
  <sortState xmlns:xlrd2="http://schemas.microsoft.com/office/spreadsheetml/2017/richdata2" ref="A4:U30">
    <sortCondition ref="B1:B32"/>
  </sortState>
  <tableColumns count="21">
    <tableColumn id="1" xr3:uid="{9C17D18F-49A5-794B-985D-1433A7C0F7B0}" name="Colonne1" dataDxfId="31"/>
    <tableColumn id="2" xr3:uid="{0953BC04-A073-1142-B71A-29A93691131C}" name="Colonne2"/>
    <tableColumn id="3" xr3:uid="{9FEC5118-F12F-B64D-9CF9-D537788BB6F6}" name="2022" dataDxfId="30"/>
    <tableColumn id="10" xr3:uid="{1B464E73-A10B-8E41-95D3-AEC3BFCEDFBC}" name="Colonne3" dataDxfId="29"/>
    <tableColumn id="11" xr3:uid="{E153C534-F17F-824B-AD6A-497AD108C993}" name="Colonne4" dataDxfId="28"/>
    <tableColumn id="4" xr3:uid="{13A632CE-40C3-8142-9046-05F04920CC07}" name="2025" dataDxfId="27"/>
    <tableColumn id="12" xr3:uid="{9D21A734-466E-9140-BC3B-736C03DD2B63}" name="Colonne5" dataDxfId="26"/>
    <tableColumn id="13" xr3:uid="{52255A64-38DA-7343-BA52-E869AD1A7840}" name="Colonne6" dataDxfId="25"/>
    <tableColumn id="5" xr3:uid="{53E8213E-E3A3-E84A-B2AE-5863BE053C52}" name="2030" dataDxfId="24"/>
    <tableColumn id="16" xr3:uid="{2D6F9C5D-A769-4C43-9525-D50535829F06}" name="Colonne7" dataDxfId="23"/>
    <tableColumn id="17" xr3:uid="{30B898AD-6F16-7341-B152-3334C1A92D22}" name="Colonne8" dataDxfId="22"/>
    <tableColumn id="6" xr3:uid="{B963BA1E-D737-4842-97A9-9C4CA3667EAA}" name="2035" dataDxfId="21"/>
    <tableColumn id="20" xr3:uid="{2AC874F2-F8C4-C94D-B307-023EF8BF743A}" name="Colonne9" dataDxfId="20"/>
    <tableColumn id="21" xr3:uid="{C9D70462-3D84-A143-9538-1009D791015B}" name="Colonne10" dataDxfId="19"/>
    <tableColumn id="7" xr3:uid="{9C43307C-2855-6E46-96EC-FF4C368D40DD}" name="2040" dataDxfId="18"/>
    <tableColumn id="24" xr3:uid="{A657BF21-F28F-074E-828E-71D44B65EEDD}" name="Colonne11" dataDxfId="17"/>
    <tableColumn id="25" xr3:uid="{FBBE9BED-D9B4-274D-B0D5-8277D78BCD95}" name="Colonne12" dataDxfId="16"/>
    <tableColumn id="8" xr3:uid="{D53645EE-3985-2842-9FD9-ED656EA276E4}" name="2045" dataDxfId="15"/>
    <tableColumn id="31" xr3:uid="{B0CD253D-9F24-E047-8F4A-7BDB0A7B7882}" name="Colonne13" dataDxfId="14"/>
    <tableColumn id="32" xr3:uid="{619486DB-4DC3-7542-B00F-D261FCD19AAC}" name="Colonne14" dataDxfId="13"/>
    <tableColumn id="9" xr3:uid="{CA9239A8-FA9F-F143-84D4-A8FDD6190DAB}" name="2050"/>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A4D7E9E-8D42-1C4F-8911-6ABCC44D3648}" name="Tableau10" displayName="Tableau10" ref="A1:C42" totalsRowShown="0" headerRowDxfId="12">
  <autoFilter ref="A1:C42" xr:uid="{CA4D7E9E-8D42-1C4F-8911-6ABCC44D3648}"/>
  <sortState xmlns:xlrd2="http://schemas.microsoft.com/office/spreadsheetml/2017/richdata2" ref="A2:C42">
    <sortCondition descending="1" ref="C1:C42"/>
  </sortState>
  <tableColumns count="3">
    <tableColumn id="1" xr3:uid="{51AB5D1E-420A-764D-AF75-04865FC98D9F}" name="Country"/>
    <tableColumn id="2" xr3:uid="{DDDDEC40-6C13-4C4F-B78F-603755801C17}" name="Region">
      <calculatedColumnFormula>LOOKUP(A2,REGIONS[Country],REGIONS[Region REMIND])</calculatedColumnFormula>
    </tableColumn>
    <tableColumn id="3" xr3:uid="{E56F6D64-6712-CF41-A1CC-FFA3EC603319}" name="Primary production kt"/>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C20C34-EFF4-8B44-A03F-0A30819F9757}" name="Tableau11" displayName="Tableau11" ref="A47:I55" totalsRowShown="0" headerRowDxfId="11">
  <autoFilter ref="A47:I55" xr:uid="{E3C20C34-EFF4-8B44-A03F-0A30819F9757}"/>
  <sortState xmlns:xlrd2="http://schemas.microsoft.com/office/spreadsheetml/2017/richdata2" ref="A48:G55">
    <sortCondition ref="B47:B55"/>
  </sortState>
  <tableColumns count="9">
    <tableColumn id="1" xr3:uid="{AACC47D0-08D0-A34E-9B33-72B37BC956A5}" name="IAI Area" dataDxfId="10"/>
    <tableColumn id="2" xr3:uid="{87A5A802-ADC6-5043-BF4F-501F00BF44F4}" name="Region"/>
    <tableColumn id="3" xr3:uid="{00795D37-91BC-A042-B0BB-885F3B71D834}" name="Primary production kt"/>
    <tableColumn id="4" xr3:uid="{BE2C50AF-0FB9-9E4C-A71F-21339C697D66}" name="Secondary production kt"/>
    <tableColumn id="6" xr3:uid="{A760805D-EE97-C640-AA37-22491C87B21D}" name="Share old scrap"/>
    <tableColumn id="7" xr3:uid="{691E06CE-936D-7B47-90A3-6CD4AAD50F27}" name="Primary production %" dataDxfId="9">
      <calculatedColumnFormula>Tableau11[[#This Row],[Primary production kt]]/SUM(Tableau11[Primary production kt])</calculatedColumnFormula>
    </tableColumn>
    <tableColumn id="8" xr3:uid="{C2D03511-878F-D348-A439-74981E905AC1}" name="Secondary production %" dataDxfId="8">
      <calculatedColumnFormula>Tableau11[[#This Row],[Secondary production kt]]/SUM(Tableau11[Secondary production kt])</calculatedColumnFormula>
    </tableColumn>
    <tableColumn id="5" xr3:uid="{7834B51B-388F-8D49-A493-B4A209549449}" name="Secondary Producion Old Scrap">
      <calculatedColumnFormula>Tableau11[[#This Row],[Secondary production %]]*Tableau11[[#This Row],[Share old scrap]]</calculatedColumnFormula>
    </tableColumn>
    <tableColumn id="9" xr3:uid="{444DAAF9-24DE-D646-A725-BCD11C57F2D3}" name="Secondary Producion New Scrap">
      <calculatedColumnFormula>Tableau11[[#This Row],[Secondary production %]]*(1-Tableau11[[#This Row],[Share old scrap]])</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75A6722-E6DE-744A-AA89-E8E6D59AB6B1}" name="Tableau16" displayName="Tableau16" ref="A1:Z29" totalsRowShown="0" headerRowDxfId="7">
  <autoFilter ref="A1:Z29" xr:uid="{2A02E6E1-7C8A-4C45-B703-6F904998AF96}"/>
  <tableColumns count="26">
    <tableColumn id="1" xr3:uid="{70E2E8CD-5F7D-5247-8980-BB0FC480C775}" name="Colonne1" dataDxfId="6"/>
    <tableColumn id="2" xr3:uid="{9C725D4E-D8C0-184C-8936-5B8C74CCDA73}" name="index"/>
    <tableColumn id="3" xr3:uid="{CC21A094-C9A9-BA44-9EB0-77A6BC6A0AFD}" name="amount"/>
    <tableColumn id="4" xr3:uid="{22B1BE69-7C8B-C648-9E0A-0F3EE64052B4}" name="unit"/>
    <tableColumn id="5" xr3:uid="{36DCF83F-ACA0-154E-9084-77F43FEB3152}" name="reference product"/>
    <tableColumn id="6" xr3:uid="{1F438857-F15D-CB46-8F10-9513ED433C04}" name="name"/>
    <tableColumn id="7" xr3:uid="{FF182FE8-B67E-7144-B931-B3BB7AFE7C91}" name="location"/>
    <tableColumn id="8" xr3:uid="{C40D9935-9CEB-DF42-847D-3FAC13612BDB}" name="database"/>
    <tableColumn id="9" xr3:uid="{F128BA0E-247A-6F49-911D-B89C8293FE90}" name="IMPACT World+ Midpoint 2.0.1 | Midpoint | Climate change, long term"/>
    <tableColumn id="10" xr3:uid="{3C081FE7-E9E7-5548-927A-7C8C29943952}" name="IMPACT World+ Midpoint 2.0.1 | Midpoint | Climate change, short term"/>
    <tableColumn id="11" xr3:uid="{5A898EE5-024B-AD49-BAB8-A72411E377FE}" name="IMPACT World+ Midpoint 2.0.1 | Midpoint | Fossil and nuclear energy use"/>
    <tableColumn id="12" xr3:uid="{32857374-0498-E545-94FE-8E082EBE9162}" name="IMPACT World+ Midpoint 2.0.1 | Midpoint | Freshwater acidification"/>
    <tableColumn id="13" xr3:uid="{4C421F35-68F0-464B-B4CA-17283DC7FC2A}" name="IMPACT World+ Midpoint 2.0.1 | Midpoint | Freshwater ecotoxicity"/>
    <tableColumn id="14" xr3:uid="{5E699D24-0C3D-5142-A1E2-2CDCB33B36BB}" name="IMPACT World+ Midpoint 2.0.1 | Midpoint | Freshwater eutrophication"/>
    <tableColumn id="15" xr3:uid="{DC4ED435-485A-8341-99A0-71787E9B26C9}" name="IMPACT World+ Midpoint 2.0.1 | Midpoint | Human toxicity cancer"/>
    <tableColumn id="16" xr3:uid="{831C5654-9DF1-9247-B183-E3C49D9D3C99}" name="IMPACT World+ Midpoint 2.0.1 | Midpoint | Human toxicity non-cancer"/>
    <tableColumn id="17" xr3:uid="{3FD547F3-A5B1-6B44-93EB-AF04D8A463DE}" name="IMPACT World+ Midpoint 2.0.1 | Midpoint | Ionizing radiations"/>
    <tableColumn id="18" xr3:uid="{1242C4B6-38C2-894F-9A25-0BEF2714BD08}" name="IMPACT World+ Midpoint 2.0.1 | Midpoint | Land occupation, biodiversity"/>
    <tableColumn id="19" xr3:uid="{543BF7B3-2D3E-514A-9F30-A7364A3AB8D3}" name="IMPACT World+ Midpoint 2.0.1 | Midpoint | Land transformation, biodiversity"/>
    <tableColumn id="20" xr3:uid="{669F1B43-D778-6946-9167-98B718EC0C51}" name="IMPACT World+ Midpoint 2.0.1 | Midpoint | Marine eutrophication"/>
    <tableColumn id="21" xr3:uid="{22461B37-28CC-0E44-B161-A77E62DDFDF0}" name="IMPACT World+ Midpoint 2.0.1 | Midpoint | Mineral resources use"/>
    <tableColumn id="22" xr3:uid="{DBC2613F-1F3C-4640-A678-FBD8364003FB}" name="IMPACT World+ Midpoint 2.0.1 | Midpoint | Ozone layer depletion"/>
    <tableColumn id="23" xr3:uid="{410EB1C4-0664-5D49-9498-EA2ED06F960A}" name="IMPACT World+ Midpoint 2.0.1 | Midpoint | Particulate matter formation"/>
    <tableColumn id="24" xr3:uid="{A46328A5-1BBC-984A-AB1B-3C57D99CBADF}" name="IMPACT World+ Midpoint 2.0.1 | Midpoint | Photochemical oxidant formation"/>
    <tableColumn id="25" xr3:uid="{F96C6A68-34E9-3D4C-A7A7-5EACD79994FD}" name="IMPACT World+ Midpoint 2.0.1 | Midpoint | Terrestrial acidification"/>
    <tableColumn id="26" xr3:uid="{CE725D1C-29C4-A74C-9CB7-230E0FBBAFEF}" name="IMPACT World+ Midpoint 2.0.1 | Midpoint | Water scarcity"/>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612681-B312-B242-AF8D-E9E11A08C622}" name="Tableau1" displayName="Tableau1" ref="A1:BA20" totalsRowShown="0" headerRowCellStyle="Normal" dataCellStyle="Normal">
  <autoFilter ref="A1:BA20" xr:uid="{71612681-B312-B242-AF8D-E9E11A08C622}"/>
  <tableColumns count="53">
    <tableColumn id="1" xr3:uid="{A1B331A1-3F41-344D-9598-01F2C0BBAFA2}" name="Description" dataCellStyle="Normal"/>
    <tableColumn id="2" xr3:uid="{56D3FF71-CD55-4B49-AB47-962B53FC0165}" name="Unit" dataCellStyle="Normal"/>
    <tableColumn id="3" xr3:uid="{51EA0C99-1C26-0C4E-BFE3-EE302E113ABC}" name="Country" dataCellStyle="Normal"/>
    <tableColumn id="24" xr3:uid="{43006D00-8850-9A4F-89B2-B177AB01EA9F}" name="Source"/>
    <tableColumn id="4" xr3:uid="{41BB9B99-E1F3-F949-A049-C4857633D681}" name="2002" dataCellStyle="Normal"/>
    <tableColumn id="5" xr3:uid="{B1A9B739-2E27-9049-A541-499C2917485C}" name="2003" dataCellStyle="Normal"/>
    <tableColumn id="6" xr3:uid="{08FB9052-38C2-0B46-AAE6-37FAE917E1D0}" name="2004" dataCellStyle="Normal"/>
    <tableColumn id="7" xr3:uid="{0482C658-7E6C-DB4A-8BDA-3766B17DD629}" name="2005" dataCellStyle="Normal"/>
    <tableColumn id="8" xr3:uid="{3E4F9E13-5032-4941-A472-DD721B6704F4}" name="2006" dataCellStyle="Normal"/>
    <tableColumn id="9" xr3:uid="{35CABF69-BC60-0D4A-B832-B0E5FF0B1802}" name="2007" dataCellStyle="Normal"/>
    <tableColumn id="10" xr3:uid="{655DD58D-BC8E-8643-9E9F-1509515DE8ED}" name="2008" dataCellStyle="Normal"/>
    <tableColumn id="11" xr3:uid="{5888D140-C455-F94D-9B3E-75152266C1FF}" name="2009" dataCellStyle="Normal"/>
    <tableColumn id="12" xr3:uid="{2B430B0A-FDE7-A647-9E7B-0FA344F0A8AF}" name="2010" dataCellStyle="Normal"/>
    <tableColumn id="13" xr3:uid="{96D83737-BECE-9646-BDA8-F3523730BFB2}" name="2011" dataCellStyle="Normal"/>
    <tableColumn id="14" xr3:uid="{94539F77-3830-E54D-8ACF-22363D95A116}" name="2012" dataCellStyle="Normal"/>
    <tableColumn id="15" xr3:uid="{32EC2195-D0BC-764E-9619-9635C179CB71}" name="2013" dataCellStyle="Normal"/>
    <tableColumn id="16" xr3:uid="{A58ED8AD-4C59-EE41-808D-0A12DAAFC04E}" name="2014" dataCellStyle="Normal"/>
    <tableColumn id="17" xr3:uid="{68C0EFE0-168C-294E-815B-CDFB207A7D63}" name="2015" dataCellStyle="Normal"/>
    <tableColumn id="18" xr3:uid="{5A1E190D-050E-4047-9A80-42E5A9BB3E71}" name="2016" dataCellStyle="Normal"/>
    <tableColumn id="19" xr3:uid="{D4571F15-E4D6-544F-90FE-0D5EA653CA8D}" name="2017" dataCellStyle="Normal"/>
    <tableColumn id="20" xr3:uid="{ED1A05E6-E941-9346-9166-BB3011C0425E}" name="2018" dataCellStyle="Normal"/>
    <tableColumn id="21" xr3:uid="{197C9EC0-5738-4046-A2B5-8ECF4EDD7E59}" name="2019" dataCellStyle="Normal"/>
    <tableColumn id="22" xr3:uid="{A7AD4BAE-9F21-5F48-AB05-B4E99AAD3F04}" name="2020" dataCellStyle="Normal"/>
    <tableColumn id="23" xr3:uid="{83BFCF37-6109-5947-8DB5-25ED04283BEB}" name="2021" dataCellStyle="Normal"/>
    <tableColumn id="25" xr3:uid="{3AF44116-A828-394B-BC95-B9922DC133D3}" name="2022" dataDxfId="0" dataCellStyle="Normal">
      <calculatedColumnFormula>proj_dem!E36*#REF!</calculatedColumnFormula>
    </tableColumn>
    <tableColumn id="26" xr3:uid="{14158E7A-C0D1-B947-A577-55B4E83CFAC8}" name="2023" dataCellStyle="Normal"/>
    <tableColumn id="27" xr3:uid="{FBAC8F51-5599-0D40-B53C-17A69183988B}" name="2024" dataCellStyle="Normal"/>
    <tableColumn id="28" xr3:uid="{C83360B1-E49E-A94A-9995-F660BEB2161E}" name="2025" dataCellStyle="Normal"/>
    <tableColumn id="29" xr3:uid="{9D132581-9A31-154A-B8D9-BD80FFD12B3A}" name="2026" dataCellStyle="Normal"/>
    <tableColumn id="30" xr3:uid="{426C9ED4-F31E-0F47-BAC7-F7585B670C7E}" name="2027" dataCellStyle="Normal"/>
    <tableColumn id="31" xr3:uid="{E02F6AE6-3E2F-6940-8B3C-1EC574F6F667}" name="2028" dataCellStyle="Normal"/>
    <tableColumn id="32" xr3:uid="{6D6D4433-29E0-0C47-B458-59B0F4CA1AFB}" name="2029" dataCellStyle="Normal"/>
    <tableColumn id="33" xr3:uid="{88D3BA90-D3E0-074E-970C-2273856FF388}" name="2030" dataCellStyle="Normal"/>
    <tableColumn id="34" xr3:uid="{5F310BD6-45D0-ED45-8F10-8A21A233B2AC}" name="2031" dataCellStyle="Normal"/>
    <tableColumn id="35" xr3:uid="{5A13C64D-865B-284C-BBE5-1FADDB683F52}" name="2032" dataCellStyle="Normal"/>
    <tableColumn id="36" xr3:uid="{962056F3-07F9-1D42-AFE2-5C8474E793F0}" name="2033" dataCellStyle="Normal"/>
    <tableColumn id="37" xr3:uid="{F650A252-B705-4C49-8EDC-70D515477773}" name="2034" dataCellStyle="Normal"/>
    <tableColumn id="38" xr3:uid="{AE923688-880D-CC40-9519-C05BCC208F4B}" name="2035" dataCellStyle="Normal"/>
    <tableColumn id="39" xr3:uid="{BA82D053-52C8-7F4B-9DFC-32FF38F48B16}" name="2036" dataCellStyle="Normal"/>
    <tableColumn id="40" xr3:uid="{7FBABC08-2DA3-5B4C-946D-37872C4CE507}" name="2037" dataCellStyle="Normal"/>
    <tableColumn id="41" xr3:uid="{4C7B5B49-B43E-2D43-BF85-D5D7724356F5}" name="2038" dataCellStyle="Normal"/>
    <tableColumn id="42" xr3:uid="{CACCBF13-2D9F-A942-B954-DF8711711EFD}" name="2039" dataCellStyle="Normal"/>
    <tableColumn id="43" xr3:uid="{8AD8FBE6-F9BA-E54E-A0D0-6D91720618D8}" name="2040" dataCellStyle="Normal"/>
    <tableColumn id="44" xr3:uid="{D1F54332-E984-BD48-8E48-4EFB672ABCC8}" name="2041" dataCellStyle="Normal"/>
    <tableColumn id="45" xr3:uid="{9CD3A237-EC54-7546-8F89-389622CA0C8E}" name="2042" dataCellStyle="Normal"/>
    <tableColumn id="46" xr3:uid="{7BFE9774-FE06-AC40-960B-A89108241909}" name="2043" dataCellStyle="Normal"/>
    <tableColumn id="47" xr3:uid="{068F3E98-FB5C-7849-90D7-5F9CA080E19D}" name="2044" dataCellStyle="Normal"/>
    <tableColumn id="48" xr3:uid="{6D637F5A-885C-324D-8BA1-7B9C84733CEE}" name="2045" dataCellStyle="Normal"/>
    <tableColumn id="49" xr3:uid="{C105F4F9-74AF-7D4B-86F6-0B30FF29610E}" name="2046" dataCellStyle="Normal"/>
    <tableColumn id="50" xr3:uid="{8013F9FC-5E32-3947-9A48-349C6064D5C1}" name="2047" dataCellStyle="Normal"/>
    <tableColumn id="51" xr3:uid="{D60ED68D-3CBC-FD45-99AC-6F772D473C9A}" name="2048" dataCellStyle="Normal"/>
    <tableColumn id="52" xr3:uid="{A947F91F-F6B2-E344-9281-66BD231F137B}" name="2049" dataCellStyle="Normal"/>
    <tableColumn id="53" xr3:uid="{8E0C16AC-7E0D-0840-8906-72970FB11D4D}" name="2050" dataCellStyle="Normal"/>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CA5455D-5378-BF4E-AC35-2B0ACC81F039}" name="Tableau6" displayName="Tableau6" ref="A1:M25" totalsRowShown="0" headerRowDxfId="118" dataDxfId="116" headerRowBorderDxfId="117" tableBorderDxfId="115">
  <autoFilter ref="A1:M25" xr:uid="{BCA5455D-5378-BF4E-AC35-2B0ACC81F039}"/>
  <tableColumns count="13">
    <tableColumn id="1" xr3:uid="{90B33CA0-C3C6-5B46-9CF0-4459A5B3496C}" name="Title" dataDxfId="114"/>
    <tableColumn id="2" xr3:uid="{828152E9-4EB6-8940-9F65-8A119F11EBEB}" name="Author" dataDxfId="113"/>
    <tableColumn id="3" xr3:uid="{AC212615-181B-8646-B61D-1E15517B4DE2}" name="Date" dataDxfId="112"/>
    <tableColumn id="4" xr3:uid="{A9A3BD92-9D9C-BF4E-A4FE-A60660D5ECDD}" name="Scope: metals" dataDxfId="111"/>
    <tableColumn id="5" xr3:uid="{17FC3CFF-DF9F-3241-9F0F-FDDA982EB5E4}" name="Scope: demand" dataDxfId="110"/>
    <tableColumn id="6" xr3:uid="{06072F09-1BC7-2645-9CC4-05ACF094A7E1}" name="Scope: region" dataDxfId="109"/>
    <tableColumn id="7" xr3:uid="{4FA82BCC-7551-A543-AF1E-3CBEE681E896}" name="Scope: period" dataDxfId="108"/>
    <tableColumn id="8" xr3:uid="{9D0AF696-0098-984C-8922-A2FDA9B83023}" name="Method: demand estimation" dataDxfId="107"/>
    <tableColumn id="9" xr3:uid="{865AFBC0-E06D-E740-8608-599004C316FC}" name="Method: impact assessment" dataDxfId="106"/>
    <tableColumn id="10" xr3:uid="{C02CD638-A2AD-A345-9C89-51269219E9C4}" name="Impacts analyzed" dataDxfId="105"/>
    <tableColumn id="11" xr3:uid="{4770B7D9-133E-0D40-B1FD-418D3D270C63}" name="Spatial coverage of inventories" dataDxfId="104"/>
    <tableColumn id="12" xr3:uid="{6EDB3AC5-C771-544D-84CD-1A18C45EACE5}" name="Spatial coverage of impacts" dataDxfId="103"/>
    <tableColumn id="13" xr3:uid="{B0CB8005-A1D0-1A44-9699-B73E3E7D4EEB}" name="Variables modeled" dataDxfId="10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544339-7D06-FC47-A4D9-871EA1DE1DF3}" name="Tableau2" displayName="Tableau2" ref="A1:AH165" totalsRowShown="0">
  <autoFilter ref="A1:AH165" xr:uid="{53544339-7D06-FC47-A4D9-871EA1DE1DF3}">
    <filterColumn colId="3">
      <filters>
        <filter val="SPS"/>
      </filters>
    </filterColumn>
  </autoFilter>
  <sortState xmlns:xlrd2="http://schemas.microsoft.com/office/spreadsheetml/2017/richdata2" ref="A2:AH164">
    <sortCondition ref="C1:C164"/>
  </sortState>
  <tableColumns count="34">
    <tableColumn id="1" xr3:uid="{FC47D5B5-9BED-7E4B-8351-5D0CDF33A153}" name="Technology" dataDxfId="101"/>
    <tableColumn id="2" xr3:uid="{9F041FFD-2DC9-F14C-9D7B-1FF7D8D0DC74}" name="Detail" dataDxfId="100"/>
    <tableColumn id="3" xr3:uid="{2032CC3B-459E-A547-82FA-29CA2E341544}" name="Metal" dataDxfId="99"/>
    <tableColumn id="4" xr3:uid="{750165B7-074C-5741-95B7-B61947B2C798}" name="Scenario" dataDxfId="98"/>
    <tableColumn id="5" xr3:uid="{F0821D28-C824-0F49-BD8A-4BB2836CA39C}" name="2022" dataDxfId="97"/>
    <tableColumn id="6" xr3:uid="{A8F4FA72-0FBF-9740-B874-C26030FB4620}" name="2023" dataDxfId="96">
      <calculatedColumnFormula>(($H2-$E2)/($H$1-$E$1))*(F$1-$E$1)+$E2</calculatedColumnFormula>
    </tableColumn>
    <tableColumn id="7" xr3:uid="{686B79C2-455D-5B46-9750-7862E4B9308E}" name="2024" dataDxfId="95">
      <calculatedColumnFormula>(($H2-$E2)/($H$1-$E$1))*(G$1-$E$1)+$E2</calculatedColumnFormula>
    </tableColumn>
    <tableColumn id="8" xr3:uid="{03F64848-08D8-A046-8584-A28B5B882BE5}" name="2025" dataDxfId="94"/>
    <tableColumn id="9" xr3:uid="{40D8D08B-A794-9545-8AC6-2646DE43FD19}" name="2026" dataDxfId="93">
      <calculatedColumnFormula>(($M2-$H2)/($M$1-$H$1))*(I$1-$H$1)+$H2</calculatedColumnFormula>
    </tableColumn>
    <tableColumn id="10" xr3:uid="{46E6A9AB-11B5-B34F-8CC7-CD672FA1B2B2}" name="2027" dataDxfId="92">
      <calculatedColumnFormula>(($M2-$H2)/($M$1-$H$1))*(J$1-$H$1)+$H2</calculatedColumnFormula>
    </tableColumn>
    <tableColumn id="11" xr3:uid="{221178F6-1D9F-5347-9AC1-8CF651B4E6E2}" name="2028" dataDxfId="91">
      <calculatedColumnFormula>(($M2-$H2)/($M$1-$H$1))*(K$1-$H$1)+$H2</calculatedColumnFormula>
    </tableColumn>
    <tableColumn id="12" xr3:uid="{E6E64B84-069E-5B40-B27F-0444BDAA94B0}" name="2029" dataDxfId="90">
      <calculatedColumnFormula>(($M2-$H2)/($M$1-$H$1))*(L$1-$H$1)+$H2</calculatedColumnFormula>
    </tableColumn>
    <tableColumn id="13" xr3:uid="{91E59D92-5144-5342-9FCA-8E306D45201A}" name="2030" dataDxfId="89"/>
    <tableColumn id="14" xr3:uid="{1FFC9BF4-273D-A44B-8E06-7756EC988019}" name="2031" dataDxfId="88">
      <calculatedColumnFormula>(($R2-$M2)/($R$1-$M$1))*(N$1-$M$1)+$M2</calculatedColumnFormula>
    </tableColumn>
    <tableColumn id="15" xr3:uid="{9D3EBF81-FFAF-CE45-B0B8-DD161BFF8AF8}" name="2032" dataDxfId="87">
      <calculatedColumnFormula>(($R2-$M2)/($R$1-$M$1))*(O$1-$M$1)+$M2</calculatedColumnFormula>
    </tableColumn>
    <tableColumn id="16" xr3:uid="{5D5304B0-0CA3-2649-8A09-BA4E2D343AB4}" name="2033" dataDxfId="86">
      <calculatedColumnFormula>(($R2-$M2)/($R$1-$M$1))*(P$1-$M$1)+$M2</calculatedColumnFormula>
    </tableColumn>
    <tableColumn id="17" xr3:uid="{997BF62D-654E-A147-9D62-4041117C8D1A}" name="2034" dataDxfId="85">
      <calculatedColumnFormula>(($R2-$M2)/($R$1-$M$1))*(Q$1-$M$1)+$M2</calculatedColumnFormula>
    </tableColumn>
    <tableColumn id="18" xr3:uid="{F47FECA1-5668-D045-86C0-439D43CA0B70}" name="2035" dataDxfId="84"/>
    <tableColumn id="19" xr3:uid="{1626F5F4-0801-5244-BBD5-2103D416FA2C}" name="2036" dataDxfId="83">
      <calculatedColumnFormula>(($W2-$R2)/($W$1-$R$1))*(S$1-$R$1)+$R2</calculatedColumnFormula>
    </tableColumn>
    <tableColumn id="20" xr3:uid="{9A8FA352-A1C5-7341-9316-4658F4EE88E5}" name="2037" dataDxfId="82">
      <calculatedColumnFormula>(($W2-$R2)/($W$1-$R$1))*(T$1-$R$1)+$R2</calculatedColumnFormula>
    </tableColumn>
    <tableColumn id="21" xr3:uid="{6245EAF9-6C71-1649-89E2-389833F35310}" name="2038" dataDxfId="81">
      <calculatedColumnFormula>(($W2-$R2)/($W$1-$R$1))*(U$1-$R$1)+$R2</calculatedColumnFormula>
    </tableColumn>
    <tableColumn id="22" xr3:uid="{5B7F897B-A3FA-F646-85F4-F0725739F676}" name="2039" dataDxfId="80">
      <calculatedColumnFormula>(($W2-$R2)/($W$1-$R$1))*(V$1-$R$1)+$R2</calculatedColumnFormula>
    </tableColumn>
    <tableColumn id="23" xr3:uid="{D611B233-1E38-7649-AE50-D1D71AACA34C}" name="2040" dataDxfId="79"/>
    <tableColumn id="24" xr3:uid="{02C07558-BF4C-0F42-95EE-4C3067DFF0AC}" name="2041" dataDxfId="78">
      <calculatedColumnFormula>(($AB2-$W2)/($AB$1-$W$1))*(X$1-$W$1)+$W2</calculatedColumnFormula>
    </tableColumn>
    <tableColumn id="25" xr3:uid="{0943C218-E8D1-DD4C-9BE4-5187F158842C}" name="2042" dataDxfId="77">
      <calculatedColumnFormula>(($AB2-$W2)/($AB$1-$W$1))*(Y$1-$W$1)+$W2</calculatedColumnFormula>
    </tableColumn>
    <tableColumn id="26" xr3:uid="{D4BE6ECE-2BF3-B944-954F-9D035E330022}" name="2043" dataDxfId="76">
      <calculatedColumnFormula>(($AB2-$W2)/($AB$1-$W$1))*(Z$1-$W$1)+$W2</calculatedColumnFormula>
    </tableColumn>
    <tableColumn id="27" xr3:uid="{4791DEF5-B2BD-CA4C-9E5E-F6373DFD2B7A}" name="2044" dataDxfId="75">
      <calculatedColumnFormula>(($AB2-$W2)/($AB$1-$W$1))*(AA$1-$W$1)+$W2</calculatedColumnFormula>
    </tableColumn>
    <tableColumn id="28" xr3:uid="{192568FF-E745-2548-A104-97435498390A}" name="2045" dataDxfId="74"/>
    <tableColumn id="29" xr3:uid="{AA1B90EA-AE36-134F-822A-ADE5AD3F029C}" name="2046" dataDxfId="73">
      <calculatedColumnFormula>(($AG2-$AB2)/($AG$1-$AB$1))*(AC$1-$AB$1)+$AB2</calculatedColumnFormula>
    </tableColumn>
    <tableColumn id="30" xr3:uid="{3EB07290-93C6-914A-A841-45BD113A6BBF}" name="2047" dataDxfId="72">
      <calculatedColumnFormula>(($AG2-$AB2)/($AG$1-$AB$1))*(AD$1-$AB$1)+$AB2</calculatedColumnFormula>
    </tableColumn>
    <tableColumn id="31" xr3:uid="{B13E1613-86CB-AC41-84EE-DA7F6283577E}" name="2048" dataDxfId="71">
      <calculatedColumnFormula>(($AG2-$AB2)/($AG$1-$AB$1))*(AE$1-$AB$1)+$AB2</calculatedColumnFormula>
    </tableColumn>
    <tableColumn id="32" xr3:uid="{24028542-901A-FE49-A031-7793DF5C9932}" name="2049" dataDxfId="70">
      <calculatedColumnFormula>(($AG2-$AB2)/($AG$1-$AB$1))*(AF$1-$AB$1)+$AB2</calculatedColumnFormula>
    </tableColumn>
    <tableColumn id="33" xr3:uid="{F17C071A-8439-B149-AF77-FBBC3869E2CE}" name="2050" dataDxfId="69"/>
    <tableColumn id="34" xr3:uid="{DCFB19A3-5A98-BF43-89EF-736EB68AA875}" name="cum_demand" dataDxfId="68">
      <calculatedColumnFormula>SUM(#REF!)</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24E1C34-3E42-114F-AAA1-4936A95BF78A}" name="Tableau17" displayName="Tableau17" ref="A1:M105" totalsRowShown="0">
  <autoFilter ref="A1:M105" xr:uid="{324E1C34-3E42-114F-AAA1-4936A95BF78A}">
    <filterColumn colId="5">
      <filters>
        <filter val="SPS"/>
      </filters>
    </filterColumn>
  </autoFilter>
  <sortState xmlns:xlrd2="http://schemas.microsoft.com/office/spreadsheetml/2017/richdata2" ref="A2:M105">
    <sortCondition ref="A1:A105"/>
  </sortState>
  <tableColumns count="13">
    <tableColumn id="1" xr3:uid="{D2699149-8E83-B34B-93D0-FC8702EA72B0}" name="Metal" dataDxfId="67"/>
    <tableColumn id="2" xr3:uid="{EF317B29-842F-7D41-8EF6-A425B2B49684}" name="Technology" dataDxfId="66"/>
    <tableColumn id="3" xr3:uid="{63F6650C-426F-F54D-A534-F6354FD859AE}" name="Market" dataDxfId="65"/>
    <tableColumn id="14" xr3:uid="{CC84279E-3C77-6C43-9EED-1BE3C497368E}" name="Reference Product" dataDxfId="64"/>
    <tableColumn id="13" xr3:uid="{23D0C96C-D85B-324A-A0C8-325D32798C65}" name="Location" dataDxfId="63"/>
    <tableColumn id="4" xr3:uid="{2743C547-2B42-424C-B778-C8EE86871A9E}" name="Scenario" dataDxfId="62"/>
    <tableColumn id="5" xr3:uid="{695B1CB3-5039-344A-B87E-F60E6461DB09}" name="2022" dataDxfId="61"/>
    <tableColumn id="6" xr3:uid="{EE142A26-65BE-E649-9423-1341A3A69308}" name="2025" dataDxfId="60"/>
    <tableColumn id="7" xr3:uid="{B3230594-7178-1448-B9A5-6ACE7A3A7958}" name="2030" dataDxfId="59"/>
    <tableColumn id="8" xr3:uid="{D51FB256-A999-B440-8C4F-B350096E1238}" name="2035" dataDxfId="58"/>
    <tableColumn id="9" xr3:uid="{D262F1EB-14A4-E040-B614-DABDFF866714}" name="2040" dataDxfId="57"/>
    <tableColumn id="10" xr3:uid="{5FD81AFD-A27A-C847-8743-353E0567B6F6}" name="2045" dataDxfId="56"/>
    <tableColumn id="11" xr3:uid="{1EFCDA18-53BC-6742-B59F-03445CCB8F17}" name="2050" dataDxfId="55"/>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8CCBFF-EB4D-E144-8668-D25D60141F6E}" name="REGIONS" displayName="REGIONS" ref="A1:B95" totalsRowShown="0" headerRowDxfId="46">
  <autoFilter ref="A1:B95" xr:uid="{038CCBFF-EB4D-E144-8668-D25D60141F6E}"/>
  <tableColumns count="2">
    <tableColumn id="1" xr3:uid="{70030AF1-4052-DD48-BC3D-3E4CDC821FBD}" name="Country"/>
    <tableColumn id="2" xr3:uid="{25EEB2F1-16FD-7343-90A2-2CAF36120D08}" name="Region REMIND" dataDxfId="45"/>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07F163B-87ED-4A48-A00B-D02CE39A9628}" name="Tableau12" displayName="Tableau12" ref="A1:E37" totalsRowShown="0" headerRowDxfId="44">
  <autoFilter ref="A1:E37" xr:uid="{B07F163B-87ED-4A48-A00B-D02CE39A9628}"/>
  <tableColumns count="5">
    <tableColumn id="1" xr3:uid="{42093252-4645-B449-A7E0-F14DAB1DD688}" name="Year"/>
    <tableColumn id="2" xr3:uid="{8C9ECF81-B781-8446-A701-2ABAB8AB469B}" name="NZE" dataDxfId="43"/>
    <tableColumn id="4" xr3:uid="{662CA507-4C35-FE43-851C-FD9B6B61E80C}" name="SPS" dataDxfId="42"/>
    <tableColumn id="5" xr3:uid="{B2A6E7B2-9CEA-544D-A081-2C450724960D}" name="secondary production"/>
    <tableColumn id="6" xr3:uid="{C0BF3984-1481-984D-90A9-FB2EA099D192}" name="primary production"/>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839F7A1-7324-0F45-BA0E-48B1B4EB0630}" name="Tableau13" displayName="Tableau13" ref="A1:F2297" totalsRowShown="0" headerRowDxfId="41">
  <autoFilter ref="A1:F2297" xr:uid="{2839F7A1-7324-0F45-BA0E-48B1B4EB0630}"/>
  <tableColumns count="6">
    <tableColumn id="1" xr3:uid="{67FD62BB-E816-D946-A332-0E16ED156D64}" name="Deposit"/>
    <tableColumn id="2" xr3:uid="{CC6FEF53-D55D-9B48-82A9-337FF5A99027}" name="Country"/>
    <tableColumn id="3" xr3:uid="{55C3815F-81DF-1842-97A6-1211FFC7A7A9}" name="ResC Mt"/>
    <tableColumn id="4" xr3:uid="{81552846-06C5-FB47-BA99-3D3919663689}" name="Grade ResC"/>
    <tableColumn id="5" xr3:uid="{3641772D-E67D-1242-A7D8-E704E353AA6E}" name="ResV Mt"/>
    <tableColumn id="6" xr3:uid="{ADD3F62B-ADAD-3F49-8A5A-05DEEB6D6B16}" name="Grade ResV"/>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C0AA2CD-04A7-2D47-8003-21E8AA6E1E97}" name="CU_PROD" displayName="CU_PROD" ref="A1:J67" totalsRowShown="0" headerRowDxfId="40">
  <autoFilter ref="A1:J67" xr:uid="{7C0AA2CD-04A7-2D47-8003-21E8AA6E1E97}"/>
  <sortState xmlns:xlrd2="http://schemas.microsoft.com/office/spreadsheetml/2017/richdata2" ref="A2:J67">
    <sortCondition descending="1" ref="C1:C67"/>
  </sortState>
  <tableColumns count="10">
    <tableColumn id="1" xr3:uid="{F9067417-2139-894A-8BCA-EEFF9E89C345}" name="Country" dataDxfId="39"/>
    <tableColumn id="2" xr3:uid="{D0655FDD-AD31-DB44-8B40-78095C8C198A}" name="Region" dataDxfId="38">
      <calculatedColumnFormula>LOOKUP(A2,REGIONS[Country],REGIONS[Region REMIND])</calculatedColumnFormula>
    </tableColumn>
    <tableColumn id="3" xr3:uid="{51392A88-96FC-2E43-AC07-F2BB4D8A447F}" name="Mine Prod tCu"/>
    <tableColumn id="4" xr3:uid="{22726A02-73A3-BC48-9F40-B28D70387F22}" name="Prod Smelter Primary tCu"/>
    <tableColumn id="5" xr3:uid="{7C8F4987-C701-F94A-AD29-CE8A7B64C442}" name="Prod Smelter Secondary tCu"/>
    <tableColumn id="6" xr3:uid="{E977E24D-06B4-BC40-8F7C-3681A4BFE62C}" name="Prod Leach tCu"/>
    <tableColumn id="7" xr3:uid="{AD565BB6-64E9-8048-92C8-7E985EDC5571}" name="Prod Refinery Primary tCu"/>
    <tableColumn id="8" xr3:uid="{B19D87B3-D214-154F-9C4C-11FAB38D1DAA}" name="Prod Refinery Secondary tCu"/>
    <tableColumn id="9" xr3:uid="{04501F12-5E26-5047-B17D-0FAE60908E7E}" name="Mine Prod %"/>
    <tableColumn id="10" xr3:uid="{6BB72DF6-D414-9C49-B977-7C70EF6369C9}" name="Prod Smelter Primary %"/>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64BB1B6-4BC8-5549-9AC5-FF6EDFCAB5C2}" name="Tableau14" displayName="Tableau14" ref="A1:C34" totalsRowShown="0" headerRowDxfId="37">
  <autoFilter ref="A1:C34" xr:uid="{864BB1B6-4BC8-5549-9AC5-FF6EDFCAB5C2}"/>
  <tableColumns count="3">
    <tableColumn id="1" xr3:uid="{4A2CC47C-EEE0-774D-B6F5-75FB3EDFF5EE}" name="Year"/>
    <tableColumn id="2" xr3:uid="{076FA3F5-5279-EA43-8EB8-F58303821CA1}" name="NZE" dataDxfId="36"/>
    <tableColumn id="3" xr3:uid="{3948654A-6C49-C242-AAD7-17038062A8A3}" name="APS" dataDxfId="35"/>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37248-6E66-5A48-BEFC-4CD60F541658}">
  <sheetPr>
    <pageSetUpPr fitToPage="1"/>
  </sheetPr>
  <dimension ref="A1:R47"/>
  <sheetViews>
    <sheetView zoomScale="75" zoomScaleNormal="66" workbookViewId="0">
      <selection activeCell="Q5" sqref="Q5"/>
    </sheetView>
  </sheetViews>
  <sheetFormatPr baseColWidth="10" defaultRowHeight="13" x14ac:dyDescent="0.15"/>
  <cols>
    <col min="1" max="1" width="33.33203125" customWidth="1"/>
    <col min="2" max="2" width="18.33203125" customWidth="1"/>
    <col min="3" max="3" width="7.33203125" customWidth="1"/>
    <col min="4" max="4" width="16.5" customWidth="1"/>
    <col min="5" max="5" width="12" customWidth="1"/>
    <col min="6" max="7" width="10.83203125" customWidth="1"/>
    <col min="8" max="8" width="17" customWidth="1"/>
    <col min="9" max="9" width="17.5" customWidth="1"/>
    <col min="10" max="10" width="11.83203125" customWidth="1"/>
    <col min="11" max="11" width="12.6640625" customWidth="1"/>
    <col min="12" max="12" width="10.83203125" customWidth="1"/>
    <col min="13" max="13" width="13.33203125" customWidth="1"/>
    <col min="14" max="14" width="11.1640625" customWidth="1"/>
    <col min="15" max="15" width="9.83203125" customWidth="1"/>
    <col min="16" max="16" width="10.5" customWidth="1"/>
    <col min="17" max="17" width="92.6640625" style="35" customWidth="1"/>
    <col min="18" max="18" width="44.5" style="35" customWidth="1"/>
  </cols>
  <sheetData>
    <row r="1" spans="1:18" ht="18" x14ac:dyDescent="0.15">
      <c r="A1" s="78" t="s">
        <v>3316</v>
      </c>
      <c r="B1" s="78" t="s">
        <v>3317</v>
      </c>
      <c r="C1" s="78" t="s">
        <v>315</v>
      </c>
      <c r="D1" s="78" t="s">
        <v>3567</v>
      </c>
      <c r="E1" s="79" t="s">
        <v>91</v>
      </c>
      <c r="F1" s="79" t="s">
        <v>20</v>
      </c>
      <c r="G1" s="79" t="s">
        <v>21</v>
      </c>
      <c r="H1" s="79" t="s">
        <v>142</v>
      </c>
      <c r="I1" s="79" t="s">
        <v>3515</v>
      </c>
      <c r="J1" s="79" t="s">
        <v>3509</v>
      </c>
      <c r="K1" s="79" t="s">
        <v>3510</v>
      </c>
      <c r="L1" s="79" t="s">
        <v>424</v>
      </c>
      <c r="M1" s="79" t="s">
        <v>3511</v>
      </c>
      <c r="N1" s="79" t="s">
        <v>3512</v>
      </c>
      <c r="O1" s="79" t="s">
        <v>3513</v>
      </c>
      <c r="P1" s="79" t="s">
        <v>3514</v>
      </c>
      <c r="Q1" s="80" t="s">
        <v>3518</v>
      </c>
      <c r="R1" s="80" t="s">
        <v>3517</v>
      </c>
    </row>
    <row r="2" spans="1:18" s="18" customFormat="1" ht="54" x14ac:dyDescent="0.15">
      <c r="A2" s="81" t="s">
        <v>3558</v>
      </c>
      <c r="B2" s="81" t="s">
        <v>3559</v>
      </c>
      <c r="C2" s="82">
        <v>2023</v>
      </c>
      <c r="D2" s="82">
        <v>2050</v>
      </c>
      <c r="E2" s="82">
        <v>1</v>
      </c>
      <c r="F2" s="82">
        <v>1</v>
      </c>
      <c r="G2" s="82">
        <v>1</v>
      </c>
      <c r="H2" s="82">
        <v>1</v>
      </c>
      <c r="I2" s="82"/>
      <c r="J2" s="82"/>
      <c r="K2" s="82"/>
      <c r="L2" s="82"/>
      <c r="M2" s="82"/>
      <c r="N2" s="82"/>
      <c r="O2" s="82"/>
      <c r="P2" s="82"/>
      <c r="Q2" s="82" t="s">
        <v>3560</v>
      </c>
      <c r="R2" s="82" t="s">
        <v>3520</v>
      </c>
    </row>
    <row r="3" spans="1:18" s="18" customFormat="1" ht="92" customHeight="1" x14ac:dyDescent="0.15">
      <c r="A3" s="81" t="s">
        <v>3563</v>
      </c>
      <c r="B3" s="81" t="s">
        <v>3572</v>
      </c>
      <c r="C3" s="82">
        <v>2023</v>
      </c>
      <c r="D3" s="82">
        <v>2040</v>
      </c>
      <c r="E3" s="82">
        <v>1</v>
      </c>
      <c r="F3" s="82">
        <v>1</v>
      </c>
      <c r="G3" s="82">
        <v>1</v>
      </c>
      <c r="H3" s="82">
        <v>1</v>
      </c>
      <c r="I3" s="82">
        <v>1</v>
      </c>
      <c r="J3" s="82">
        <v>1</v>
      </c>
      <c r="K3" s="82">
        <v>1</v>
      </c>
      <c r="L3" s="82">
        <v>1</v>
      </c>
      <c r="M3" s="82">
        <v>1</v>
      </c>
      <c r="N3" s="82">
        <v>1</v>
      </c>
      <c r="O3" s="82">
        <v>1</v>
      </c>
      <c r="P3" s="82">
        <v>1</v>
      </c>
      <c r="Q3" s="82" t="s">
        <v>3565</v>
      </c>
      <c r="R3" s="82" t="s">
        <v>3564</v>
      </c>
    </row>
    <row r="4" spans="1:18" s="15" customFormat="1" ht="108" x14ac:dyDescent="0.15">
      <c r="A4" s="83" t="s">
        <v>3549</v>
      </c>
      <c r="B4" s="83" t="s">
        <v>3520</v>
      </c>
      <c r="C4" s="84">
        <v>2021</v>
      </c>
      <c r="D4" s="84">
        <v>2050</v>
      </c>
      <c r="E4" s="84">
        <v>1</v>
      </c>
      <c r="F4" s="84">
        <v>1</v>
      </c>
      <c r="G4" s="84">
        <v>1</v>
      </c>
      <c r="H4" s="84">
        <v>1</v>
      </c>
      <c r="I4" s="84">
        <v>1</v>
      </c>
      <c r="J4" s="84">
        <v>1</v>
      </c>
      <c r="K4" s="84">
        <v>1</v>
      </c>
      <c r="L4" s="84">
        <v>1</v>
      </c>
      <c r="M4" s="84">
        <v>1</v>
      </c>
      <c r="N4" s="84">
        <v>1</v>
      </c>
      <c r="O4" s="84"/>
      <c r="P4" s="84">
        <v>1</v>
      </c>
      <c r="Q4" s="84" t="s">
        <v>3550</v>
      </c>
      <c r="R4" s="84" t="s">
        <v>3520</v>
      </c>
    </row>
    <row r="5" spans="1:18" s="15" customFormat="1" ht="126" x14ac:dyDescent="0.15">
      <c r="A5" s="83" t="s">
        <v>3561</v>
      </c>
      <c r="B5" s="83" t="s">
        <v>3541</v>
      </c>
      <c r="C5" s="84">
        <v>2021</v>
      </c>
      <c r="D5" s="84">
        <v>2050</v>
      </c>
      <c r="E5" s="84">
        <v>1</v>
      </c>
      <c r="F5" s="84">
        <v>1</v>
      </c>
      <c r="G5" s="84"/>
      <c r="H5" s="84">
        <v>1</v>
      </c>
      <c r="I5" s="84">
        <v>1</v>
      </c>
      <c r="J5" s="84"/>
      <c r="K5" s="84"/>
      <c r="L5" s="84">
        <v>1</v>
      </c>
      <c r="M5" s="84"/>
      <c r="N5" s="84"/>
      <c r="O5" s="84"/>
      <c r="P5" s="84">
        <v>1</v>
      </c>
      <c r="Q5" s="84" t="s">
        <v>3562</v>
      </c>
      <c r="R5" s="84" t="s">
        <v>3542</v>
      </c>
    </row>
    <row r="6" spans="1:18" s="15" customFormat="1" ht="72" x14ac:dyDescent="0.15">
      <c r="A6" s="83" t="s">
        <v>3551</v>
      </c>
      <c r="B6" s="83" t="s">
        <v>3552</v>
      </c>
      <c r="C6" s="84">
        <v>2019</v>
      </c>
      <c r="D6" s="84">
        <v>2050</v>
      </c>
      <c r="E6" s="84">
        <v>1</v>
      </c>
      <c r="F6" s="84">
        <v>1</v>
      </c>
      <c r="G6" s="84">
        <v>1</v>
      </c>
      <c r="H6" s="84">
        <v>1</v>
      </c>
      <c r="I6" s="84"/>
      <c r="J6" s="84">
        <v>1</v>
      </c>
      <c r="K6" s="84">
        <v>1</v>
      </c>
      <c r="L6" s="84">
        <v>1</v>
      </c>
      <c r="M6" s="84">
        <v>1</v>
      </c>
      <c r="N6" s="84"/>
      <c r="O6" s="84">
        <v>1</v>
      </c>
      <c r="P6" s="84">
        <v>1</v>
      </c>
      <c r="Q6" s="84" t="s">
        <v>3553</v>
      </c>
      <c r="R6" s="84" t="s">
        <v>3554</v>
      </c>
    </row>
    <row r="7" spans="1:18" s="15" customFormat="1" ht="90" x14ac:dyDescent="0.15">
      <c r="A7" s="83" t="s">
        <v>3555</v>
      </c>
      <c r="B7" s="83" t="s">
        <v>3556</v>
      </c>
      <c r="C7" s="84">
        <v>2019</v>
      </c>
      <c r="D7" s="84">
        <v>2050</v>
      </c>
      <c r="E7" s="84">
        <v>1</v>
      </c>
      <c r="F7" s="84">
        <v>1</v>
      </c>
      <c r="G7" s="84">
        <v>1</v>
      </c>
      <c r="H7" s="84">
        <v>1</v>
      </c>
      <c r="I7" s="84"/>
      <c r="J7" s="84"/>
      <c r="K7" s="84"/>
      <c r="L7" s="84"/>
      <c r="M7" s="84"/>
      <c r="N7" s="84"/>
      <c r="O7" s="84"/>
      <c r="P7" s="84"/>
      <c r="Q7" s="84" t="s">
        <v>3557</v>
      </c>
      <c r="R7" s="82" t="s">
        <v>3548</v>
      </c>
    </row>
    <row r="8" spans="1:18" ht="72" x14ac:dyDescent="0.15">
      <c r="A8" s="81" t="s">
        <v>3516</v>
      </c>
      <c r="B8" s="85" t="s">
        <v>3387</v>
      </c>
      <c r="C8" s="82">
        <v>2019</v>
      </c>
      <c r="D8" s="82">
        <v>2050</v>
      </c>
      <c r="E8" s="82">
        <v>1</v>
      </c>
      <c r="F8" s="82">
        <v>1</v>
      </c>
      <c r="G8" s="82">
        <v>1</v>
      </c>
      <c r="H8" s="82"/>
      <c r="I8" s="82"/>
      <c r="J8" s="82">
        <v>1</v>
      </c>
      <c r="K8" s="82">
        <v>1</v>
      </c>
      <c r="L8" s="82">
        <v>1</v>
      </c>
      <c r="M8" s="82">
        <v>1</v>
      </c>
      <c r="N8" s="82">
        <v>1</v>
      </c>
      <c r="O8" s="82">
        <v>1</v>
      </c>
      <c r="P8" s="82"/>
      <c r="Q8" s="82" t="s">
        <v>3519</v>
      </c>
      <c r="R8" s="82" t="s">
        <v>3520</v>
      </c>
    </row>
    <row r="9" spans="1:18" ht="74" customHeight="1" x14ac:dyDescent="0.15">
      <c r="A9" s="81" t="s">
        <v>3521</v>
      </c>
      <c r="B9" s="81" t="s">
        <v>3522</v>
      </c>
      <c r="C9" s="82">
        <v>2019</v>
      </c>
      <c r="D9" s="82">
        <v>2050</v>
      </c>
      <c r="E9" s="82">
        <v>1</v>
      </c>
      <c r="F9" s="82">
        <v>1</v>
      </c>
      <c r="G9" s="82"/>
      <c r="H9" s="82">
        <v>1</v>
      </c>
      <c r="I9" s="82"/>
      <c r="J9" s="82"/>
      <c r="K9" s="82">
        <v>1</v>
      </c>
      <c r="L9" s="82"/>
      <c r="M9" s="82">
        <v>1</v>
      </c>
      <c r="N9" s="82">
        <v>1</v>
      </c>
      <c r="O9" s="82"/>
      <c r="P9" s="82"/>
      <c r="Q9" s="82" t="s">
        <v>3523</v>
      </c>
      <c r="R9" s="82" t="s">
        <v>3524</v>
      </c>
    </row>
    <row r="10" spans="1:18" ht="126" x14ac:dyDescent="0.15">
      <c r="A10" s="81" t="s">
        <v>3525</v>
      </c>
      <c r="B10" s="81" t="s">
        <v>3529</v>
      </c>
      <c r="C10" s="82">
        <v>2018</v>
      </c>
      <c r="D10" s="82">
        <v>2050</v>
      </c>
      <c r="E10" s="82">
        <v>1</v>
      </c>
      <c r="F10" s="82">
        <v>1</v>
      </c>
      <c r="G10" s="82">
        <v>1</v>
      </c>
      <c r="H10" s="82"/>
      <c r="I10" s="82"/>
      <c r="J10" s="82">
        <v>1</v>
      </c>
      <c r="K10" s="82"/>
      <c r="L10" s="82">
        <v>1</v>
      </c>
      <c r="M10" s="82">
        <v>1</v>
      </c>
      <c r="N10" s="82">
        <v>1</v>
      </c>
      <c r="O10" s="82">
        <v>1</v>
      </c>
      <c r="P10" s="82"/>
      <c r="Q10" s="82" t="s">
        <v>3530</v>
      </c>
      <c r="R10" s="82" t="s">
        <v>3531</v>
      </c>
    </row>
    <row r="11" spans="1:18" ht="72" x14ac:dyDescent="0.15">
      <c r="A11" s="81" t="s">
        <v>3527</v>
      </c>
      <c r="B11" s="81" t="s">
        <v>3528</v>
      </c>
      <c r="C11" s="82">
        <v>2018</v>
      </c>
      <c r="D11" s="82">
        <v>2050</v>
      </c>
      <c r="E11" s="82">
        <v>1</v>
      </c>
      <c r="F11" s="82">
        <v>1</v>
      </c>
      <c r="G11" s="82">
        <v>1</v>
      </c>
      <c r="H11" s="82"/>
      <c r="I11" s="82"/>
      <c r="J11" s="82"/>
      <c r="K11" s="82">
        <v>1</v>
      </c>
      <c r="L11" s="82">
        <v>1</v>
      </c>
      <c r="M11" s="82">
        <v>1</v>
      </c>
      <c r="N11" s="82"/>
      <c r="O11" s="82"/>
      <c r="P11" s="82">
        <v>1</v>
      </c>
      <c r="Q11" s="82" t="s">
        <v>3526</v>
      </c>
      <c r="R11" s="82" t="s">
        <v>3520</v>
      </c>
    </row>
    <row r="12" spans="1:18" ht="90" x14ac:dyDescent="0.15">
      <c r="A12" s="81" t="s">
        <v>3532</v>
      </c>
      <c r="B12" s="81" t="s">
        <v>3528</v>
      </c>
      <c r="C12" s="82">
        <v>2018</v>
      </c>
      <c r="D12" s="82">
        <v>2050</v>
      </c>
      <c r="E12" s="82">
        <v>1</v>
      </c>
      <c r="F12" s="82">
        <v>1</v>
      </c>
      <c r="G12" s="82">
        <v>1</v>
      </c>
      <c r="H12" s="82"/>
      <c r="I12" s="82"/>
      <c r="J12" s="82"/>
      <c r="K12" s="82">
        <v>1</v>
      </c>
      <c r="L12" s="82"/>
      <c r="M12" s="82"/>
      <c r="N12" s="82"/>
      <c r="O12" s="82"/>
      <c r="P12" s="82">
        <v>1</v>
      </c>
      <c r="Q12" s="82" t="s">
        <v>3533</v>
      </c>
      <c r="R12" s="82" t="s">
        <v>3534</v>
      </c>
    </row>
    <row r="13" spans="1:18" ht="90" x14ac:dyDescent="0.15">
      <c r="A13" s="81" t="s">
        <v>3535</v>
      </c>
      <c r="B13" s="81" t="s">
        <v>3536</v>
      </c>
      <c r="C13" s="82">
        <v>2018</v>
      </c>
      <c r="D13" s="82">
        <v>2060</v>
      </c>
      <c r="E13" s="82">
        <v>1</v>
      </c>
      <c r="F13" s="82">
        <v>1</v>
      </c>
      <c r="G13" s="82">
        <v>1</v>
      </c>
      <c r="H13" s="82"/>
      <c r="I13" s="82"/>
      <c r="J13" s="82">
        <v>1</v>
      </c>
      <c r="K13" s="82">
        <v>1</v>
      </c>
      <c r="L13" s="82"/>
      <c r="M13" s="82"/>
      <c r="N13" s="82"/>
      <c r="O13" s="82"/>
      <c r="P13" s="82"/>
      <c r="Q13" s="82" t="s">
        <v>3537</v>
      </c>
      <c r="R13" s="82" t="s">
        <v>3520</v>
      </c>
    </row>
    <row r="14" spans="1:18" ht="90" x14ac:dyDescent="0.15">
      <c r="A14" s="81" t="s">
        <v>3538</v>
      </c>
      <c r="B14" s="81" t="s">
        <v>3387</v>
      </c>
      <c r="C14" s="82">
        <v>2018</v>
      </c>
      <c r="D14" s="82">
        <v>2060</v>
      </c>
      <c r="E14" s="82">
        <v>1</v>
      </c>
      <c r="F14" s="82">
        <v>1</v>
      </c>
      <c r="G14" s="82">
        <v>1</v>
      </c>
      <c r="H14" s="82"/>
      <c r="I14" s="82"/>
      <c r="J14" s="82">
        <v>1</v>
      </c>
      <c r="K14" s="82"/>
      <c r="L14" s="82"/>
      <c r="M14" s="82"/>
      <c r="N14" s="82"/>
      <c r="O14" s="82"/>
      <c r="P14" s="82">
        <v>1</v>
      </c>
      <c r="Q14" s="82" t="s">
        <v>3539</v>
      </c>
      <c r="R14" s="82" t="s">
        <v>3520</v>
      </c>
    </row>
    <row r="15" spans="1:18" ht="108" x14ac:dyDescent="0.15">
      <c r="A15" s="81" t="s">
        <v>3540</v>
      </c>
      <c r="B15" s="81" t="s">
        <v>3541</v>
      </c>
      <c r="C15" s="82">
        <v>2018</v>
      </c>
      <c r="D15" s="82">
        <v>2050</v>
      </c>
      <c r="E15" s="82">
        <v>1</v>
      </c>
      <c r="F15" s="82">
        <v>1</v>
      </c>
      <c r="G15" s="82">
        <v>1</v>
      </c>
      <c r="H15" s="82"/>
      <c r="I15" s="82"/>
      <c r="J15" s="82">
        <v>1</v>
      </c>
      <c r="K15" s="82">
        <v>1</v>
      </c>
      <c r="L15" s="82">
        <v>1</v>
      </c>
      <c r="M15" s="82"/>
      <c r="N15" s="82">
        <v>1</v>
      </c>
      <c r="O15" s="82">
        <v>1</v>
      </c>
      <c r="P15" s="82">
        <v>1</v>
      </c>
      <c r="Q15" s="82" t="s">
        <v>3570</v>
      </c>
      <c r="R15" s="82" t="s">
        <v>3542</v>
      </c>
    </row>
    <row r="16" spans="1:18" ht="108" x14ac:dyDescent="0.15">
      <c r="A16" s="81" t="s">
        <v>3543</v>
      </c>
      <c r="B16" s="81" t="s">
        <v>3544</v>
      </c>
      <c r="C16" s="82">
        <v>2018</v>
      </c>
      <c r="D16" s="82">
        <v>2050</v>
      </c>
      <c r="E16" s="82">
        <v>1</v>
      </c>
      <c r="F16" s="82">
        <v>1</v>
      </c>
      <c r="G16" s="82">
        <v>1</v>
      </c>
      <c r="H16" s="82"/>
      <c r="I16" s="82"/>
      <c r="J16" s="82">
        <v>1</v>
      </c>
      <c r="K16" s="82"/>
      <c r="L16" s="82">
        <v>1</v>
      </c>
      <c r="M16" s="82"/>
      <c r="N16" s="82"/>
      <c r="O16" s="82">
        <v>1</v>
      </c>
      <c r="P16" s="82">
        <v>1</v>
      </c>
      <c r="Q16" s="82" t="s">
        <v>3569</v>
      </c>
      <c r="R16" s="82" t="s">
        <v>3545</v>
      </c>
    </row>
    <row r="17" spans="1:18" ht="90" x14ac:dyDescent="0.15">
      <c r="A17" s="81" t="s">
        <v>3546</v>
      </c>
      <c r="B17" s="81" t="s">
        <v>3529</v>
      </c>
      <c r="C17" s="82">
        <v>2017</v>
      </c>
      <c r="D17" s="82">
        <v>2100</v>
      </c>
      <c r="E17" s="82">
        <v>1</v>
      </c>
      <c r="F17" s="82">
        <v>1</v>
      </c>
      <c r="G17" s="82">
        <v>1</v>
      </c>
      <c r="H17" s="82"/>
      <c r="I17" s="82"/>
      <c r="J17" s="82"/>
      <c r="K17" s="82"/>
      <c r="L17" s="82">
        <v>1</v>
      </c>
      <c r="M17" s="82">
        <v>1</v>
      </c>
      <c r="N17" s="82">
        <v>1</v>
      </c>
      <c r="O17" s="82">
        <v>1</v>
      </c>
      <c r="P17" s="82"/>
      <c r="Q17" s="82" t="s">
        <v>3547</v>
      </c>
      <c r="R17" s="82" t="s">
        <v>3548</v>
      </c>
    </row>
    <row r="18" spans="1:18" x14ac:dyDescent="0.15">
      <c r="A18" s="15"/>
      <c r="B18" s="5"/>
      <c r="C18" s="5"/>
      <c r="Q18" s="34"/>
    </row>
    <row r="19" spans="1:18" x14ac:dyDescent="0.15">
      <c r="A19" s="18"/>
      <c r="Q19" s="34"/>
    </row>
    <row r="20" spans="1:18" x14ac:dyDescent="0.15">
      <c r="A20" s="18"/>
      <c r="Q20" s="34"/>
    </row>
    <row r="21" spans="1:18" x14ac:dyDescent="0.15">
      <c r="A21" s="18"/>
      <c r="Q21" s="34"/>
    </row>
    <row r="22" spans="1:18" x14ac:dyDescent="0.15">
      <c r="A22" s="18"/>
      <c r="Q22" s="34"/>
    </row>
    <row r="23" spans="1:18" x14ac:dyDescent="0.15">
      <c r="A23" s="18"/>
      <c r="Q23" s="34"/>
    </row>
    <row r="24" spans="1:18" x14ac:dyDescent="0.15">
      <c r="A24" s="18"/>
      <c r="Q24" s="34"/>
    </row>
    <row r="25" spans="1:18" x14ac:dyDescent="0.15">
      <c r="A25" s="18"/>
      <c r="Q25" s="34"/>
    </row>
    <row r="26" spans="1:18" x14ac:dyDescent="0.15">
      <c r="A26" s="18"/>
      <c r="Q26" s="34"/>
    </row>
    <row r="27" spans="1:18" x14ac:dyDescent="0.15">
      <c r="A27" s="18"/>
      <c r="Q27" s="34"/>
    </row>
    <row r="28" spans="1:18" x14ac:dyDescent="0.15">
      <c r="A28" s="18"/>
      <c r="Q28" s="34"/>
    </row>
    <row r="29" spans="1:18" x14ac:dyDescent="0.15">
      <c r="A29" s="18"/>
      <c r="Q29" s="34"/>
    </row>
    <row r="30" spans="1:18" x14ac:dyDescent="0.15">
      <c r="A30" s="18"/>
      <c r="Q30" s="34"/>
    </row>
    <row r="31" spans="1:18" x14ac:dyDescent="0.15">
      <c r="A31" s="18"/>
      <c r="Q31" s="34"/>
    </row>
    <row r="32" spans="1:18" x14ac:dyDescent="0.15">
      <c r="A32" s="18"/>
      <c r="Q32" s="34"/>
    </row>
    <row r="33" spans="1:17" x14ac:dyDescent="0.15">
      <c r="A33" s="18"/>
      <c r="Q33" s="34"/>
    </row>
    <row r="34" spans="1:17" x14ac:dyDescent="0.15">
      <c r="A34" s="18"/>
      <c r="Q34" s="34"/>
    </row>
    <row r="35" spans="1:17" x14ac:dyDescent="0.15">
      <c r="A35" s="18"/>
      <c r="Q35" s="34"/>
    </row>
    <row r="36" spans="1:17" x14ac:dyDescent="0.15">
      <c r="A36" s="18"/>
      <c r="Q36" s="34"/>
    </row>
    <row r="37" spans="1:17" x14ac:dyDescent="0.15">
      <c r="A37" s="18"/>
      <c r="Q37" s="34"/>
    </row>
    <row r="38" spans="1:17" x14ac:dyDescent="0.15">
      <c r="A38" s="18"/>
      <c r="Q38" s="34"/>
    </row>
    <row r="39" spans="1:17" x14ac:dyDescent="0.15">
      <c r="A39" s="18"/>
    </row>
    <row r="40" spans="1:17" x14ac:dyDescent="0.15">
      <c r="A40" s="18"/>
    </row>
    <row r="41" spans="1:17" x14ac:dyDescent="0.15">
      <c r="A41" s="18"/>
    </row>
    <row r="42" spans="1:17" x14ac:dyDescent="0.15">
      <c r="A42" s="18"/>
    </row>
    <row r="43" spans="1:17" x14ac:dyDescent="0.15">
      <c r="A43" s="18"/>
    </row>
    <row r="44" spans="1:17" x14ac:dyDescent="0.15">
      <c r="A44" s="18"/>
    </row>
    <row r="45" spans="1:17" x14ac:dyDescent="0.15">
      <c r="A45" s="18"/>
    </row>
    <row r="46" spans="1:17" x14ac:dyDescent="0.15">
      <c r="A46" s="18"/>
    </row>
    <row r="47" spans="1:17" x14ac:dyDescent="0.15">
      <c r="A47" s="18"/>
    </row>
  </sheetData>
  <printOptions horizontalCentered="1" verticalCentered="1"/>
  <pageMargins left="0.1" right="0.1" top="0.1" bottom="0.1" header="0.1" footer="0.1"/>
  <pageSetup paperSize="9" scale="42"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233A6-B255-3C43-BF6C-8B7C11E8C102}">
  <dimension ref="A1:F2299"/>
  <sheetViews>
    <sheetView zoomScale="75" workbookViewId="0">
      <pane xSplit="1" ySplit="1" topLeftCell="B2259" activePane="bottomRight" state="frozen"/>
      <selection pane="topRight" activeCell="C1" sqref="C1"/>
      <selection pane="bottomLeft" activeCell="A2" sqref="A2"/>
      <selection pane="bottomRight" activeCell="A2300" sqref="A2300"/>
    </sheetView>
  </sheetViews>
  <sheetFormatPr baseColWidth="10" defaultRowHeight="13" x14ac:dyDescent="0.15"/>
  <cols>
    <col min="1" max="1" width="20.33203125" customWidth="1"/>
    <col min="2" max="2" width="19.6640625" customWidth="1"/>
    <col min="4" max="4" width="13.1640625" customWidth="1"/>
    <col min="6" max="6" width="12.83203125" customWidth="1"/>
  </cols>
  <sheetData>
    <row r="1" spans="1:6" x14ac:dyDescent="0.15">
      <c r="A1" s="5" t="s">
        <v>3312</v>
      </c>
      <c r="B1" s="5" t="s">
        <v>148</v>
      </c>
      <c r="C1" s="5" t="s">
        <v>978</v>
      </c>
      <c r="D1" s="5" t="s">
        <v>894</v>
      </c>
      <c r="E1" s="5" t="s">
        <v>977</v>
      </c>
      <c r="F1" s="5" t="s">
        <v>893</v>
      </c>
    </row>
    <row r="2" spans="1:6" x14ac:dyDescent="0.15">
      <c r="A2" t="s">
        <v>1502</v>
      </c>
      <c r="B2" t="s">
        <v>1503</v>
      </c>
      <c r="C2">
        <v>483.4</v>
      </c>
      <c r="D2">
        <v>1.85</v>
      </c>
    </row>
    <row r="3" spans="1:6" x14ac:dyDescent="0.15">
      <c r="A3" t="s">
        <v>1504</v>
      </c>
      <c r="B3" t="s">
        <v>1503</v>
      </c>
      <c r="C3">
        <v>80</v>
      </c>
      <c r="D3">
        <v>1.3</v>
      </c>
    </row>
    <row r="4" spans="1:6" x14ac:dyDescent="0.15">
      <c r="A4" t="s">
        <v>1505</v>
      </c>
      <c r="B4" t="s">
        <v>1503</v>
      </c>
      <c r="C4">
        <v>3.1</v>
      </c>
      <c r="D4">
        <v>0.13</v>
      </c>
    </row>
    <row r="5" spans="1:6" x14ac:dyDescent="0.15">
      <c r="A5" t="s">
        <v>1506</v>
      </c>
      <c r="B5" t="s">
        <v>1503</v>
      </c>
      <c r="C5">
        <v>9.736842105263159E-2</v>
      </c>
      <c r="D5">
        <v>3.8</v>
      </c>
    </row>
    <row r="6" spans="1:6" x14ac:dyDescent="0.15">
      <c r="A6" t="s">
        <v>1507</v>
      </c>
      <c r="B6" t="s">
        <v>1503</v>
      </c>
      <c r="C6">
        <v>4.8</v>
      </c>
      <c r="D6">
        <v>1.1000000000000001</v>
      </c>
    </row>
    <row r="7" spans="1:6" x14ac:dyDescent="0.15">
      <c r="A7" t="s">
        <v>1508</v>
      </c>
      <c r="B7" t="s">
        <v>979</v>
      </c>
      <c r="C7">
        <v>2.6</v>
      </c>
      <c r="D7">
        <v>0.94</v>
      </c>
    </row>
    <row r="8" spans="1:6" x14ac:dyDescent="0.15">
      <c r="A8" t="s">
        <v>1509</v>
      </c>
      <c r="B8" t="s">
        <v>979</v>
      </c>
      <c r="C8">
        <v>1.6</v>
      </c>
      <c r="D8">
        <v>1.23</v>
      </c>
    </row>
    <row r="9" spans="1:6" x14ac:dyDescent="0.15">
      <c r="A9" t="s">
        <v>1510</v>
      </c>
      <c r="B9" t="s">
        <v>979</v>
      </c>
      <c r="C9">
        <v>1</v>
      </c>
      <c r="D9">
        <v>2.34</v>
      </c>
    </row>
    <row r="10" spans="1:6" x14ac:dyDescent="0.15">
      <c r="A10" t="s">
        <v>1511</v>
      </c>
      <c r="B10" t="s">
        <v>979</v>
      </c>
      <c r="C10">
        <v>0.97</v>
      </c>
      <c r="D10">
        <v>3.71</v>
      </c>
    </row>
    <row r="11" spans="1:6" x14ac:dyDescent="0.15">
      <c r="A11" t="s">
        <v>1512</v>
      </c>
      <c r="B11" t="s">
        <v>979</v>
      </c>
      <c r="C11">
        <v>3.8</v>
      </c>
      <c r="D11">
        <v>1</v>
      </c>
    </row>
    <row r="12" spans="1:6" x14ac:dyDescent="0.15">
      <c r="A12" t="s">
        <v>1513</v>
      </c>
      <c r="B12" t="s">
        <v>979</v>
      </c>
      <c r="C12">
        <v>9.8000000000000007</v>
      </c>
      <c r="D12">
        <v>0.97</v>
      </c>
    </row>
    <row r="13" spans="1:6" x14ac:dyDescent="0.15">
      <c r="A13" t="s">
        <v>1514</v>
      </c>
      <c r="B13" t="s">
        <v>979</v>
      </c>
      <c r="C13">
        <v>2.7</v>
      </c>
      <c r="D13">
        <v>1.68</v>
      </c>
    </row>
    <row r="14" spans="1:6" x14ac:dyDescent="0.15">
      <c r="A14" t="s">
        <v>1515</v>
      </c>
      <c r="B14" t="s">
        <v>979</v>
      </c>
      <c r="C14">
        <v>18.509999999999998</v>
      </c>
      <c r="D14">
        <v>1.2690761750405188</v>
      </c>
    </row>
    <row r="15" spans="1:6" x14ac:dyDescent="0.15">
      <c r="A15" t="s">
        <v>1516</v>
      </c>
      <c r="B15" t="s">
        <v>979</v>
      </c>
      <c r="C15">
        <v>1.1000000000000001</v>
      </c>
      <c r="D15">
        <v>2.14</v>
      </c>
    </row>
    <row r="16" spans="1:6" x14ac:dyDescent="0.15">
      <c r="A16" t="s">
        <v>1517</v>
      </c>
      <c r="B16" t="s">
        <v>979</v>
      </c>
      <c r="C16">
        <v>3.3</v>
      </c>
      <c r="D16">
        <v>2.2000000000000002</v>
      </c>
    </row>
    <row r="17" spans="1:6" x14ac:dyDescent="0.15">
      <c r="A17" t="s">
        <v>1518</v>
      </c>
      <c r="B17" t="s">
        <v>979</v>
      </c>
      <c r="C17">
        <v>1.3</v>
      </c>
      <c r="D17">
        <v>2.44</v>
      </c>
    </row>
    <row r="18" spans="1:6" x14ac:dyDescent="0.15">
      <c r="A18" t="s">
        <v>1519</v>
      </c>
      <c r="B18" t="s">
        <v>979</v>
      </c>
      <c r="C18">
        <v>6.4</v>
      </c>
      <c r="D18">
        <v>1</v>
      </c>
    </row>
    <row r="19" spans="1:6" x14ac:dyDescent="0.15">
      <c r="A19" t="s">
        <v>1520</v>
      </c>
      <c r="B19" t="s">
        <v>979</v>
      </c>
      <c r="C19">
        <v>3.1</v>
      </c>
      <c r="D19">
        <v>2.0299999999999998</v>
      </c>
    </row>
    <row r="20" spans="1:6" x14ac:dyDescent="0.15">
      <c r="A20" t="s">
        <v>1521</v>
      </c>
      <c r="B20" t="s">
        <v>1522</v>
      </c>
      <c r="C20">
        <v>11.5</v>
      </c>
      <c r="D20">
        <v>0.7</v>
      </c>
    </row>
    <row r="21" spans="1:6" x14ac:dyDescent="0.15">
      <c r="A21" t="s">
        <v>1523</v>
      </c>
      <c r="B21" t="s">
        <v>1522</v>
      </c>
      <c r="C21">
        <v>6.5850400000000002</v>
      </c>
      <c r="D21">
        <v>0.55000000000000004</v>
      </c>
    </row>
    <row r="22" spans="1:6" x14ac:dyDescent="0.15">
      <c r="A22" t="s">
        <v>1524</v>
      </c>
      <c r="B22" t="s">
        <v>1525</v>
      </c>
      <c r="C22">
        <v>7.19</v>
      </c>
      <c r="D22">
        <v>2.08</v>
      </c>
    </row>
    <row r="23" spans="1:6" x14ac:dyDescent="0.15">
      <c r="A23" t="s">
        <v>452</v>
      </c>
      <c r="B23" t="s">
        <v>80</v>
      </c>
      <c r="C23">
        <v>1752.0340000000001</v>
      </c>
      <c r="D23">
        <v>0.42091861231003502</v>
      </c>
      <c r="E23">
        <v>908.92599999999993</v>
      </c>
      <c r="F23">
        <v>0.4850465384420734</v>
      </c>
    </row>
    <row r="24" spans="1:6" x14ac:dyDescent="0.15">
      <c r="A24" t="s">
        <v>1526</v>
      </c>
      <c r="B24" t="s">
        <v>80</v>
      </c>
      <c r="C24">
        <v>58.32</v>
      </c>
      <c r="D24">
        <v>0.14530692729766803</v>
      </c>
    </row>
    <row r="25" spans="1:6" x14ac:dyDescent="0.15">
      <c r="A25" t="s">
        <v>453</v>
      </c>
      <c r="B25" t="s">
        <v>80</v>
      </c>
      <c r="C25">
        <v>247</v>
      </c>
      <c r="D25">
        <v>0.20267206477732794</v>
      </c>
      <c r="E25">
        <v>29</v>
      </c>
      <c r="F25">
        <v>0.36413793103448272</v>
      </c>
    </row>
    <row r="26" spans="1:6" x14ac:dyDescent="0.15">
      <c r="A26" t="s">
        <v>1527</v>
      </c>
      <c r="B26" t="s">
        <v>80</v>
      </c>
      <c r="C26">
        <v>35.5</v>
      </c>
      <c r="D26">
        <v>0.36799999999999999</v>
      </c>
    </row>
    <row r="27" spans="1:6" x14ac:dyDescent="0.15">
      <c r="A27" t="s">
        <v>1528</v>
      </c>
      <c r="B27" t="s">
        <v>80</v>
      </c>
      <c r="C27">
        <v>1.5</v>
      </c>
      <c r="D27">
        <v>1.3</v>
      </c>
    </row>
    <row r="28" spans="1:6" x14ac:dyDescent="0.15">
      <c r="A28" t="s">
        <v>1529</v>
      </c>
      <c r="B28" t="s">
        <v>80</v>
      </c>
      <c r="C28">
        <v>200</v>
      </c>
      <c r="D28">
        <v>0.6</v>
      </c>
    </row>
    <row r="29" spans="1:6" x14ac:dyDescent="0.15">
      <c r="A29" t="s">
        <v>1530</v>
      </c>
      <c r="B29" t="s">
        <v>80</v>
      </c>
      <c r="C29">
        <v>90.9</v>
      </c>
      <c r="D29">
        <v>0.39778437843784376</v>
      </c>
    </row>
    <row r="30" spans="1:6" x14ac:dyDescent="0.15">
      <c r="A30" t="s">
        <v>1531</v>
      </c>
      <c r="B30" t="s">
        <v>80</v>
      </c>
      <c r="C30">
        <v>200</v>
      </c>
      <c r="D30">
        <v>0.5</v>
      </c>
    </row>
    <row r="31" spans="1:6" x14ac:dyDescent="0.15">
      <c r="A31" t="s">
        <v>1532</v>
      </c>
      <c r="B31" t="s">
        <v>80</v>
      </c>
      <c r="C31">
        <v>2</v>
      </c>
      <c r="D31">
        <v>0.5</v>
      </c>
    </row>
    <row r="32" spans="1:6" x14ac:dyDescent="0.15">
      <c r="A32" t="s">
        <v>1533</v>
      </c>
      <c r="B32" t="s">
        <v>80</v>
      </c>
      <c r="C32">
        <v>40</v>
      </c>
      <c r="D32">
        <v>0.5</v>
      </c>
    </row>
    <row r="33" spans="1:4" x14ac:dyDescent="0.15">
      <c r="A33" t="s">
        <v>1534</v>
      </c>
      <c r="B33" t="s">
        <v>80</v>
      </c>
      <c r="C33">
        <v>2599.8509999999997</v>
      </c>
      <c r="D33">
        <v>0.32340352543280371</v>
      </c>
    </row>
    <row r="34" spans="1:4" x14ac:dyDescent="0.15">
      <c r="A34" t="s">
        <v>1535</v>
      </c>
      <c r="B34" t="s">
        <v>80</v>
      </c>
      <c r="C34">
        <v>3097</v>
      </c>
      <c r="D34">
        <v>0.48205682918953818</v>
      </c>
    </row>
    <row r="35" spans="1:4" x14ac:dyDescent="0.15">
      <c r="A35" t="s">
        <v>1536</v>
      </c>
      <c r="B35" t="s">
        <v>80</v>
      </c>
      <c r="C35">
        <v>62</v>
      </c>
      <c r="D35">
        <v>1</v>
      </c>
    </row>
    <row r="36" spans="1:4" x14ac:dyDescent="0.15">
      <c r="A36" t="s">
        <v>1537</v>
      </c>
      <c r="B36" t="s">
        <v>80</v>
      </c>
      <c r="C36">
        <v>100</v>
      </c>
      <c r="D36">
        <v>0.6</v>
      </c>
    </row>
    <row r="37" spans="1:4" x14ac:dyDescent="0.15">
      <c r="A37" t="s">
        <v>1538</v>
      </c>
      <c r="B37" t="s">
        <v>80</v>
      </c>
      <c r="C37">
        <v>30</v>
      </c>
      <c r="D37">
        <v>0.6</v>
      </c>
    </row>
    <row r="38" spans="1:4" x14ac:dyDescent="0.15">
      <c r="A38" t="s">
        <v>1539</v>
      </c>
      <c r="B38" t="s">
        <v>80</v>
      </c>
      <c r="C38">
        <v>1554</v>
      </c>
      <c r="D38">
        <v>0.28157657657657653</v>
      </c>
    </row>
    <row r="39" spans="1:4" x14ac:dyDescent="0.15">
      <c r="A39" t="s">
        <v>1540</v>
      </c>
      <c r="B39" t="s">
        <v>80</v>
      </c>
      <c r="C39">
        <v>44.7</v>
      </c>
      <c r="D39">
        <v>0.8</v>
      </c>
    </row>
    <row r="40" spans="1:4" x14ac:dyDescent="0.15">
      <c r="A40" t="s">
        <v>1541</v>
      </c>
      <c r="B40" t="s">
        <v>80</v>
      </c>
      <c r="C40">
        <v>0.25</v>
      </c>
      <c r="D40">
        <v>1.1000000000000001</v>
      </c>
    </row>
    <row r="41" spans="1:4" x14ac:dyDescent="0.15">
      <c r="A41" t="s">
        <v>1542</v>
      </c>
      <c r="B41" t="s">
        <v>80</v>
      </c>
      <c r="C41">
        <v>1.014</v>
      </c>
      <c r="D41">
        <v>0.08</v>
      </c>
    </row>
    <row r="42" spans="1:4" x14ac:dyDescent="0.15">
      <c r="A42" t="s">
        <v>1543</v>
      </c>
      <c r="B42" t="s">
        <v>80</v>
      </c>
      <c r="C42">
        <v>250</v>
      </c>
      <c r="D42">
        <v>0.15</v>
      </c>
    </row>
    <row r="43" spans="1:4" x14ac:dyDescent="0.15">
      <c r="A43" t="s">
        <v>983</v>
      </c>
      <c r="B43" t="s">
        <v>80</v>
      </c>
      <c r="C43">
        <v>6.2291880000000006</v>
      </c>
      <c r="D43">
        <v>0.36712277105780078</v>
      </c>
    </row>
    <row r="44" spans="1:4" x14ac:dyDescent="0.15">
      <c r="A44" t="s">
        <v>1544</v>
      </c>
      <c r="B44" t="s">
        <v>80</v>
      </c>
      <c r="C44">
        <v>182.10000000000002</v>
      </c>
      <c r="D44">
        <v>0.1015650741350906</v>
      </c>
    </row>
    <row r="45" spans="1:4" x14ac:dyDescent="0.15">
      <c r="A45" t="s">
        <v>1545</v>
      </c>
      <c r="B45" t="s">
        <v>80</v>
      </c>
      <c r="C45">
        <v>4768</v>
      </c>
      <c r="D45">
        <v>0.34235528523489933</v>
      </c>
    </row>
    <row r="46" spans="1:4" x14ac:dyDescent="0.15">
      <c r="A46" t="s">
        <v>1546</v>
      </c>
      <c r="B46" t="s">
        <v>80</v>
      </c>
      <c r="C46">
        <v>3.2349999999999999</v>
      </c>
      <c r="D46">
        <v>2.41</v>
      </c>
    </row>
    <row r="47" spans="1:4" x14ac:dyDescent="0.15">
      <c r="A47" t="s">
        <v>1547</v>
      </c>
      <c r="B47" t="s">
        <v>80</v>
      </c>
      <c r="C47">
        <v>201.10000000000002</v>
      </c>
      <c r="D47">
        <v>4.0029835902536053E-2</v>
      </c>
    </row>
    <row r="48" spans="1:4" x14ac:dyDescent="0.15">
      <c r="A48" t="s">
        <v>1548</v>
      </c>
      <c r="B48" t="s">
        <v>80</v>
      </c>
      <c r="C48">
        <v>300</v>
      </c>
      <c r="D48">
        <v>0.37</v>
      </c>
    </row>
    <row r="49" spans="1:4" x14ac:dyDescent="0.15">
      <c r="A49" t="s">
        <v>1549</v>
      </c>
      <c r="B49" t="s">
        <v>80</v>
      </c>
      <c r="C49">
        <v>500</v>
      </c>
      <c r="D49">
        <v>1</v>
      </c>
    </row>
    <row r="50" spans="1:4" x14ac:dyDescent="0.15">
      <c r="A50" t="s">
        <v>1550</v>
      </c>
      <c r="B50" t="s">
        <v>80</v>
      </c>
      <c r="C50">
        <v>373</v>
      </c>
      <c r="D50">
        <v>0.55493297587131374</v>
      </c>
    </row>
    <row r="51" spans="1:4" x14ac:dyDescent="0.15">
      <c r="A51" t="s">
        <v>1551</v>
      </c>
      <c r="B51" t="s">
        <v>80</v>
      </c>
      <c r="C51">
        <v>87</v>
      </c>
      <c r="D51">
        <v>0.6</v>
      </c>
    </row>
    <row r="52" spans="1:4" x14ac:dyDescent="0.15">
      <c r="A52" t="s">
        <v>1552</v>
      </c>
      <c r="B52" t="s">
        <v>80</v>
      </c>
      <c r="C52">
        <v>929.25879999999995</v>
      </c>
      <c r="D52">
        <v>0.18701007501892908</v>
      </c>
    </row>
    <row r="53" spans="1:4" x14ac:dyDescent="0.15">
      <c r="A53" t="s">
        <v>1553</v>
      </c>
      <c r="B53" t="s">
        <v>80</v>
      </c>
      <c r="C53">
        <v>30</v>
      </c>
      <c r="D53">
        <v>1.2</v>
      </c>
    </row>
    <row r="54" spans="1:4" x14ac:dyDescent="0.15">
      <c r="A54" t="s">
        <v>1554</v>
      </c>
      <c r="B54" t="s">
        <v>80</v>
      </c>
      <c r="C54">
        <v>194.84399999999999</v>
      </c>
      <c r="D54">
        <v>0.4789102050871466</v>
      </c>
    </row>
    <row r="55" spans="1:4" x14ac:dyDescent="0.15">
      <c r="A55" t="s">
        <v>1555</v>
      </c>
      <c r="B55" t="s">
        <v>80</v>
      </c>
      <c r="C55">
        <v>0.48699999999999999</v>
      </c>
      <c r="D55">
        <v>1.29</v>
      </c>
    </row>
    <row r="56" spans="1:4" x14ac:dyDescent="0.15">
      <c r="A56" t="s">
        <v>1556</v>
      </c>
      <c r="B56" t="s">
        <v>80</v>
      </c>
      <c r="C56">
        <v>3086</v>
      </c>
      <c r="D56">
        <v>0.41910887880751779</v>
      </c>
    </row>
    <row r="57" spans="1:4" x14ac:dyDescent="0.15">
      <c r="A57" t="s">
        <v>1557</v>
      </c>
      <c r="B57" t="s">
        <v>80</v>
      </c>
      <c r="C57">
        <v>500</v>
      </c>
      <c r="D57">
        <v>0.6</v>
      </c>
    </row>
    <row r="58" spans="1:4" x14ac:dyDescent="0.15">
      <c r="A58" t="s">
        <v>1558</v>
      </c>
      <c r="B58" t="s">
        <v>1497</v>
      </c>
      <c r="C58">
        <v>125</v>
      </c>
      <c r="D58">
        <v>0.56000000000000005</v>
      </c>
    </row>
    <row r="59" spans="1:4" x14ac:dyDescent="0.15">
      <c r="A59" t="s">
        <v>1559</v>
      </c>
      <c r="B59" t="s">
        <v>1497</v>
      </c>
      <c r="C59">
        <v>1.2</v>
      </c>
      <c r="D59">
        <v>0.57999999999999996</v>
      </c>
    </row>
    <row r="60" spans="1:4" x14ac:dyDescent="0.15">
      <c r="A60" t="s">
        <v>1560</v>
      </c>
      <c r="B60" t="s">
        <v>1497</v>
      </c>
      <c r="C60">
        <v>1.2</v>
      </c>
      <c r="D60">
        <v>5.6</v>
      </c>
    </row>
    <row r="61" spans="1:4" x14ac:dyDescent="0.15">
      <c r="A61" t="s">
        <v>1561</v>
      </c>
      <c r="B61" t="s">
        <v>1497</v>
      </c>
      <c r="C61">
        <v>115</v>
      </c>
      <c r="D61">
        <v>0.56999999999999995</v>
      </c>
    </row>
    <row r="62" spans="1:4" x14ac:dyDescent="0.15">
      <c r="A62" t="s">
        <v>1562</v>
      </c>
      <c r="B62" t="s">
        <v>1497</v>
      </c>
      <c r="C62">
        <v>16.329599999999999</v>
      </c>
      <c r="D62">
        <v>0.9</v>
      </c>
    </row>
    <row r="63" spans="1:4" x14ac:dyDescent="0.15">
      <c r="A63" t="s">
        <v>1563</v>
      </c>
      <c r="B63" t="s">
        <v>1497</v>
      </c>
      <c r="C63">
        <v>3</v>
      </c>
      <c r="D63">
        <v>0.9</v>
      </c>
    </row>
    <row r="64" spans="1:4" x14ac:dyDescent="0.15">
      <c r="A64" t="s">
        <v>1564</v>
      </c>
      <c r="B64" t="s">
        <v>1497</v>
      </c>
      <c r="C64">
        <v>2107.6</v>
      </c>
      <c r="D64">
        <v>0.23619909502262443</v>
      </c>
    </row>
    <row r="65" spans="1:4" x14ac:dyDescent="0.15">
      <c r="A65" t="s">
        <v>1565</v>
      </c>
      <c r="B65" t="s">
        <v>1497</v>
      </c>
      <c r="C65">
        <v>60</v>
      </c>
      <c r="D65">
        <v>0.35</v>
      </c>
    </row>
    <row r="66" spans="1:4" x14ac:dyDescent="0.15">
      <c r="A66" t="s">
        <v>1566</v>
      </c>
      <c r="B66" t="s">
        <v>1497</v>
      </c>
      <c r="C66">
        <v>15.4</v>
      </c>
      <c r="D66">
        <v>0.8</v>
      </c>
    </row>
    <row r="67" spans="1:4" x14ac:dyDescent="0.15">
      <c r="A67" t="s">
        <v>1567</v>
      </c>
      <c r="B67" t="s">
        <v>1497</v>
      </c>
      <c r="C67">
        <v>14.700000000000001</v>
      </c>
      <c r="D67">
        <v>0.50544217687074822</v>
      </c>
    </row>
    <row r="68" spans="1:4" x14ac:dyDescent="0.15">
      <c r="A68" t="s">
        <v>1568</v>
      </c>
      <c r="B68" t="s">
        <v>1497</v>
      </c>
      <c r="C68">
        <v>466.3</v>
      </c>
      <c r="D68">
        <v>0.09</v>
      </c>
    </row>
    <row r="69" spans="1:4" x14ac:dyDescent="0.15">
      <c r="A69" t="s">
        <v>1569</v>
      </c>
      <c r="B69" t="s">
        <v>1497</v>
      </c>
      <c r="C69">
        <v>459.24399999999997</v>
      </c>
      <c r="D69">
        <v>0.36023725949604135</v>
      </c>
    </row>
    <row r="70" spans="1:4" x14ac:dyDescent="0.15">
      <c r="A70" t="s">
        <v>1570</v>
      </c>
      <c r="B70" t="s">
        <v>1497</v>
      </c>
      <c r="C70">
        <v>4.5</v>
      </c>
      <c r="D70">
        <v>3.54</v>
      </c>
    </row>
    <row r="71" spans="1:4" x14ac:dyDescent="0.15">
      <c r="A71" t="s">
        <v>1571</v>
      </c>
      <c r="B71" t="s">
        <v>29</v>
      </c>
      <c r="C71">
        <v>0.877</v>
      </c>
      <c r="D71">
        <v>0.96</v>
      </c>
    </row>
    <row r="72" spans="1:4" x14ac:dyDescent="0.15">
      <c r="A72" t="s">
        <v>1572</v>
      </c>
      <c r="B72" t="s">
        <v>29</v>
      </c>
      <c r="C72">
        <v>0.91</v>
      </c>
      <c r="D72">
        <v>0.22</v>
      </c>
    </row>
    <row r="73" spans="1:4" x14ac:dyDescent="0.15">
      <c r="A73" t="s">
        <v>1112</v>
      </c>
      <c r="B73" t="s">
        <v>29</v>
      </c>
      <c r="C73">
        <v>5.48</v>
      </c>
      <c r="D73">
        <v>0.78000000000000014</v>
      </c>
    </row>
    <row r="74" spans="1:4" x14ac:dyDescent="0.15">
      <c r="A74" t="s">
        <v>1573</v>
      </c>
      <c r="B74" t="s">
        <v>29</v>
      </c>
      <c r="C74">
        <v>2.7867980000000001</v>
      </c>
      <c r="D74">
        <v>1</v>
      </c>
    </row>
    <row r="75" spans="1:4" x14ac:dyDescent="0.15">
      <c r="A75" t="s">
        <v>1574</v>
      </c>
      <c r="B75" t="s">
        <v>29</v>
      </c>
      <c r="C75">
        <v>2.7453070000000004</v>
      </c>
      <c r="D75">
        <v>1.6197762535120062</v>
      </c>
    </row>
    <row r="76" spans="1:4" x14ac:dyDescent="0.15">
      <c r="A76" t="s">
        <v>1575</v>
      </c>
      <c r="B76" t="s">
        <v>29</v>
      </c>
      <c r="C76">
        <v>0.09</v>
      </c>
      <c r="D76">
        <v>1.3</v>
      </c>
    </row>
    <row r="77" spans="1:4" x14ac:dyDescent="0.15">
      <c r="A77" t="s">
        <v>1576</v>
      </c>
      <c r="B77" t="s">
        <v>29</v>
      </c>
      <c r="C77">
        <v>2.6</v>
      </c>
      <c r="D77">
        <v>0.52</v>
      </c>
    </row>
    <row r="78" spans="1:4" x14ac:dyDescent="0.15">
      <c r="A78" t="s">
        <v>1577</v>
      </c>
      <c r="B78" t="s">
        <v>29</v>
      </c>
      <c r="C78">
        <v>1.5</v>
      </c>
      <c r="D78">
        <v>7.0000000000000007E-2</v>
      </c>
    </row>
    <row r="79" spans="1:4" x14ac:dyDescent="0.15">
      <c r="A79" t="s">
        <v>1578</v>
      </c>
      <c r="B79" t="s">
        <v>29</v>
      </c>
      <c r="C79">
        <v>4.9713700000000003</v>
      </c>
      <c r="D79">
        <v>1.6235356853342238</v>
      </c>
    </row>
    <row r="80" spans="1:4" x14ac:dyDescent="0.15">
      <c r="A80" t="s">
        <v>1579</v>
      </c>
      <c r="B80" t="s">
        <v>29</v>
      </c>
      <c r="C80">
        <v>0.74</v>
      </c>
      <c r="D80">
        <v>1.23</v>
      </c>
    </row>
    <row r="81" spans="1:6" x14ac:dyDescent="0.15">
      <c r="A81" t="s">
        <v>1580</v>
      </c>
      <c r="B81" t="s">
        <v>29</v>
      </c>
      <c r="C81">
        <v>2.5</v>
      </c>
      <c r="D81">
        <v>1.8</v>
      </c>
    </row>
    <row r="82" spans="1:6" x14ac:dyDescent="0.15">
      <c r="A82" t="s">
        <v>1581</v>
      </c>
      <c r="B82" t="s">
        <v>29</v>
      </c>
      <c r="C82">
        <v>3.8</v>
      </c>
      <c r="D82">
        <v>0.4</v>
      </c>
    </row>
    <row r="83" spans="1:6" x14ac:dyDescent="0.15">
      <c r="A83" t="s">
        <v>1582</v>
      </c>
      <c r="B83" t="s">
        <v>29</v>
      </c>
      <c r="C83">
        <v>62</v>
      </c>
      <c r="D83">
        <v>0.3</v>
      </c>
    </row>
    <row r="84" spans="1:6" x14ac:dyDescent="0.15">
      <c r="A84" t="s">
        <v>1583</v>
      </c>
      <c r="B84" t="s">
        <v>29</v>
      </c>
      <c r="C84">
        <v>20</v>
      </c>
      <c r="D84">
        <v>0.3</v>
      </c>
    </row>
    <row r="85" spans="1:6" x14ac:dyDescent="0.15">
      <c r="A85" t="s">
        <v>454</v>
      </c>
      <c r="B85" t="s">
        <v>29</v>
      </c>
      <c r="C85">
        <v>2.855</v>
      </c>
      <c r="D85">
        <v>1.6</v>
      </c>
      <c r="E85">
        <v>1.286</v>
      </c>
      <c r="F85">
        <v>1.8</v>
      </c>
    </row>
    <row r="86" spans="1:6" x14ac:dyDescent="0.15">
      <c r="A86" t="s">
        <v>1584</v>
      </c>
      <c r="B86" t="s">
        <v>29</v>
      </c>
      <c r="C86">
        <v>0.15</v>
      </c>
      <c r="D86">
        <v>0.2</v>
      </c>
    </row>
    <row r="87" spans="1:6" x14ac:dyDescent="0.15">
      <c r="A87" t="s">
        <v>455</v>
      </c>
      <c r="B87" t="s">
        <v>29</v>
      </c>
      <c r="C87">
        <v>785.19999999999993</v>
      </c>
      <c r="D87">
        <v>0.10709373408048906</v>
      </c>
      <c r="E87">
        <v>549.1</v>
      </c>
      <c r="F87">
        <v>0.10704243307230012</v>
      </c>
    </row>
    <row r="88" spans="1:6" x14ac:dyDescent="0.15">
      <c r="A88" t="s">
        <v>1585</v>
      </c>
      <c r="B88" t="s">
        <v>29</v>
      </c>
      <c r="C88">
        <v>70.540000000000006</v>
      </c>
      <c r="D88">
        <v>0.83665721576410546</v>
      </c>
    </row>
    <row r="89" spans="1:6" x14ac:dyDescent="0.15">
      <c r="A89" t="s">
        <v>1586</v>
      </c>
      <c r="B89" t="s">
        <v>29</v>
      </c>
      <c r="C89">
        <v>3.3</v>
      </c>
      <c r="D89">
        <v>0.35454545454545461</v>
      </c>
    </row>
    <row r="90" spans="1:6" x14ac:dyDescent="0.15">
      <c r="A90" t="s">
        <v>1587</v>
      </c>
      <c r="B90" t="s">
        <v>29</v>
      </c>
      <c r="C90">
        <v>0.11699999999999999</v>
      </c>
      <c r="D90">
        <v>0.18299145299145303</v>
      </c>
    </row>
    <row r="91" spans="1:6" x14ac:dyDescent="0.15">
      <c r="A91" t="s">
        <v>1588</v>
      </c>
      <c r="B91" t="s">
        <v>29</v>
      </c>
      <c r="C91">
        <v>52.5</v>
      </c>
      <c r="D91">
        <v>0.34742857142857148</v>
      </c>
    </row>
    <row r="92" spans="1:6" x14ac:dyDescent="0.15">
      <c r="A92" t="s">
        <v>456</v>
      </c>
      <c r="B92" t="s">
        <v>29</v>
      </c>
      <c r="C92">
        <v>2861.5</v>
      </c>
      <c r="D92">
        <v>0.25997204263498164</v>
      </c>
      <c r="E92">
        <v>1500</v>
      </c>
      <c r="F92">
        <v>0.27</v>
      </c>
    </row>
    <row r="93" spans="1:6" x14ac:dyDescent="0.15">
      <c r="A93" t="s">
        <v>457</v>
      </c>
      <c r="B93" t="s">
        <v>29</v>
      </c>
      <c r="C93">
        <v>299</v>
      </c>
      <c r="D93">
        <v>0.16170568561872911</v>
      </c>
      <c r="E93">
        <v>90</v>
      </c>
      <c r="F93">
        <v>0.14744444444444443</v>
      </c>
    </row>
    <row r="94" spans="1:6" x14ac:dyDescent="0.15">
      <c r="A94" t="s">
        <v>1589</v>
      </c>
      <c r="B94" t="s">
        <v>29</v>
      </c>
      <c r="C94">
        <v>6</v>
      </c>
      <c r="D94">
        <v>0.47</v>
      </c>
    </row>
    <row r="95" spans="1:6" x14ac:dyDescent="0.15">
      <c r="A95" t="s">
        <v>1590</v>
      </c>
      <c r="B95" t="s">
        <v>29</v>
      </c>
      <c r="C95">
        <v>1.5</v>
      </c>
      <c r="D95">
        <v>1.2</v>
      </c>
    </row>
    <row r="96" spans="1:6" x14ac:dyDescent="0.15">
      <c r="A96" t="s">
        <v>1591</v>
      </c>
      <c r="B96" t="s">
        <v>29</v>
      </c>
      <c r="C96">
        <v>2.2959999999999998</v>
      </c>
      <c r="D96">
        <v>0.76898954703832756</v>
      </c>
    </row>
    <row r="97" spans="1:6" x14ac:dyDescent="0.15">
      <c r="A97" t="s">
        <v>1592</v>
      </c>
      <c r="B97" t="s">
        <v>29</v>
      </c>
      <c r="C97">
        <v>0.60099999999999998</v>
      </c>
      <c r="D97">
        <v>0.46422628951747091</v>
      </c>
    </row>
    <row r="98" spans="1:6" x14ac:dyDescent="0.15">
      <c r="A98" t="s">
        <v>458</v>
      </c>
      <c r="B98" t="s">
        <v>29</v>
      </c>
      <c r="C98">
        <v>800</v>
      </c>
      <c r="D98">
        <v>0.8</v>
      </c>
      <c r="E98">
        <v>270</v>
      </c>
      <c r="F98">
        <v>0.9</v>
      </c>
    </row>
    <row r="99" spans="1:6" x14ac:dyDescent="0.15">
      <c r="A99" t="s">
        <v>1593</v>
      </c>
      <c r="B99" t="s">
        <v>29</v>
      </c>
      <c r="C99">
        <v>1.84</v>
      </c>
      <c r="D99">
        <v>0.51</v>
      </c>
    </row>
    <row r="100" spans="1:6" x14ac:dyDescent="0.15">
      <c r="A100" t="s">
        <v>1594</v>
      </c>
      <c r="B100" t="s">
        <v>29</v>
      </c>
      <c r="C100">
        <v>1.22</v>
      </c>
      <c r="D100">
        <v>0.5</v>
      </c>
    </row>
    <row r="101" spans="1:6" x14ac:dyDescent="0.15">
      <c r="A101" t="s">
        <v>1595</v>
      </c>
      <c r="B101" t="s">
        <v>29</v>
      </c>
      <c r="C101">
        <v>1.05288</v>
      </c>
      <c r="D101">
        <v>3.1</v>
      </c>
    </row>
    <row r="102" spans="1:6" x14ac:dyDescent="0.15">
      <c r="A102" t="s">
        <v>1596</v>
      </c>
      <c r="B102" t="s">
        <v>29</v>
      </c>
      <c r="C102">
        <v>2.99</v>
      </c>
      <c r="D102">
        <v>0.8</v>
      </c>
    </row>
    <row r="103" spans="1:6" x14ac:dyDescent="0.15">
      <c r="A103" t="s">
        <v>1597</v>
      </c>
      <c r="B103" t="s">
        <v>29</v>
      </c>
      <c r="C103">
        <v>131</v>
      </c>
      <c r="D103">
        <v>0.21</v>
      </c>
    </row>
    <row r="104" spans="1:6" x14ac:dyDescent="0.15">
      <c r="A104" t="s">
        <v>459</v>
      </c>
      <c r="B104" t="s">
        <v>29</v>
      </c>
      <c r="C104">
        <v>0.45600000000000002</v>
      </c>
      <c r="D104">
        <v>1.8214912280701754</v>
      </c>
      <c r="E104">
        <v>0.254</v>
      </c>
      <c r="F104">
        <v>1.6</v>
      </c>
    </row>
    <row r="105" spans="1:6" x14ac:dyDescent="0.15">
      <c r="A105" t="s">
        <v>1598</v>
      </c>
      <c r="B105" t="s">
        <v>29</v>
      </c>
      <c r="C105">
        <v>0.53899999999999992</v>
      </c>
      <c r="D105">
        <v>0.90834879406307989</v>
      </c>
    </row>
    <row r="106" spans="1:6" x14ac:dyDescent="0.15">
      <c r="A106" t="s">
        <v>1599</v>
      </c>
      <c r="B106" t="s">
        <v>29</v>
      </c>
      <c r="C106">
        <v>3.8130000000000002</v>
      </c>
      <c r="D106">
        <v>0.7</v>
      </c>
    </row>
    <row r="107" spans="1:6" x14ac:dyDescent="0.15">
      <c r="A107" t="s">
        <v>1600</v>
      </c>
      <c r="B107" t="s">
        <v>29</v>
      </c>
      <c r="C107">
        <v>3.4366409999999998</v>
      </c>
      <c r="D107">
        <v>1</v>
      </c>
    </row>
    <row r="108" spans="1:6" x14ac:dyDescent="0.15">
      <c r="A108" t="s">
        <v>1601</v>
      </c>
      <c r="B108" t="s">
        <v>29</v>
      </c>
      <c r="C108">
        <v>200</v>
      </c>
      <c r="D108">
        <v>0.2</v>
      </c>
    </row>
    <row r="109" spans="1:6" x14ac:dyDescent="0.15">
      <c r="A109" t="s">
        <v>1602</v>
      </c>
      <c r="B109" t="s">
        <v>29</v>
      </c>
      <c r="C109">
        <v>2.1999999999999999E-2</v>
      </c>
      <c r="D109">
        <v>1.6</v>
      </c>
    </row>
    <row r="110" spans="1:6" x14ac:dyDescent="0.15">
      <c r="A110" t="s">
        <v>1603</v>
      </c>
      <c r="B110" t="s">
        <v>29</v>
      </c>
      <c r="C110">
        <v>47.8</v>
      </c>
      <c r="D110">
        <v>0.17</v>
      </c>
    </row>
    <row r="111" spans="1:6" x14ac:dyDescent="0.15">
      <c r="A111" t="s">
        <v>1604</v>
      </c>
      <c r="B111" t="s">
        <v>29</v>
      </c>
      <c r="C111">
        <v>7.41</v>
      </c>
      <c r="D111">
        <v>0.24985155195681513</v>
      </c>
    </row>
    <row r="112" spans="1:6" x14ac:dyDescent="0.15">
      <c r="A112" t="s">
        <v>854</v>
      </c>
      <c r="B112" t="s">
        <v>29</v>
      </c>
      <c r="C112">
        <v>3.85</v>
      </c>
      <c r="D112">
        <v>0.13</v>
      </c>
      <c r="E112">
        <v>3.7</v>
      </c>
      <c r="F112">
        <v>0.13</v>
      </c>
    </row>
    <row r="113" spans="1:6" x14ac:dyDescent="0.15">
      <c r="A113" t="s">
        <v>1605</v>
      </c>
      <c r="B113" t="s">
        <v>29</v>
      </c>
      <c r="C113">
        <v>26.86</v>
      </c>
      <c r="D113">
        <v>0.38</v>
      </c>
    </row>
    <row r="114" spans="1:6" x14ac:dyDescent="0.15">
      <c r="A114" t="s">
        <v>460</v>
      </c>
      <c r="B114" t="s">
        <v>29</v>
      </c>
      <c r="C114">
        <v>11.9</v>
      </c>
      <c r="D114">
        <v>5.6529411764705877</v>
      </c>
      <c r="E114">
        <v>5.8</v>
      </c>
      <c r="F114">
        <v>4.25</v>
      </c>
    </row>
    <row r="115" spans="1:6" x14ac:dyDescent="0.15">
      <c r="A115" t="s">
        <v>1606</v>
      </c>
      <c r="B115" t="s">
        <v>29</v>
      </c>
      <c r="C115">
        <v>3.1304009999999995</v>
      </c>
      <c r="D115">
        <v>0.17800490735851415</v>
      </c>
    </row>
    <row r="116" spans="1:6" x14ac:dyDescent="0.15">
      <c r="A116" t="s">
        <v>461</v>
      </c>
      <c r="B116" t="s">
        <v>29</v>
      </c>
      <c r="C116">
        <v>0.71699999999999997</v>
      </c>
      <c r="D116">
        <v>0.85870292887029298</v>
      </c>
      <c r="E116">
        <v>0.17199999999999999</v>
      </c>
      <c r="F116">
        <v>0.74</v>
      </c>
    </row>
    <row r="117" spans="1:6" x14ac:dyDescent="0.15">
      <c r="A117" t="s">
        <v>1607</v>
      </c>
      <c r="B117" t="s">
        <v>29</v>
      </c>
      <c r="C117">
        <v>86</v>
      </c>
      <c r="D117">
        <v>0.36372093023255814</v>
      </c>
    </row>
    <row r="118" spans="1:6" x14ac:dyDescent="0.15">
      <c r="A118" t="s">
        <v>1107</v>
      </c>
      <c r="B118" t="s">
        <v>29</v>
      </c>
      <c r="C118">
        <v>0.22500000000000001</v>
      </c>
      <c r="D118">
        <v>0.25</v>
      </c>
    </row>
    <row r="119" spans="1:6" x14ac:dyDescent="0.15">
      <c r="A119" t="s">
        <v>1608</v>
      </c>
      <c r="B119" t="s">
        <v>29</v>
      </c>
      <c r="C119">
        <v>0.3</v>
      </c>
      <c r="D119">
        <v>2.2000000000000002</v>
      </c>
    </row>
    <row r="120" spans="1:6" x14ac:dyDescent="0.15">
      <c r="A120" t="s">
        <v>1609</v>
      </c>
      <c r="B120" t="s">
        <v>29</v>
      </c>
      <c r="C120">
        <v>0.76200000000000001</v>
      </c>
      <c r="D120">
        <v>1.77</v>
      </c>
    </row>
    <row r="121" spans="1:6" x14ac:dyDescent="0.15">
      <c r="A121" t="s">
        <v>462</v>
      </c>
      <c r="B121" t="s">
        <v>29</v>
      </c>
      <c r="C121">
        <v>2.8650000000000002</v>
      </c>
      <c r="D121">
        <v>0.9</v>
      </c>
      <c r="E121">
        <v>1.7809999999999999</v>
      </c>
      <c r="F121">
        <v>0.9</v>
      </c>
    </row>
    <row r="122" spans="1:6" x14ac:dyDescent="0.15">
      <c r="A122" t="s">
        <v>1610</v>
      </c>
      <c r="B122" t="s">
        <v>29</v>
      </c>
      <c r="C122">
        <v>1.75</v>
      </c>
      <c r="D122">
        <v>1.71</v>
      </c>
    </row>
    <row r="123" spans="1:6" x14ac:dyDescent="0.15">
      <c r="A123" t="s">
        <v>1611</v>
      </c>
      <c r="B123" t="s">
        <v>29</v>
      </c>
      <c r="C123">
        <v>20</v>
      </c>
      <c r="D123">
        <v>0.25</v>
      </c>
    </row>
    <row r="124" spans="1:6" x14ac:dyDescent="0.15">
      <c r="A124" t="s">
        <v>463</v>
      </c>
      <c r="B124" t="s">
        <v>29</v>
      </c>
      <c r="C124">
        <v>12.4</v>
      </c>
      <c r="D124">
        <v>4.7</v>
      </c>
      <c r="E124">
        <v>10.6</v>
      </c>
      <c r="F124">
        <v>3.5</v>
      </c>
    </row>
    <row r="125" spans="1:6" x14ac:dyDescent="0.15">
      <c r="A125" t="s">
        <v>1612</v>
      </c>
      <c r="B125" t="s">
        <v>29</v>
      </c>
      <c r="C125">
        <v>4.4000000000000004</v>
      </c>
      <c r="D125">
        <v>1.8</v>
      </c>
    </row>
    <row r="126" spans="1:6" x14ac:dyDescent="0.15">
      <c r="A126" t="s">
        <v>1090</v>
      </c>
      <c r="B126" t="s">
        <v>29</v>
      </c>
      <c r="C126">
        <v>18.775665</v>
      </c>
      <c r="D126">
        <v>2.8571428571428574E-2</v>
      </c>
    </row>
    <row r="127" spans="1:6" x14ac:dyDescent="0.15">
      <c r="A127" t="s">
        <v>1613</v>
      </c>
      <c r="B127" t="s">
        <v>29</v>
      </c>
      <c r="C127">
        <v>1.94</v>
      </c>
      <c r="D127">
        <v>0.4</v>
      </c>
    </row>
    <row r="128" spans="1:6" x14ac:dyDescent="0.15">
      <c r="A128" t="s">
        <v>1614</v>
      </c>
      <c r="B128" t="s">
        <v>29</v>
      </c>
      <c r="C128">
        <v>10.5</v>
      </c>
      <c r="D128">
        <v>0.7338095238095238</v>
      </c>
    </row>
    <row r="129" spans="1:6" x14ac:dyDescent="0.15">
      <c r="A129" t="s">
        <v>1615</v>
      </c>
      <c r="B129" t="s">
        <v>29</v>
      </c>
      <c r="C129">
        <v>3.4</v>
      </c>
      <c r="D129">
        <v>0.65600000000000003</v>
      </c>
    </row>
    <row r="130" spans="1:6" x14ac:dyDescent="0.15">
      <c r="A130" t="s">
        <v>1616</v>
      </c>
      <c r="B130" t="s">
        <v>29</v>
      </c>
      <c r="C130">
        <v>21.7</v>
      </c>
      <c r="D130">
        <v>0.77764976958525367</v>
      </c>
    </row>
    <row r="131" spans="1:6" x14ac:dyDescent="0.15">
      <c r="A131" t="s">
        <v>1617</v>
      </c>
      <c r="B131" t="s">
        <v>29</v>
      </c>
      <c r="C131">
        <v>64.34</v>
      </c>
      <c r="D131">
        <v>0.34</v>
      </c>
    </row>
    <row r="132" spans="1:6" x14ac:dyDescent="0.15">
      <c r="A132" t="s">
        <v>1618</v>
      </c>
      <c r="B132" t="s">
        <v>29</v>
      </c>
      <c r="C132">
        <v>3.2159999999999997</v>
      </c>
      <c r="D132">
        <v>3.0875621890547267</v>
      </c>
    </row>
    <row r="133" spans="1:6" x14ac:dyDescent="0.15">
      <c r="A133" t="s">
        <v>1619</v>
      </c>
      <c r="B133" t="s">
        <v>29</v>
      </c>
      <c r="C133">
        <v>4.7</v>
      </c>
      <c r="D133">
        <v>0.33</v>
      </c>
    </row>
    <row r="134" spans="1:6" x14ac:dyDescent="0.15">
      <c r="A134" t="s">
        <v>464</v>
      </c>
      <c r="B134" t="s">
        <v>29</v>
      </c>
      <c r="C134">
        <v>13.9001184</v>
      </c>
      <c r="D134">
        <v>0.18</v>
      </c>
      <c r="E134">
        <v>1.5903216</v>
      </c>
      <c r="F134">
        <v>0.2</v>
      </c>
    </row>
    <row r="135" spans="1:6" x14ac:dyDescent="0.15">
      <c r="A135" t="s">
        <v>465</v>
      </c>
      <c r="B135" t="s">
        <v>29</v>
      </c>
      <c r="C135">
        <v>96.1</v>
      </c>
      <c r="D135">
        <v>1.1687721123829344</v>
      </c>
      <c r="E135">
        <v>57.9</v>
      </c>
      <c r="F135">
        <v>1.06</v>
      </c>
    </row>
    <row r="136" spans="1:6" x14ac:dyDescent="0.15">
      <c r="A136" t="s">
        <v>1620</v>
      </c>
      <c r="B136" t="s">
        <v>29</v>
      </c>
      <c r="C136">
        <v>11.87</v>
      </c>
      <c r="D136">
        <v>0.36</v>
      </c>
    </row>
    <row r="137" spans="1:6" x14ac:dyDescent="0.15">
      <c r="A137" t="s">
        <v>1621</v>
      </c>
      <c r="B137" t="s">
        <v>29</v>
      </c>
      <c r="C137">
        <v>0.17560000000000001</v>
      </c>
      <c r="D137">
        <v>5.21</v>
      </c>
    </row>
    <row r="138" spans="1:6" x14ac:dyDescent="0.15">
      <c r="A138" t="s">
        <v>1622</v>
      </c>
      <c r="B138" t="s">
        <v>29</v>
      </c>
      <c r="C138">
        <v>0.11700000000000001</v>
      </c>
      <c r="D138">
        <v>6</v>
      </c>
    </row>
    <row r="139" spans="1:6" x14ac:dyDescent="0.15">
      <c r="A139" t="s">
        <v>1623</v>
      </c>
      <c r="B139" t="s">
        <v>29</v>
      </c>
      <c r="C139">
        <v>1.61</v>
      </c>
      <c r="D139">
        <v>0.77</v>
      </c>
    </row>
    <row r="140" spans="1:6" x14ac:dyDescent="0.15">
      <c r="A140" t="s">
        <v>1624</v>
      </c>
      <c r="B140" t="s">
        <v>29</v>
      </c>
      <c r="C140">
        <v>0.45</v>
      </c>
      <c r="D140">
        <v>0.5</v>
      </c>
    </row>
    <row r="141" spans="1:6" x14ac:dyDescent="0.15">
      <c r="A141" t="s">
        <v>1625</v>
      </c>
      <c r="B141" t="s">
        <v>29</v>
      </c>
      <c r="C141">
        <v>0.49199999999999999</v>
      </c>
      <c r="D141">
        <v>0.5</v>
      </c>
    </row>
    <row r="142" spans="1:6" x14ac:dyDescent="0.15">
      <c r="A142" t="s">
        <v>466</v>
      </c>
      <c r="B142" t="s">
        <v>29</v>
      </c>
      <c r="C142">
        <v>9.74</v>
      </c>
      <c r="D142">
        <v>1.5710472279260779</v>
      </c>
      <c r="E142">
        <v>5.0609999999999999</v>
      </c>
      <c r="F142">
        <v>1.5133965619442797</v>
      </c>
    </row>
    <row r="143" spans="1:6" x14ac:dyDescent="0.15">
      <c r="A143" t="s">
        <v>467</v>
      </c>
      <c r="B143" t="s">
        <v>29</v>
      </c>
      <c r="C143">
        <v>25.4</v>
      </c>
      <c r="D143">
        <v>2.2295275590551182</v>
      </c>
      <c r="E143">
        <v>5</v>
      </c>
      <c r="F143">
        <v>1.8640000000000001</v>
      </c>
    </row>
    <row r="144" spans="1:6" x14ac:dyDescent="0.15">
      <c r="A144" t="s">
        <v>1626</v>
      </c>
      <c r="B144" t="s">
        <v>29</v>
      </c>
      <c r="C144">
        <v>2.2000000000000002</v>
      </c>
      <c r="D144">
        <v>1.54</v>
      </c>
    </row>
    <row r="145" spans="1:6" x14ac:dyDescent="0.15">
      <c r="A145" t="s">
        <v>468</v>
      </c>
      <c r="B145" t="s">
        <v>29</v>
      </c>
      <c r="C145">
        <v>17.834</v>
      </c>
      <c r="D145">
        <v>0.71484804306381067</v>
      </c>
      <c r="E145">
        <v>8.0139999999999993</v>
      </c>
      <c r="F145">
        <v>0.83643623658597466</v>
      </c>
    </row>
    <row r="146" spans="1:6" x14ac:dyDescent="0.15">
      <c r="A146" t="s">
        <v>1627</v>
      </c>
      <c r="B146" t="s">
        <v>29</v>
      </c>
      <c r="C146">
        <v>242</v>
      </c>
      <c r="D146">
        <v>0.1173</v>
      </c>
    </row>
    <row r="147" spans="1:6" x14ac:dyDescent="0.15">
      <c r="A147" t="s">
        <v>1628</v>
      </c>
      <c r="B147" t="s">
        <v>29</v>
      </c>
      <c r="C147">
        <v>9.5</v>
      </c>
      <c r="D147">
        <v>0.2</v>
      </c>
    </row>
    <row r="148" spans="1:6" x14ac:dyDescent="0.15">
      <c r="A148" t="s">
        <v>469</v>
      </c>
      <c r="B148" t="s">
        <v>29</v>
      </c>
      <c r="C148">
        <v>2.5059999999999998</v>
      </c>
      <c r="D148">
        <v>0.15</v>
      </c>
      <c r="E148">
        <v>1.503271</v>
      </c>
      <c r="F148">
        <v>0.16</v>
      </c>
    </row>
    <row r="149" spans="1:6" x14ac:dyDescent="0.15">
      <c r="A149" t="s">
        <v>470</v>
      </c>
      <c r="B149" t="s">
        <v>29</v>
      </c>
      <c r="C149">
        <v>337</v>
      </c>
      <c r="D149">
        <v>0.6</v>
      </c>
      <c r="E149">
        <v>82</v>
      </c>
      <c r="F149">
        <v>0.62</v>
      </c>
    </row>
    <row r="150" spans="1:6" x14ac:dyDescent="0.15">
      <c r="A150" t="s">
        <v>1629</v>
      </c>
      <c r="B150" t="s">
        <v>29</v>
      </c>
      <c r="C150">
        <v>0.1206576</v>
      </c>
      <c r="D150">
        <v>14.736842105263159</v>
      </c>
    </row>
    <row r="151" spans="1:6" x14ac:dyDescent="0.15">
      <c r="A151" t="s">
        <v>1630</v>
      </c>
      <c r="B151" t="s">
        <v>29</v>
      </c>
      <c r="C151">
        <v>0.96</v>
      </c>
      <c r="D151">
        <v>1.5</v>
      </c>
    </row>
    <row r="152" spans="1:6" x14ac:dyDescent="0.15">
      <c r="A152" t="s">
        <v>1631</v>
      </c>
      <c r="B152" t="s">
        <v>29</v>
      </c>
      <c r="C152">
        <v>13.093</v>
      </c>
      <c r="D152">
        <v>1.0018559535629725</v>
      </c>
    </row>
    <row r="153" spans="1:6" x14ac:dyDescent="0.15">
      <c r="A153" t="s">
        <v>1632</v>
      </c>
      <c r="B153" t="s">
        <v>29</v>
      </c>
      <c r="C153">
        <v>1.421</v>
      </c>
      <c r="D153">
        <v>0.48</v>
      </c>
    </row>
    <row r="154" spans="1:6" x14ac:dyDescent="0.15">
      <c r="A154" t="s">
        <v>1633</v>
      </c>
      <c r="B154" t="s">
        <v>29</v>
      </c>
      <c r="C154">
        <v>1.1080000000000001</v>
      </c>
      <c r="D154">
        <v>1.89</v>
      </c>
    </row>
    <row r="155" spans="1:6" x14ac:dyDescent="0.15">
      <c r="A155" t="s">
        <v>1634</v>
      </c>
      <c r="B155" t="s">
        <v>29</v>
      </c>
      <c r="C155">
        <v>2.6</v>
      </c>
      <c r="D155">
        <v>0.3</v>
      </c>
    </row>
    <row r="156" spans="1:6" x14ac:dyDescent="0.15">
      <c r="A156" t="s">
        <v>1635</v>
      </c>
      <c r="B156" t="s">
        <v>29</v>
      </c>
      <c r="C156">
        <v>30.5</v>
      </c>
      <c r="D156">
        <v>1.0701639344262295</v>
      </c>
    </row>
    <row r="157" spans="1:6" x14ac:dyDescent="0.15">
      <c r="A157" t="s">
        <v>1636</v>
      </c>
      <c r="B157" t="s">
        <v>29</v>
      </c>
      <c r="C157">
        <v>0.89500000000000002</v>
      </c>
      <c r="D157">
        <v>0.8</v>
      </c>
    </row>
    <row r="158" spans="1:6" x14ac:dyDescent="0.15">
      <c r="A158" t="s">
        <v>1637</v>
      </c>
      <c r="B158" t="s">
        <v>29</v>
      </c>
      <c r="C158">
        <v>35</v>
      </c>
      <c r="D158">
        <v>0.16</v>
      </c>
    </row>
    <row r="159" spans="1:6" x14ac:dyDescent="0.15">
      <c r="A159" t="s">
        <v>1638</v>
      </c>
      <c r="B159" t="s">
        <v>29</v>
      </c>
      <c r="C159">
        <v>1.04</v>
      </c>
      <c r="D159">
        <v>0.5</v>
      </c>
    </row>
    <row r="160" spans="1:6" x14ac:dyDescent="0.15">
      <c r="A160" t="s">
        <v>1639</v>
      </c>
      <c r="B160" t="s">
        <v>29</v>
      </c>
      <c r="C160">
        <v>2.343</v>
      </c>
      <c r="D160">
        <v>1.23</v>
      </c>
    </row>
    <row r="161" spans="1:6" x14ac:dyDescent="0.15">
      <c r="A161" t="s">
        <v>1640</v>
      </c>
      <c r="B161" t="s">
        <v>29</v>
      </c>
      <c r="C161">
        <v>124.50999999999999</v>
      </c>
      <c r="D161">
        <v>0.49828768773592486</v>
      </c>
    </row>
    <row r="162" spans="1:6" x14ac:dyDescent="0.15">
      <c r="A162" t="s">
        <v>1641</v>
      </c>
      <c r="B162" t="s">
        <v>29</v>
      </c>
      <c r="C162">
        <v>30</v>
      </c>
      <c r="D162">
        <v>0.54</v>
      </c>
    </row>
    <row r="163" spans="1:6" x14ac:dyDescent="0.15">
      <c r="A163" t="s">
        <v>471</v>
      </c>
      <c r="B163" t="s">
        <v>29</v>
      </c>
      <c r="C163">
        <v>22.602400000000003</v>
      </c>
      <c r="D163">
        <v>0.2</v>
      </c>
      <c r="E163">
        <v>1.343</v>
      </c>
      <c r="F163">
        <v>0.2</v>
      </c>
    </row>
    <row r="164" spans="1:6" x14ac:dyDescent="0.15">
      <c r="A164" t="s">
        <v>1642</v>
      </c>
      <c r="B164" t="s">
        <v>29</v>
      </c>
      <c r="C164">
        <v>1.2569999999999999</v>
      </c>
      <c r="D164">
        <v>1.29</v>
      </c>
    </row>
    <row r="165" spans="1:6" x14ac:dyDescent="0.15">
      <c r="A165" t="s">
        <v>1643</v>
      </c>
      <c r="B165" t="s">
        <v>29</v>
      </c>
      <c r="C165">
        <v>2.75</v>
      </c>
      <c r="D165">
        <v>0.18</v>
      </c>
    </row>
    <row r="166" spans="1:6" x14ac:dyDescent="0.15">
      <c r="A166" t="s">
        <v>472</v>
      </c>
      <c r="B166" t="s">
        <v>29</v>
      </c>
      <c r="C166">
        <v>21.937000000000001</v>
      </c>
      <c r="D166">
        <v>0.84408943793590729</v>
      </c>
      <c r="E166">
        <v>22.1</v>
      </c>
      <c r="F166">
        <v>0.71</v>
      </c>
    </row>
    <row r="167" spans="1:6" x14ac:dyDescent="0.15">
      <c r="A167" t="s">
        <v>1644</v>
      </c>
      <c r="B167" t="s">
        <v>29</v>
      </c>
      <c r="C167">
        <v>202</v>
      </c>
      <c r="D167">
        <v>0.6</v>
      </c>
    </row>
    <row r="168" spans="1:6" x14ac:dyDescent="0.15">
      <c r="A168" t="s">
        <v>1645</v>
      </c>
      <c r="B168" t="s">
        <v>29</v>
      </c>
      <c r="C168">
        <v>0.05</v>
      </c>
      <c r="D168">
        <v>1</v>
      </c>
    </row>
    <row r="169" spans="1:6" x14ac:dyDescent="0.15">
      <c r="A169" t="s">
        <v>1646</v>
      </c>
      <c r="B169" t="s">
        <v>29</v>
      </c>
      <c r="C169">
        <v>200</v>
      </c>
      <c r="D169">
        <v>0.15</v>
      </c>
    </row>
    <row r="170" spans="1:6" x14ac:dyDescent="0.15">
      <c r="A170" t="s">
        <v>1647</v>
      </c>
      <c r="B170" t="s">
        <v>29</v>
      </c>
      <c r="C170">
        <v>5.75</v>
      </c>
      <c r="D170">
        <v>1.03</v>
      </c>
    </row>
    <row r="171" spans="1:6" x14ac:dyDescent="0.15">
      <c r="A171" t="s">
        <v>1648</v>
      </c>
      <c r="B171" t="s">
        <v>29</v>
      </c>
      <c r="C171">
        <v>7.9869999999999992</v>
      </c>
      <c r="D171">
        <v>1.1710128959559285</v>
      </c>
    </row>
    <row r="172" spans="1:6" x14ac:dyDescent="0.15">
      <c r="A172" t="s">
        <v>1649</v>
      </c>
      <c r="B172" t="s">
        <v>29</v>
      </c>
      <c r="C172">
        <v>6.0600000000000005</v>
      </c>
      <c r="D172">
        <v>0.27630363036303629</v>
      </c>
    </row>
    <row r="173" spans="1:6" x14ac:dyDescent="0.15">
      <c r="A173" t="s">
        <v>1650</v>
      </c>
      <c r="B173" t="s">
        <v>29</v>
      </c>
      <c r="C173">
        <v>0.83599999999999997</v>
      </c>
      <c r="D173">
        <v>1.2844856459330145</v>
      </c>
    </row>
    <row r="174" spans="1:6" x14ac:dyDescent="0.15">
      <c r="A174" t="s">
        <v>473</v>
      </c>
      <c r="B174" t="s">
        <v>29</v>
      </c>
      <c r="C174">
        <v>62.3</v>
      </c>
      <c r="D174">
        <v>0.7</v>
      </c>
      <c r="E174">
        <v>3.37</v>
      </c>
      <c r="F174">
        <v>0.63</v>
      </c>
    </row>
    <row r="175" spans="1:6" x14ac:dyDescent="0.15">
      <c r="A175" t="s">
        <v>1651</v>
      </c>
      <c r="B175" t="s">
        <v>29</v>
      </c>
      <c r="C175">
        <v>2.2000000000000002</v>
      </c>
      <c r="D175">
        <v>7.0000000000000007E-2</v>
      </c>
    </row>
    <row r="176" spans="1:6" x14ac:dyDescent="0.15">
      <c r="A176" t="s">
        <v>1652</v>
      </c>
      <c r="B176" t="s">
        <v>29</v>
      </c>
      <c r="C176">
        <v>1.79</v>
      </c>
      <c r="D176">
        <v>0.18938547486033522</v>
      </c>
    </row>
    <row r="177" spans="1:6" x14ac:dyDescent="0.15">
      <c r="A177" t="s">
        <v>1653</v>
      </c>
      <c r="B177" t="s">
        <v>29</v>
      </c>
      <c r="C177">
        <v>6.62</v>
      </c>
      <c r="D177">
        <v>0.2</v>
      </c>
    </row>
    <row r="178" spans="1:6" x14ac:dyDescent="0.15">
      <c r="A178" t="s">
        <v>1654</v>
      </c>
      <c r="B178" t="s">
        <v>29</v>
      </c>
      <c r="C178">
        <v>0.65700000000000003</v>
      </c>
      <c r="D178">
        <v>1.8</v>
      </c>
    </row>
    <row r="179" spans="1:6" x14ac:dyDescent="0.15">
      <c r="A179" t="s">
        <v>1655</v>
      </c>
      <c r="B179" t="s">
        <v>29</v>
      </c>
      <c r="C179">
        <v>100</v>
      </c>
      <c r="D179">
        <v>0.3</v>
      </c>
    </row>
    <row r="180" spans="1:6" x14ac:dyDescent="0.15">
      <c r="A180" t="s">
        <v>1656</v>
      </c>
      <c r="B180" t="s">
        <v>29</v>
      </c>
      <c r="C180">
        <v>1.8399999999999999</v>
      </c>
      <c r="D180">
        <v>0.73369565217391319</v>
      </c>
    </row>
    <row r="181" spans="1:6" x14ac:dyDescent="0.15">
      <c r="A181" t="s">
        <v>1657</v>
      </c>
      <c r="B181" t="s">
        <v>29</v>
      </c>
      <c r="C181">
        <v>16.100000000000001</v>
      </c>
      <c r="D181">
        <v>0.36</v>
      </c>
    </row>
    <row r="182" spans="1:6" x14ac:dyDescent="0.15">
      <c r="A182" t="s">
        <v>1658</v>
      </c>
      <c r="B182" t="s">
        <v>29</v>
      </c>
      <c r="C182">
        <v>0.25</v>
      </c>
      <c r="D182">
        <v>2</v>
      </c>
    </row>
    <row r="183" spans="1:6" x14ac:dyDescent="0.15">
      <c r="A183" t="s">
        <v>1659</v>
      </c>
      <c r="B183" t="s">
        <v>29</v>
      </c>
      <c r="C183">
        <v>1.49</v>
      </c>
      <c r="D183">
        <v>1.5</v>
      </c>
    </row>
    <row r="184" spans="1:6" x14ac:dyDescent="0.15">
      <c r="A184" t="s">
        <v>1660</v>
      </c>
      <c r="B184" t="s">
        <v>29</v>
      </c>
      <c r="C184">
        <v>1.668172</v>
      </c>
      <c r="D184">
        <v>0.23</v>
      </c>
    </row>
    <row r="185" spans="1:6" x14ac:dyDescent="0.15">
      <c r="A185" t="s">
        <v>1661</v>
      </c>
      <c r="B185" t="s">
        <v>29</v>
      </c>
      <c r="C185">
        <v>48.63</v>
      </c>
      <c r="D185">
        <v>0.99</v>
      </c>
    </row>
    <row r="186" spans="1:6" x14ac:dyDescent="0.15">
      <c r="A186" t="s">
        <v>1662</v>
      </c>
      <c r="B186" t="s">
        <v>29</v>
      </c>
      <c r="C186">
        <v>175</v>
      </c>
      <c r="D186">
        <v>0.38199999999999995</v>
      </c>
    </row>
    <row r="187" spans="1:6" x14ac:dyDescent="0.15">
      <c r="A187" t="s">
        <v>1663</v>
      </c>
      <c r="B187" t="s">
        <v>29</v>
      </c>
      <c r="C187">
        <v>4.9000000000000004</v>
      </c>
      <c r="D187">
        <v>0.3448979591836735</v>
      </c>
    </row>
    <row r="188" spans="1:6" x14ac:dyDescent="0.15">
      <c r="A188" t="s">
        <v>1664</v>
      </c>
      <c r="B188" t="s">
        <v>29</v>
      </c>
      <c r="C188">
        <v>73.2</v>
      </c>
      <c r="D188">
        <v>7.0000000000000007E-2</v>
      </c>
    </row>
    <row r="189" spans="1:6" x14ac:dyDescent="0.15">
      <c r="A189" t="s">
        <v>1665</v>
      </c>
      <c r="B189" t="s">
        <v>29</v>
      </c>
      <c r="C189">
        <v>6.7</v>
      </c>
      <c r="D189">
        <v>0.33328358208955222</v>
      </c>
    </row>
    <row r="190" spans="1:6" x14ac:dyDescent="0.15">
      <c r="A190" t="s">
        <v>1666</v>
      </c>
      <c r="B190" t="s">
        <v>29</v>
      </c>
      <c r="C190">
        <v>4.9429999999999996</v>
      </c>
      <c r="D190">
        <v>1.3250252882864657</v>
      </c>
    </row>
    <row r="191" spans="1:6" x14ac:dyDescent="0.15">
      <c r="A191" t="s">
        <v>1667</v>
      </c>
      <c r="B191" t="s">
        <v>29</v>
      </c>
      <c r="C191">
        <v>2.5</v>
      </c>
      <c r="D191">
        <v>0.94399999999999995</v>
      </c>
    </row>
    <row r="192" spans="1:6" x14ac:dyDescent="0.15">
      <c r="A192" t="s">
        <v>474</v>
      </c>
      <c r="B192" t="s">
        <v>29</v>
      </c>
      <c r="C192">
        <v>4.6070000000000002</v>
      </c>
      <c r="D192">
        <v>0.9</v>
      </c>
      <c r="E192">
        <v>0.95099999999999996</v>
      </c>
      <c r="F192">
        <v>0.9</v>
      </c>
    </row>
    <row r="193" spans="1:6" x14ac:dyDescent="0.15">
      <c r="A193" t="s">
        <v>1668</v>
      </c>
      <c r="B193" t="s">
        <v>29</v>
      </c>
      <c r="C193">
        <v>200</v>
      </c>
      <c r="D193">
        <v>0.15</v>
      </c>
    </row>
    <row r="194" spans="1:6" x14ac:dyDescent="0.15">
      <c r="A194" t="s">
        <v>1669</v>
      </c>
      <c r="B194" t="s">
        <v>29</v>
      </c>
      <c r="C194">
        <v>0.29000000000000004</v>
      </c>
      <c r="D194">
        <v>1.903448275862069</v>
      </c>
    </row>
    <row r="195" spans="1:6" x14ac:dyDescent="0.15">
      <c r="A195" t="s">
        <v>1670</v>
      </c>
      <c r="B195" t="s">
        <v>29</v>
      </c>
      <c r="C195">
        <v>19</v>
      </c>
      <c r="D195">
        <v>0.44</v>
      </c>
    </row>
    <row r="196" spans="1:6" x14ac:dyDescent="0.15">
      <c r="A196" t="s">
        <v>1671</v>
      </c>
      <c r="B196" t="s">
        <v>29</v>
      </c>
      <c r="C196">
        <v>1.32</v>
      </c>
      <c r="D196">
        <v>2</v>
      </c>
    </row>
    <row r="197" spans="1:6" x14ac:dyDescent="0.15">
      <c r="A197" t="s">
        <v>1672</v>
      </c>
      <c r="B197" t="s">
        <v>29</v>
      </c>
      <c r="C197">
        <v>1.2849999999999999</v>
      </c>
      <c r="D197">
        <v>0.26</v>
      </c>
    </row>
    <row r="198" spans="1:6" x14ac:dyDescent="0.15">
      <c r="A198" t="s">
        <v>1673</v>
      </c>
      <c r="B198" t="s">
        <v>29</v>
      </c>
      <c r="C198">
        <v>7.47</v>
      </c>
      <c r="D198">
        <v>0.97</v>
      </c>
    </row>
    <row r="199" spans="1:6" x14ac:dyDescent="0.15">
      <c r="A199" t="s">
        <v>475</v>
      </c>
      <c r="B199" t="s">
        <v>29</v>
      </c>
      <c r="C199">
        <v>8.82</v>
      </c>
      <c r="D199">
        <v>0.3</v>
      </c>
      <c r="E199">
        <v>4.45</v>
      </c>
      <c r="F199">
        <v>0.3</v>
      </c>
    </row>
    <row r="200" spans="1:6" x14ac:dyDescent="0.15">
      <c r="A200" t="s">
        <v>1674</v>
      </c>
      <c r="B200" t="s">
        <v>29</v>
      </c>
      <c r="C200">
        <v>3.56</v>
      </c>
      <c r="D200">
        <v>1.2</v>
      </c>
    </row>
    <row r="201" spans="1:6" x14ac:dyDescent="0.15">
      <c r="A201" t="s">
        <v>1675</v>
      </c>
      <c r="B201" t="s">
        <v>29</v>
      </c>
      <c r="C201">
        <v>1.9219999999999999</v>
      </c>
      <c r="D201">
        <v>2.59</v>
      </c>
    </row>
    <row r="202" spans="1:6" x14ac:dyDescent="0.15">
      <c r="A202" t="s">
        <v>1676</v>
      </c>
      <c r="B202" t="s">
        <v>29</v>
      </c>
      <c r="C202">
        <v>110.8</v>
      </c>
      <c r="D202">
        <v>0.55000000000000004</v>
      </c>
    </row>
    <row r="203" spans="1:6" x14ac:dyDescent="0.15">
      <c r="A203" t="s">
        <v>1677</v>
      </c>
      <c r="B203" t="s">
        <v>29</v>
      </c>
      <c r="C203">
        <v>375.1</v>
      </c>
      <c r="D203">
        <v>0.54054385497200741</v>
      </c>
    </row>
    <row r="204" spans="1:6" x14ac:dyDescent="0.15">
      <c r="A204" t="s">
        <v>1678</v>
      </c>
      <c r="B204" t="s">
        <v>29</v>
      </c>
      <c r="C204">
        <v>2.5</v>
      </c>
      <c r="D204">
        <v>0.83040000000000003</v>
      </c>
    </row>
    <row r="205" spans="1:6" x14ac:dyDescent="0.15">
      <c r="A205" t="s">
        <v>1679</v>
      </c>
      <c r="B205" t="s">
        <v>29</v>
      </c>
      <c r="C205">
        <v>0.41667700000000002</v>
      </c>
      <c r="D205">
        <v>0.4</v>
      </c>
    </row>
    <row r="206" spans="1:6" x14ac:dyDescent="0.15">
      <c r="A206" t="s">
        <v>476</v>
      </c>
      <c r="B206" t="s">
        <v>29</v>
      </c>
      <c r="C206">
        <v>185.27</v>
      </c>
      <c r="D206">
        <v>1.26</v>
      </c>
      <c r="E206">
        <v>3.6</v>
      </c>
      <c r="F206">
        <v>2.2000000000000002</v>
      </c>
    </row>
    <row r="207" spans="1:6" x14ac:dyDescent="0.15">
      <c r="A207" t="s">
        <v>1680</v>
      </c>
      <c r="B207" t="s">
        <v>29</v>
      </c>
      <c r="C207">
        <v>45.35</v>
      </c>
      <c r="D207">
        <v>1.185226019845645</v>
      </c>
    </row>
    <row r="208" spans="1:6" x14ac:dyDescent="0.15">
      <c r="A208" t="s">
        <v>1681</v>
      </c>
      <c r="B208" t="s">
        <v>29</v>
      </c>
      <c r="C208">
        <v>7.2</v>
      </c>
      <c r="D208">
        <v>0.14000000000000001</v>
      </c>
    </row>
    <row r="209" spans="1:6" x14ac:dyDescent="0.15">
      <c r="A209" t="s">
        <v>477</v>
      </c>
      <c r="B209" t="s">
        <v>29</v>
      </c>
      <c r="C209">
        <v>72.599999999999994</v>
      </c>
      <c r="D209">
        <v>2.2245041322314045</v>
      </c>
      <c r="E209">
        <v>29.6</v>
      </c>
      <c r="F209">
        <v>2.2167905405405404</v>
      </c>
    </row>
    <row r="210" spans="1:6" x14ac:dyDescent="0.15">
      <c r="A210" t="s">
        <v>1682</v>
      </c>
      <c r="B210" t="s">
        <v>29</v>
      </c>
      <c r="C210">
        <v>268</v>
      </c>
      <c r="D210">
        <v>1.1236567164179103</v>
      </c>
    </row>
    <row r="211" spans="1:6" x14ac:dyDescent="0.15">
      <c r="A211" t="s">
        <v>1683</v>
      </c>
      <c r="B211" t="s">
        <v>29</v>
      </c>
      <c r="C211">
        <v>20</v>
      </c>
      <c r="D211">
        <v>0.2</v>
      </c>
    </row>
    <row r="212" spans="1:6" x14ac:dyDescent="0.15">
      <c r="A212" t="s">
        <v>1684</v>
      </c>
      <c r="B212" t="s">
        <v>29</v>
      </c>
      <c r="C212">
        <v>51.599999999999994</v>
      </c>
      <c r="D212">
        <v>1.0715891472868218</v>
      </c>
    </row>
    <row r="213" spans="1:6" x14ac:dyDescent="0.15">
      <c r="A213" t="s">
        <v>1685</v>
      </c>
      <c r="B213" t="s">
        <v>29</v>
      </c>
      <c r="C213">
        <v>0.64723200000000003</v>
      </c>
      <c r="D213">
        <v>2.35</v>
      </c>
    </row>
    <row r="214" spans="1:6" x14ac:dyDescent="0.15">
      <c r="A214" t="s">
        <v>1686</v>
      </c>
      <c r="B214" t="s">
        <v>29</v>
      </c>
      <c r="C214">
        <v>16</v>
      </c>
      <c r="D214">
        <v>1.4</v>
      </c>
    </row>
    <row r="215" spans="1:6" x14ac:dyDescent="0.15">
      <c r="A215" t="s">
        <v>1687</v>
      </c>
      <c r="B215" t="s">
        <v>29</v>
      </c>
      <c r="C215">
        <v>0.26400000000000001</v>
      </c>
      <c r="D215">
        <v>4.1624242424242421</v>
      </c>
    </row>
    <row r="216" spans="1:6" x14ac:dyDescent="0.15">
      <c r="A216" t="s">
        <v>1688</v>
      </c>
      <c r="B216" t="s">
        <v>29</v>
      </c>
      <c r="C216">
        <v>203</v>
      </c>
      <c r="D216">
        <v>0.05</v>
      </c>
    </row>
    <row r="217" spans="1:6" x14ac:dyDescent="0.15">
      <c r="A217" t="s">
        <v>1689</v>
      </c>
      <c r="B217" t="s">
        <v>29</v>
      </c>
      <c r="C217">
        <v>0.92800000000000005</v>
      </c>
      <c r="D217">
        <v>0.82310344827586213</v>
      </c>
    </row>
    <row r="218" spans="1:6" x14ac:dyDescent="0.15">
      <c r="A218" t="s">
        <v>1690</v>
      </c>
      <c r="B218" t="s">
        <v>29</v>
      </c>
      <c r="C218">
        <v>31.9</v>
      </c>
      <c r="D218">
        <v>2.7E-2</v>
      </c>
    </row>
    <row r="219" spans="1:6" x14ac:dyDescent="0.15">
      <c r="A219" t="s">
        <v>1691</v>
      </c>
      <c r="B219" t="s">
        <v>29</v>
      </c>
      <c r="C219">
        <v>107</v>
      </c>
      <c r="D219">
        <v>0.188</v>
      </c>
    </row>
    <row r="220" spans="1:6" x14ac:dyDescent="0.15">
      <c r="A220" t="s">
        <v>1101</v>
      </c>
      <c r="B220" t="s">
        <v>29</v>
      </c>
      <c r="C220">
        <v>23.6</v>
      </c>
      <c r="D220">
        <v>0.14754237288135594</v>
      </c>
    </row>
    <row r="221" spans="1:6" x14ac:dyDescent="0.15">
      <c r="A221" t="s">
        <v>1692</v>
      </c>
      <c r="B221" t="s">
        <v>29</v>
      </c>
      <c r="C221">
        <v>0.45</v>
      </c>
      <c r="D221">
        <v>0.52400000000000002</v>
      </c>
    </row>
    <row r="222" spans="1:6" x14ac:dyDescent="0.15">
      <c r="A222" t="s">
        <v>1693</v>
      </c>
      <c r="B222" t="s">
        <v>29</v>
      </c>
      <c r="C222">
        <v>13.127000000000001</v>
      </c>
      <c r="D222">
        <v>1.4813377009217641</v>
      </c>
    </row>
    <row r="223" spans="1:6" x14ac:dyDescent="0.15">
      <c r="A223" t="s">
        <v>1694</v>
      </c>
      <c r="B223" t="s">
        <v>29</v>
      </c>
      <c r="C223">
        <v>0.59</v>
      </c>
      <c r="D223">
        <v>0.5</v>
      </c>
    </row>
    <row r="224" spans="1:6" x14ac:dyDescent="0.15">
      <c r="A224" t="s">
        <v>1695</v>
      </c>
      <c r="B224" t="s">
        <v>29</v>
      </c>
      <c r="C224">
        <v>36.07</v>
      </c>
      <c r="D224">
        <v>0.42</v>
      </c>
    </row>
    <row r="225" spans="1:6" x14ac:dyDescent="0.15">
      <c r="A225" t="s">
        <v>478</v>
      </c>
      <c r="B225" t="s">
        <v>29</v>
      </c>
      <c r="C225">
        <v>33.96</v>
      </c>
      <c r="D225">
        <v>1.82</v>
      </c>
      <c r="E225">
        <v>8.69</v>
      </c>
      <c r="F225">
        <v>1.94</v>
      </c>
    </row>
    <row r="226" spans="1:6" x14ac:dyDescent="0.15">
      <c r="A226" t="s">
        <v>1696</v>
      </c>
      <c r="B226" t="s">
        <v>29</v>
      </c>
      <c r="C226">
        <v>0.215534</v>
      </c>
      <c r="D226">
        <v>0.15</v>
      </c>
    </row>
    <row r="227" spans="1:6" x14ac:dyDescent="0.15">
      <c r="A227" t="s">
        <v>1697</v>
      </c>
      <c r="B227" t="s">
        <v>29</v>
      </c>
      <c r="C227">
        <v>11.36</v>
      </c>
      <c r="D227">
        <v>0.88631161971830996</v>
      </c>
    </row>
    <row r="228" spans="1:6" x14ac:dyDescent="0.15">
      <c r="A228" t="s">
        <v>479</v>
      </c>
      <c r="B228" t="s">
        <v>29</v>
      </c>
      <c r="C228">
        <v>344.02</v>
      </c>
      <c r="D228">
        <v>0.60806184428492549</v>
      </c>
      <c r="E228">
        <v>56.019999999999996</v>
      </c>
      <c r="F228">
        <v>0.75579514824797844</v>
      </c>
    </row>
    <row r="229" spans="1:6" x14ac:dyDescent="0.15">
      <c r="A229" t="s">
        <v>480</v>
      </c>
      <c r="B229" t="s">
        <v>29</v>
      </c>
      <c r="C229">
        <v>14.3</v>
      </c>
      <c r="D229">
        <v>0.9</v>
      </c>
      <c r="E229">
        <v>13.1</v>
      </c>
      <c r="F229">
        <v>0.9</v>
      </c>
    </row>
    <row r="230" spans="1:6" x14ac:dyDescent="0.15">
      <c r="A230" t="s">
        <v>1698</v>
      </c>
      <c r="B230" t="s">
        <v>29</v>
      </c>
      <c r="C230">
        <v>8.0960000000000001</v>
      </c>
      <c r="D230">
        <v>1.2</v>
      </c>
    </row>
    <row r="231" spans="1:6" x14ac:dyDescent="0.15">
      <c r="A231" t="s">
        <v>481</v>
      </c>
      <c r="B231" t="s">
        <v>29</v>
      </c>
      <c r="C231">
        <v>78</v>
      </c>
      <c r="D231">
        <v>0.28423076923076923</v>
      </c>
      <c r="E231">
        <v>47</v>
      </c>
      <c r="F231">
        <v>0.28000000000000003</v>
      </c>
    </row>
    <row r="232" spans="1:6" x14ac:dyDescent="0.15">
      <c r="A232" t="s">
        <v>482</v>
      </c>
      <c r="B232" t="s">
        <v>29</v>
      </c>
      <c r="C232">
        <v>10060</v>
      </c>
      <c r="D232">
        <v>0.77971172962226631</v>
      </c>
      <c r="E232">
        <v>528</v>
      </c>
      <c r="F232">
        <v>1.8699999999999999</v>
      </c>
    </row>
    <row r="233" spans="1:6" x14ac:dyDescent="0.15">
      <c r="A233" t="s">
        <v>1699</v>
      </c>
      <c r="B233" t="s">
        <v>29</v>
      </c>
      <c r="C233">
        <v>11.848222999999999</v>
      </c>
      <c r="D233">
        <v>1.3662043795620438</v>
      </c>
    </row>
    <row r="234" spans="1:6" x14ac:dyDescent="0.15">
      <c r="A234" t="s">
        <v>1700</v>
      </c>
      <c r="B234" t="s">
        <v>29</v>
      </c>
      <c r="C234">
        <v>1.772</v>
      </c>
      <c r="D234">
        <v>1.2</v>
      </c>
    </row>
    <row r="235" spans="1:6" x14ac:dyDescent="0.15">
      <c r="A235" t="s">
        <v>1701</v>
      </c>
      <c r="B235" t="s">
        <v>29</v>
      </c>
      <c r="C235">
        <v>3.55</v>
      </c>
      <c r="D235">
        <v>0.8</v>
      </c>
    </row>
    <row r="236" spans="1:6" x14ac:dyDescent="0.15">
      <c r="A236" t="s">
        <v>483</v>
      </c>
      <c r="B236" t="s">
        <v>29</v>
      </c>
      <c r="C236">
        <v>12.831</v>
      </c>
      <c r="D236">
        <v>1.5</v>
      </c>
      <c r="E236">
        <v>7.2</v>
      </c>
      <c r="F236">
        <v>1.8</v>
      </c>
    </row>
    <row r="237" spans="1:6" x14ac:dyDescent="0.15">
      <c r="A237" t="s">
        <v>1100</v>
      </c>
      <c r="B237" t="s">
        <v>29</v>
      </c>
      <c r="C237">
        <v>14.320000000000002</v>
      </c>
      <c r="D237">
        <v>7.544692737430167E-2</v>
      </c>
    </row>
    <row r="238" spans="1:6" x14ac:dyDescent="0.15">
      <c r="A238" t="s">
        <v>1099</v>
      </c>
      <c r="B238" t="s">
        <v>29</v>
      </c>
      <c r="C238">
        <v>44.7</v>
      </c>
      <c r="D238">
        <v>0.13</v>
      </c>
    </row>
    <row r="239" spans="1:6" x14ac:dyDescent="0.15">
      <c r="A239" t="s">
        <v>484</v>
      </c>
      <c r="B239" t="s">
        <v>29</v>
      </c>
      <c r="C239">
        <v>8.9699999999999989</v>
      </c>
      <c r="D239">
        <v>1.1400557413600891</v>
      </c>
      <c r="E239">
        <v>2.87</v>
      </c>
      <c r="F239">
        <v>1.29</v>
      </c>
    </row>
    <row r="240" spans="1:6" x14ac:dyDescent="0.15">
      <c r="A240" t="s">
        <v>1702</v>
      </c>
      <c r="B240" t="s">
        <v>29</v>
      </c>
      <c r="C240">
        <v>11.27</v>
      </c>
      <c r="D240">
        <v>0.11</v>
      </c>
    </row>
    <row r="241" spans="1:6" x14ac:dyDescent="0.15">
      <c r="A241" t="s">
        <v>1703</v>
      </c>
      <c r="B241" t="s">
        <v>29</v>
      </c>
      <c r="C241">
        <v>0.28675699999999998</v>
      </c>
      <c r="D241">
        <v>0.81</v>
      </c>
    </row>
    <row r="242" spans="1:6" x14ac:dyDescent="0.15">
      <c r="A242" t="s">
        <v>485</v>
      </c>
      <c r="B242" t="s">
        <v>29</v>
      </c>
      <c r="C242">
        <v>179</v>
      </c>
      <c r="D242">
        <v>1</v>
      </c>
      <c r="E242">
        <v>73</v>
      </c>
      <c r="F242">
        <v>1</v>
      </c>
    </row>
    <row r="243" spans="1:6" x14ac:dyDescent="0.15">
      <c r="A243" t="s">
        <v>1704</v>
      </c>
      <c r="B243" t="s">
        <v>29</v>
      </c>
      <c r="C243">
        <v>3.1638000000000002</v>
      </c>
      <c r="D243">
        <v>0.56471881914153865</v>
      </c>
    </row>
    <row r="244" spans="1:6" x14ac:dyDescent="0.15">
      <c r="A244" t="s">
        <v>1705</v>
      </c>
      <c r="B244" t="s">
        <v>29</v>
      </c>
      <c r="C244">
        <v>9.2999999999999999E-2</v>
      </c>
      <c r="D244">
        <v>2.92</v>
      </c>
    </row>
    <row r="245" spans="1:6" x14ac:dyDescent="0.15">
      <c r="A245" t="s">
        <v>1706</v>
      </c>
      <c r="B245" t="s">
        <v>29</v>
      </c>
      <c r="C245">
        <v>1.8450000000000002</v>
      </c>
      <c r="D245">
        <v>0.66585365853658529</v>
      </c>
    </row>
    <row r="246" spans="1:6" x14ac:dyDescent="0.15">
      <c r="A246" t="s">
        <v>1707</v>
      </c>
      <c r="B246" t="s">
        <v>29</v>
      </c>
      <c r="C246">
        <v>1.4844219999999999</v>
      </c>
      <c r="D246">
        <v>1.0223651899527224</v>
      </c>
    </row>
    <row r="247" spans="1:6" x14ac:dyDescent="0.15">
      <c r="A247" t="s">
        <v>1708</v>
      </c>
      <c r="B247" t="s">
        <v>29</v>
      </c>
      <c r="C247">
        <v>12.97</v>
      </c>
      <c r="D247">
        <v>0.71</v>
      </c>
    </row>
    <row r="248" spans="1:6" x14ac:dyDescent="0.15">
      <c r="A248" t="s">
        <v>1709</v>
      </c>
      <c r="B248" t="s">
        <v>29</v>
      </c>
      <c r="C248">
        <v>9.0999999999999998E-2</v>
      </c>
      <c r="D248">
        <v>2</v>
      </c>
    </row>
    <row r="249" spans="1:6" x14ac:dyDescent="0.15">
      <c r="A249" t="s">
        <v>1710</v>
      </c>
      <c r="B249" t="s">
        <v>29</v>
      </c>
      <c r="C249">
        <v>4.8000000000000001E-2</v>
      </c>
      <c r="D249">
        <v>3.6</v>
      </c>
    </row>
    <row r="250" spans="1:6" x14ac:dyDescent="0.15">
      <c r="A250" t="s">
        <v>1711</v>
      </c>
      <c r="B250" t="s">
        <v>29</v>
      </c>
      <c r="C250">
        <v>6.2679999999999998</v>
      </c>
      <c r="D250">
        <v>1.5332386726228464</v>
      </c>
    </row>
    <row r="251" spans="1:6" x14ac:dyDescent="0.15">
      <c r="A251" t="s">
        <v>486</v>
      </c>
      <c r="B251" t="s">
        <v>29</v>
      </c>
      <c r="C251">
        <v>12.875</v>
      </c>
      <c r="D251">
        <v>0.30575456310679611</v>
      </c>
      <c r="E251">
        <v>6.673</v>
      </c>
      <c r="F251">
        <v>0.27604975273490184</v>
      </c>
    </row>
    <row r="252" spans="1:6" x14ac:dyDescent="0.15">
      <c r="A252" t="s">
        <v>855</v>
      </c>
      <c r="B252" t="s">
        <v>29</v>
      </c>
      <c r="C252">
        <v>21.841999999999999</v>
      </c>
      <c r="D252">
        <v>0.24</v>
      </c>
      <c r="E252">
        <v>20.965</v>
      </c>
      <c r="F252">
        <v>0.22</v>
      </c>
    </row>
    <row r="253" spans="1:6" x14ac:dyDescent="0.15">
      <c r="A253" t="s">
        <v>487</v>
      </c>
      <c r="B253" t="s">
        <v>29</v>
      </c>
      <c r="C253">
        <v>151.92000000000002</v>
      </c>
      <c r="D253">
        <v>0.32686677198525538</v>
      </c>
      <c r="E253">
        <v>82</v>
      </c>
      <c r="F253">
        <v>0.28999999999999998</v>
      </c>
    </row>
    <row r="254" spans="1:6" x14ac:dyDescent="0.15">
      <c r="A254" t="s">
        <v>1712</v>
      </c>
      <c r="B254" t="s">
        <v>29</v>
      </c>
      <c r="C254">
        <v>600</v>
      </c>
      <c r="D254">
        <v>9.5966666666666672E-2</v>
      </c>
    </row>
    <row r="255" spans="1:6" x14ac:dyDescent="0.15">
      <c r="A255" t="s">
        <v>488</v>
      </c>
      <c r="B255" t="s">
        <v>29</v>
      </c>
      <c r="C255">
        <v>22.599999999999998</v>
      </c>
      <c r="D255">
        <v>0.2982300884955752</v>
      </c>
      <c r="E255">
        <v>7.4</v>
      </c>
      <c r="F255">
        <v>0.2</v>
      </c>
    </row>
    <row r="256" spans="1:6" x14ac:dyDescent="0.15">
      <c r="A256" t="s">
        <v>489</v>
      </c>
      <c r="B256" t="s">
        <v>29</v>
      </c>
      <c r="C256">
        <v>286.8</v>
      </c>
      <c r="D256">
        <v>0.56999999999999995</v>
      </c>
      <c r="E256">
        <v>74.7</v>
      </c>
      <c r="F256">
        <v>0.5</v>
      </c>
    </row>
    <row r="257" spans="1:6" x14ac:dyDescent="0.15">
      <c r="A257" t="s">
        <v>1713</v>
      </c>
      <c r="B257" t="s">
        <v>29</v>
      </c>
      <c r="C257">
        <v>6.8140000000000001</v>
      </c>
      <c r="D257">
        <v>1.2</v>
      </c>
    </row>
    <row r="258" spans="1:6" x14ac:dyDescent="0.15">
      <c r="A258" t="s">
        <v>1714</v>
      </c>
      <c r="B258" t="s">
        <v>29</v>
      </c>
      <c r="C258">
        <v>10</v>
      </c>
      <c r="D258">
        <v>0.4</v>
      </c>
    </row>
    <row r="259" spans="1:6" x14ac:dyDescent="0.15">
      <c r="A259" t="s">
        <v>1715</v>
      </c>
      <c r="B259" t="s">
        <v>29</v>
      </c>
      <c r="C259">
        <v>1.0029999999999999</v>
      </c>
      <c r="D259">
        <v>2</v>
      </c>
    </row>
    <row r="260" spans="1:6" x14ac:dyDescent="0.15">
      <c r="A260" t="s">
        <v>490</v>
      </c>
      <c r="B260" t="s">
        <v>29</v>
      </c>
      <c r="C260">
        <v>7.3330000000000002</v>
      </c>
      <c r="D260">
        <v>0.84763807445792994</v>
      </c>
      <c r="E260">
        <v>3.2040000000000002</v>
      </c>
      <c r="F260">
        <v>0.72936953807740323</v>
      </c>
    </row>
    <row r="261" spans="1:6" x14ac:dyDescent="0.15">
      <c r="A261" t="s">
        <v>1716</v>
      </c>
      <c r="B261" t="s">
        <v>29</v>
      </c>
      <c r="C261">
        <v>1051.289</v>
      </c>
      <c r="D261">
        <v>7.4697211898916482E-2</v>
      </c>
    </row>
    <row r="262" spans="1:6" x14ac:dyDescent="0.15">
      <c r="A262" t="s">
        <v>491</v>
      </c>
      <c r="B262" t="s">
        <v>29</v>
      </c>
      <c r="C262">
        <v>8.9</v>
      </c>
      <c r="D262">
        <v>1.1159550561797753</v>
      </c>
      <c r="E262">
        <v>0.85399999999999998</v>
      </c>
      <c r="F262">
        <v>1.52</v>
      </c>
    </row>
    <row r="263" spans="1:6" x14ac:dyDescent="0.15">
      <c r="A263" t="s">
        <v>492</v>
      </c>
      <c r="B263" t="s">
        <v>29</v>
      </c>
      <c r="C263">
        <v>14</v>
      </c>
      <c r="D263">
        <v>2.1</v>
      </c>
      <c r="E263">
        <v>8.4</v>
      </c>
      <c r="F263">
        <v>2.2999999999999998</v>
      </c>
    </row>
    <row r="264" spans="1:6" x14ac:dyDescent="0.15">
      <c r="A264" t="s">
        <v>1717</v>
      </c>
      <c r="B264" t="s">
        <v>29</v>
      </c>
      <c r="C264">
        <v>10</v>
      </c>
      <c r="D264">
        <v>0.4</v>
      </c>
    </row>
    <row r="265" spans="1:6" x14ac:dyDescent="0.15">
      <c r="A265" t="s">
        <v>1718</v>
      </c>
      <c r="B265" t="s">
        <v>29</v>
      </c>
      <c r="C265">
        <v>2.2999999999999998</v>
      </c>
      <c r="D265">
        <v>0.8</v>
      </c>
    </row>
    <row r="266" spans="1:6" x14ac:dyDescent="0.15">
      <c r="A266" t="s">
        <v>1719</v>
      </c>
      <c r="B266" t="s">
        <v>29</v>
      </c>
      <c r="C266">
        <v>156</v>
      </c>
      <c r="D266">
        <v>0.6</v>
      </c>
    </row>
    <row r="267" spans="1:6" x14ac:dyDescent="0.15">
      <c r="A267" t="s">
        <v>1720</v>
      </c>
      <c r="B267" t="s">
        <v>29</v>
      </c>
      <c r="C267">
        <v>1.5</v>
      </c>
      <c r="D267">
        <v>0.39</v>
      </c>
    </row>
    <row r="268" spans="1:6" x14ac:dyDescent="0.15">
      <c r="A268" t="s">
        <v>1721</v>
      </c>
      <c r="B268" t="s">
        <v>29</v>
      </c>
      <c r="C268">
        <v>1.46</v>
      </c>
      <c r="D268">
        <v>0.8</v>
      </c>
    </row>
    <row r="269" spans="1:6" x14ac:dyDescent="0.15">
      <c r="A269" t="s">
        <v>1722</v>
      </c>
      <c r="B269" t="s">
        <v>29</v>
      </c>
      <c r="C269">
        <v>0.73299999999999998</v>
      </c>
      <c r="D269">
        <v>0.1</v>
      </c>
    </row>
    <row r="270" spans="1:6" x14ac:dyDescent="0.15">
      <c r="A270" t="s">
        <v>493</v>
      </c>
      <c r="B270" t="s">
        <v>29</v>
      </c>
      <c r="C270">
        <v>360.43700000000001</v>
      </c>
      <c r="D270">
        <v>0.15510184026612139</v>
      </c>
      <c r="E270">
        <v>149</v>
      </c>
      <c r="F270">
        <v>0.1032112676056338</v>
      </c>
    </row>
    <row r="271" spans="1:6" x14ac:dyDescent="0.15">
      <c r="A271" t="s">
        <v>1723</v>
      </c>
      <c r="B271" t="s">
        <v>29</v>
      </c>
      <c r="C271">
        <v>279</v>
      </c>
      <c r="D271">
        <v>0.3</v>
      </c>
    </row>
    <row r="272" spans="1:6" x14ac:dyDescent="0.15">
      <c r="A272" t="s">
        <v>1724</v>
      </c>
      <c r="B272" t="s">
        <v>29</v>
      </c>
      <c r="C272">
        <v>23.8</v>
      </c>
      <c r="D272">
        <v>0.1</v>
      </c>
    </row>
    <row r="273" spans="1:6" x14ac:dyDescent="0.15">
      <c r="A273" t="s">
        <v>1725</v>
      </c>
      <c r="B273" t="s">
        <v>29</v>
      </c>
      <c r="C273">
        <v>4.4089999999999998</v>
      </c>
      <c r="D273">
        <v>1.6</v>
      </c>
    </row>
    <row r="274" spans="1:6" x14ac:dyDescent="0.15">
      <c r="A274" t="s">
        <v>1726</v>
      </c>
      <c r="B274" t="s">
        <v>29</v>
      </c>
      <c r="C274">
        <v>8.6260000000000012</v>
      </c>
      <c r="D274">
        <v>0.13070382279385492</v>
      </c>
    </row>
    <row r="275" spans="1:6" x14ac:dyDescent="0.15">
      <c r="A275" t="s">
        <v>1727</v>
      </c>
      <c r="B275" t="s">
        <v>29</v>
      </c>
      <c r="C275">
        <v>4.5350000000000001</v>
      </c>
      <c r="D275">
        <v>2.7003616317530321</v>
      </c>
    </row>
    <row r="276" spans="1:6" x14ac:dyDescent="0.15">
      <c r="A276" t="s">
        <v>494</v>
      </c>
      <c r="B276" t="s">
        <v>29</v>
      </c>
      <c r="C276">
        <v>3.7552369999999997</v>
      </c>
      <c r="D276">
        <v>0.96349729724115951</v>
      </c>
      <c r="E276">
        <v>0.379</v>
      </c>
      <c r="F276">
        <v>1.6</v>
      </c>
    </row>
    <row r="277" spans="1:6" x14ac:dyDescent="0.15">
      <c r="A277" t="s">
        <v>1728</v>
      </c>
      <c r="B277" t="s">
        <v>29</v>
      </c>
      <c r="C277">
        <v>0.04</v>
      </c>
      <c r="D277">
        <v>2.7</v>
      </c>
    </row>
    <row r="278" spans="1:6" x14ac:dyDescent="0.15">
      <c r="A278" t="s">
        <v>1729</v>
      </c>
      <c r="B278" t="s">
        <v>29</v>
      </c>
      <c r="C278">
        <v>28.1</v>
      </c>
      <c r="D278">
        <v>0.4</v>
      </c>
    </row>
    <row r="279" spans="1:6" x14ac:dyDescent="0.15">
      <c r="A279" t="s">
        <v>1730</v>
      </c>
      <c r="B279" t="s">
        <v>29</v>
      </c>
      <c r="C279">
        <v>6.9909999999999997</v>
      </c>
      <c r="D279">
        <v>1.2</v>
      </c>
    </row>
    <row r="280" spans="1:6" x14ac:dyDescent="0.15">
      <c r="A280" t="s">
        <v>495</v>
      </c>
      <c r="B280" t="s">
        <v>29</v>
      </c>
      <c r="C280">
        <v>14.182999999999998</v>
      </c>
      <c r="D280">
        <v>1.6236339279419023</v>
      </c>
      <c r="E280">
        <v>4.431</v>
      </c>
      <c r="F280">
        <v>1.7036109230422027</v>
      </c>
    </row>
    <row r="281" spans="1:6" x14ac:dyDescent="0.15">
      <c r="A281" t="s">
        <v>1108</v>
      </c>
      <c r="B281" t="s">
        <v>29</v>
      </c>
      <c r="C281">
        <v>0.02</v>
      </c>
      <c r="D281">
        <v>0.15</v>
      </c>
    </row>
    <row r="282" spans="1:6" x14ac:dyDescent="0.15">
      <c r="A282" t="s">
        <v>1731</v>
      </c>
      <c r="B282" t="s">
        <v>29</v>
      </c>
      <c r="C282">
        <v>2.92</v>
      </c>
      <c r="D282">
        <v>8.6986301369863017E-2</v>
      </c>
    </row>
    <row r="283" spans="1:6" x14ac:dyDescent="0.15">
      <c r="A283" t="s">
        <v>1732</v>
      </c>
      <c r="B283" t="s">
        <v>29</v>
      </c>
      <c r="C283">
        <v>1.84</v>
      </c>
      <c r="D283">
        <v>1.03</v>
      </c>
    </row>
    <row r="284" spans="1:6" x14ac:dyDescent="0.15">
      <c r="A284" t="s">
        <v>1733</v>
      </c>
      <c r="B284" t="s">
        <v>29</v>
      </c>
      <c r="C284">
        <v>0.19600000000000001</v>
      </c>
      <c r="D284">
        <v>1.2</v>
      </c>
    </row>
    <row r="285" spans="1:6" x14ac:dyDescent="0.15">
      <c r="A285" t="s">
        <v>1734</v>
      </c>
      <c r="B285" t="s">
        <v>29</v>
      </c>
      <c r="C285">
        <v>73.3</v>
      </c>
      <c r="D285">
        <v>0.4</v>
      </c>
    </row>
    <row r="286" spans="1:6" x14ac:dyDescent="0.15">
      <c r="A286" t="s">
        <v>1735</v>
      </c>
      <c r="B286" t="s">
        <v>29</v>
      </c>
      <c r="C286">
        <v>1.49</v>
      </c>
      <c r="D286">
        <v>0.27</v>
      </c>
    </row>
    <row r="287" spans="1:6" x14ac:dyDescent="0.15">
      <c r="A287" t="s">
        <v>1736</v>
      </c>
      <c r="B287" t="s">
        <v>29</v>
      </c>
      <c r="C287">
        <v>2.09</v>
      </c>
      <c r="D287">
        <v>0.99</v>
      </c>
    </row>
    <row r="288" spans="1:6" x14ac:dyDescent="0.15">
      <c r="A288" t="s">
        <v>1737</v>
      </c>
      <c r="B288" t="s">
        <v>29</v>
      </c>
      <c r="C288">
        <v>203.1</v>
      </c>
      <c r="D288">
        <v>0.42</v>
      </c>
    </row>
    <row r="289" spans="1:6" x14ac:dyDescent="0.15">
      <c r="A289" t="s">
        <v>496</v>
      </c>
      <c r="B289" t="s">
        <v>29</v>
      </c>
      <c r="C289">
        <v>0.97199999999999998</v>
      </c>
      <c r="D289">
        <v>2.1</v>
      </c>
      <c r="E289">
        <v>0.221</v>
      </c>
      <c r="F289">
        <v>2.7</v>
      </c>
    </row>
    <row r="290" spans="1:6" x14ac:dyDescent="0.15">
      <c r="A290" t="s">
        <v>1738</v>
      </c>
      <c r="B290" t="s">
        <v>29</v>
      </c>
      <c r="C290">
        <v>28</v>
      </c>
      <c r="D290">
        <v>0.86685714285714288</v>
      </c>
    </row>
    <row r="291" spans="1:6" x14ac:dyDescent="0.15">
      <c r="A291" t="s">
        <v>1739</v>
      </c>
      <c r="B291" t="s">
        <v>29</v>
      </c>
      <c r="C291">
        <v>2.875</v>
      </c>
      <c r="D291">
        <v>0.66727652173913043</v>
      </c>
    </row>
    <row r="292" spans="1:6" x14ac:dyDescent="0.15">
      <c r="A292" t="s">
        <v>1740</v>
      </c>
      <c r="B292" t="s">
        <v>29</v>
      </c>
      <c r="C292">
        <v>0.6</v>
      </c>
      <c r="D292">
        <v>0.3</v>
      </c>
    </row>
    <row r="293" spans="1:6" x14ac:dyDescent="0.15">
      <c r="A293" t="s">
        <v>1741</v>
      </c>
      <c r="B293" t="s">
        <v>29</v>
      </c>
      <c r="C293">
        <v>6.4132999999999996</v>
      </c>
      <c r="D293">
        <v>1.9217694478661531</v>
      </c>
    </row>
    <row r="294" spans="1:6" x14ac:dyDescent="0.15">
      <c r="A294" t="s">
        <v>1742</v>
      </c>
      <c r="B294" t="s">
        <v>29</v>
      </c>
      <c r="C294">
        <v>10.94</v>
      </c>
      <c r="D294">
        <v>0.50594149908592323</v>
      </c>
    </row>
    <row r="295" spans="1:6" x14ac:dyDescent="0.15">
      <c r="A295" t="s">
        <v>1743</v>
      </c>
      <c r="B295" t="s">
        <v>29</v>
      </c>
      <c r="C295">
        <v>12.9</v>
      </c>
      <c r="D295">
        <v>0.38</v>
      </c>
    </row>
    <row r="296" spans="1:6" x14ac:dyDescent="0.15">
      <c r="A296" t="s">
        <v>1744</v>
      </c>
      <c r="B296" t="s">
        <v>29</v>
      </c>
      <c r="C296">
        <v>50</v>
      </c>
      <c r="D296">
        <v>0.3</v>
      </c>
    </row>
    <row r="297" spans="1:6" x14ac:dyDescent="0.15">
      <c r="A297" t="s">
        <v>1745</v>
      </c>
      <c r="B297" t="s">
        <v>329</v>
      </c>
      <c r="C297">
        <v>95</v>
      </c>
      <c r="D297">
        <v>0.59</v>
      </c>
    </row>
    <row r="298" spans="1:6" x14ac:dyDescent="0.15">
      <c r="A298" t="s">
        <v>497</v>
      </c>
      <c r="B298" t="s">
        <v>329</v>
      </c>
      <c r="C298">
        <v>18.327024000000002</v>
      </c>
      <c r="D298">
        <v>0.5</v>
      </c>
      <c r="E298">
        <v>18.327024000000002</v>
      </c>
      <c r="F298">
        <v>0.5</v>
      </c>
    </row>
    <row r="299" spans="1:6" x14ac:dyDescent="0.15">
      <c r="A299" t="s">
        <v>1746</v>
      </c>
      <c r="B299" t="s">
        <v>1747</v>
      </c>
      <c r="C299">
        <v>20</v>
      </c>
      <c r="D299">
        <v>0.17</v>
      </c>
    </row>
    <row r="300" spans="1:6" x14ac:dyDescent="0.15">
      <c r="A300" t="s">
        <v>1748</v>
      </c>
      <c r="B300" t="s">
        <v>70</v>
      </c>
      <c r="C300">
        <v>0.43</v>
      </c>
      <c r="D300">
        <v>4.9000000000000004</v>
      </c>
    </row>
    <row r="301" spans="1:6" x14ac:dyDescent="0.15">
      <c r="A301" t="s">
        <v>498</v>
      </c>
      <c r="B301" t="s">
        <v>70</v>
      </c>
      <c r="C301">
        <v>6.165</v>
      </c>
      <c r="D301">
        <v>1.0223519870235198</v>
      </c>
      <c r="E301">
        <v>0.57999999999999996</v>
      </c>
      <c r="F301">
        <v>0.8909655172413794</v>
      </c>
    </row>
    <row r="302" spans="1:6" x14ac:dyDescent="0.15">
      <c r="A302" t="s">
        <v>1749</v>
      </c>
      <c r="B302" t="s">
        <v>70</v>
      </c>
      <c r="C302">
        <v>1239.5521140000001</v>
      </c>
      <c r="D302">
        <v>1.4650312920203691E-2</v>
      </c>
    </row>
    <row r="303" spans="1:6" x14ac:dyDescent="0.15">
      <c r="A303" t="s">
        <v>1750</v>
      </c>
      <c r="B303" t="s">
        <v>70</v>
      </c>
      <c r="C303">
        <v>0.39</v>
      </c>
      <c r="D303">
        <v>0.79</v>
      </c>
    </row>
    <row r="304" spans="1:6" x14ac:dyDescent="0.15">
      <c r="A304" t="s">
        <v>1751</v>
      </c>
      <c r="B304" t="s">
        <v>70</v>
      </c>
      <c r="C304">
        <v>0.14000000000000001</v>
      </c>
      <c r="D304">
        <v>2.1</v>
      </c>
    </row>
    <row r="305" spans="1:6" x14ac:dyDescent="0.15">
      <c r="A305" t="s">
        <v>1752</v>
      </c>
      <c r="B305" t="s">
        <v>1753</v>
      </c>
      <c r="C305">
        <v>8</v>
      </c>
      <c r="D305">
        <v>0.14000000000000001</v>
      </c>
    </row>
    <row r="306" spans="1:6" x14ac:dyDescent="0.15">
      <c r="A306" t="s">
        <v>1754</v>
      </c>
      <c r="B306" t="s">
        <v>859</v>
      </c>
      <c r="C306">
        <v>13</v>
      </c>
      <c r="D306">
        <v>3.85</v>
      </c>
    </row>
    <row r="307" spans="1:6" x14ac:dyDescent="0.15">
      <c r="A307" t="s">
        <v>1755</v>
      </c>
      <c r="B307" t="s">
        <v>859</v>
      </c>
      <c r="C307">
        <v>9.8000000000000007</v>
      </c>
      <c r="D307">
        <v>0.9</v>
      </c>
    </row>
    <row r="308" spans="1:6" x14ac:dyDescent="0.15">
      <c r="A308" t="s">
        <v>1121</v>
      </c>
      <c r="B308" t="s">
        <v>859</v>
      </c>
      <c r="C308">
        <v>4.0999999999999996</v>
      </c>
      <c r="D308">
        <v>0.5</v>
      </c>
    </row>
    <row r="309" spans="1:6" x14ac:dyDescent="0.15">
      <c r="A309" t="s">
        <v>1756</v>
      </c>
      <c r="B309" t="s">
        <v>859</v>
      </c>
      <c r="C309">
        <v>351.8</v>
      </c>
      <c r="D309">
        <v>0.54622512791358724</v>
      </c>
    </row>
    <row r="310" spans="1:6" x14ac:dyDescent="0.15">
      <c r="A310" t="s">
        <v>499</v>
      </c>
      <c r="B310" t="s">
        <v>859</v>
      </c>
      <c r="C310">
        <v>131.01728600000001</v>
      </c>
      <c r="D310">
        <v>0.65751569956959721</v>
      </c>
      <c r="E310">
        <v>8.227286000000003</v>
      </c>
      <c r="F310">
        <v>1.2397918900594922</v>
      </c>
    </row>
    <row r="311" spans="1:6" x14ac:dyDescent="0.15">
      <c r="A311" t="s">
        <v>1757</v>
      </c>
      <c r="B311" t="s">
        <v>859</v>
      </c>
      <c r="C311">
        <v>33.700000000000003</v>
      </c>
      <c r="D311">
        <v>0.39</v>
      </c>
    </row>
    <row r="312" spans="1:6" x14ac:dyDescent="0.15">
      <c r="A312" t="s">
        <v>1758</v>
      </c>
      <c r="B312" t="s">
        <v>859</v>
      </c>
      <c r="C312">
        <v>33.299999999999997</v>
      </c>
      <c r="D312">
        <v>1.2855855855855858</v>
      </c>
    </row>
    <row r="313" spans="1:6" x14ac:dyDescent="0.15">
      <c r="A313" t="s">
        <v>1759</v>
      </c>
      <c r="B313" t="s">
        <v>859</v>
      </c>
      <c r="C313">
        <v>80</v>
      </c>
      <c r="D313">
        <v>2</v>
      </c>
    </row>
    <row r="314" spans="1:6" x14ac:dyDescent="0.15">
      <c r="A314" t="s">
        <v>1760</v>
      </c>
      <c r="B314" t="s">
        <v>859</v>
      </c>
      <c r="C314">
        <v>14</v>
      </c>
      <c r="D314">
        <v>1</v>
      </c>
    </row>
    <row r="315" spans="1:6" x14ac:dyDescent="0.15">
      <c r="A315" t="s">
        <v>500</v>
      </c>
      <c r="B315" t="s">
        <v>859</v>
      </c>
      <c r="C315">
        <v>81.7</v>
      </c>
      <c r="D315">
        <v>1.31</v>
      </c>
      <c r="E315">
        <v>6.6</v>
      </c>
      <c r="F315">
        <v>1.2</v>
      </c>
    </row>
    <row r="316" spans="1:6" x14ac:dyDescent="0.15">
      <c r="A316" t="s">
        <v>501</v>
      </c>
      <c r="B316" t="s">
        <v>859</v>
      </c>
      <c r="C316">
        <v>93.874491000000006</v>
      </c>
      <c r="D316">
        <v>0.77</v>
      </c>
      <c r="E316">
        <v>54.447876000000001</v>
      </c>
      <c r="F316">
        <v>0.68</v>
      </c>
    </row>
    <row r="317" spans="1:6" x14ac:dyDescent="0.15">
      <c r="A317" t="s">
        <v>1761</v>
      </c>
      <c r="B317" t="s">
        <v>859</v>
      </c>
      <c r="C317">
        <v>16</v>
      </c>
      <c r="D317">
        <v>1</v>
      </c>
    </row>
    <row r="318" spans="1:6" x14ac:dyDescent="0.15">
      <c r="A318" t="s">
        <v>1762</v>
      </c>
      <c r="B318" t="s">
        <v>859</v>
      </c>
      <c r="C318">
        <v>28.358000000000004</v>
      </c>
      <c r="D318">
        <v>1.2339184709782072</v>
      </c>
    </row>
    <row r="319" spans="1:6" x14ac:dyDescent="0.15">
      <c r="A319" t="s">
        <v>1122</v>
      </c>
      <c r="B319" t="s">
        <v>859</v>
      </c>
      <c r="C319">
        <v>107.556</v>
      </c>
      <c r="D319">
        <v>0.16956599352895235</v>
      </c>
    </row>
    <row r="320" spans="1:6" x14ac:dyDescent="0.15">
      <c r="A320" t="s">
        <v>1120</v>
      </c>
      <c r="B320" t="s">
        <v>859</v>
      </c>
      <c r="C320">
        <v>135.30000000000001</v>
      </c>
      <c r="D320">
        <v>0.27250554323725057</v>
      </c>
    </row>
    <row r="321" spans="1:6" x14ac:dyDescent="0.15">
      <c r="A321" t="s">
        <v>502</v>
      </c>
      <c r="B321" t="s">
        <v>859</v>
      </c>
      <c r="C321">
        <v>10.391</v>
      </c>
      <c r="D321">
        <v>1.6783091136560488</v>
      </c>
      <c r="E321">
        <v>2.77</v>
      </c>
      <c r="F321">
        <v>2.15</v>
      </c>
    </row>
    <row r="322" spans="1:6" x14ac:dyDescent="0.15">
      <c r="A322" t="s">
        <v>503</v>
      </c>
      <c r="B322" t="s">
        <v>859</v>
      </c>
      <c r="C322">
        <v>30.5</v>
      </c>
      <c r="D322">
        <v>1.5171803278688525</v>
      </c>
      <c r="E322">
        <v>8.6</v>
      </c>
      <c r="F322">
        <v>1.3</v>
      </c>
    </row>
    <row r="323" spans="1:6" x14ac:dyDescent="0.15">
      <c r="A323" t="s">
        <v>1763</v>
      </c>
      <c r="B323" t="s">
        <v>859</v>
      </c>
      <c r="C323">
        <v>100.3</v>
      </c>
      <c r="D323">
        <v>1.95</v>
      </c>
    </row>
    <row r="324" spans="1:6" x14ac:dyDescent="0.15">
      <c r="A324" t="s">
        <v>1764</v>
      </c>
      <c r="B324" t="s">
        <v>73</v>
      </c>
      <c r="C324">
        <v>170</v>
      </c>
      <c r="D324">
        <v>1</v>
      </c>
    </row>
    <row r="325" spans="1:6" x14ac:dyDescent="0.15">
      <c r="A325" t="s">
        <v>1147</v>
      </c>
      <c r="B325" t="s">
        <v>73</v>
      </c>
      <c r="C325">
        <v>5</v>
      </c>
      <c r="D325">
        <v>0.65</v>
      </c>
    </row>
    <row r="326" spans="1:6" x14ac:dyDescent="0.15">
      <c r="A326" t="s">
        <v>504</v>
      </c>
      <c r="B326" t="s">
        <v>73</v>
      </c>
      <c r="C326">
        <v>16.46</v>
      </c>
      <c r="D326">
        <v>1.4307897934386389</v>
      </c>
      <c r="E326">
        <v>3.6260000000000003</v>
      </c>
      <c r="F326">
        <v>2.5263623827909543</v>
      </c>
    </row>
    <row r="327" spans="1:6" x14ac:dyDescent="0.15">
      <c r="A327" t="s">
        <v>1765</v>
      </c>
      <c r="B327" t="s">
        <v>73</v>
      </c>
      <c r="C327">
        <v>46.051915999999999</v>
      </c>
      <c r="D327">
        <v>0.31</v>
      </c>
    </row>
    <row r="328" spans="1:6" x14ac:dyDescent="0.15">
      <c r="A328" t="s">
        <v>1766</v>
      </c>
      <c r="B328" t="s">
        <v>73</v>
      </c>
      <c r="C328">
        <v>0.03</v>
      </c>
      <c r="D328">
        <v>0.36</v>
      </c>
    </row>
    <row r="329" spans="1:6" x14ac:dyDescent="0.15">
      <c r="A329" t="s">
        <v>1767</v>
      </c>
      <c r="B329" t="s">
        <v>73</v>
      </c>
      <c r="C329">
        <v>4.5756600000000001</v>
      </c>
      <c r="D329">
        <v>0.92</v>
      </c>
    </row>
    <row r="330" spans="1:6" x14ac:dyDescent="0.15">
      <c r="A330" t="s">
        <v>1768</v>
      </c>
      <c r="B330" t="s">
        <v>73</v>
      </c>
      <c r="C330">
        <v>50</v>
      </c>
      <c r="D330">
        <v>1.22</v>
      </c>
    </row>
    <row r="331" spans="1:6" x14ac:dyDescent="0.15">
      <c r="A331" t="s">
        <v>1769</v>
      </c>
      <c r="B331" t="s">
        <v>73</v>
      </c>
      <c r="C331">
        <v>21.36</v>
      </c>
      <c r="D331">
        <v>0.104812734082397</v>
      </c>
    </row>
    <row r="332" spans="1:6" x14ac:dyDescent="0.15">
      <c r="A332" t="s">
        <v>1770</v>
      </c>
      <c r="B332" t="s">
        <v>73</v>
      </c>
      <c r="C332">
        <v>70</v>
      </c>
      <c r="D332">
        <v>0.7</v>
      </c>
    </row>
    <row r="333" spans="1:6" x14ac:dyDescent="0.15">
      <c r="A333" t="s">
        <v>505</v>
      </c>
      <c r="B333" t="s">
        <v>73</v>
      </c>
      <c r="C333">
        <v>783.96589999999992</v>
      </c>
      <c r="D333">
        <v>0.26301453417808096</v>
      </c>
      <c r="E333">
        <v>520.65099999999995</v>
      </c>
      <c r="F333">
        <v>0.26506865443454447</v>
      </c>
    </row>
    <row r="334" spans="1:6" x14ac:dyDescent="0.15">
      <c r="A334" t="s">
        <v>1771</v>
      </c>
      <c r="B334" t="s">
        <v>73</v>
      </c>
      <c r="C334">
        <v>375</v>
      </c>
      <c r="D334">
        <v>0.64</v>
      </c>
    </row>
    <row r="335" spans="1:6" x14ac:dyDescent="0.15">
      <c r="A335" t="s">
        <v>1772</v>
      </c>
      <c r="B335" t="s">
        <v>73</v>
      </c>
      <c r="C335">
        <v>30</v>
      </c>
      <c r="D335">
        <v>0.5</v>
      </c>
    </row>
    <row r="336" spans="1:6" x14ac:dyDescent="0.15">
      <c r="A336" t="s">
        <v>1773</v>
      </c>
      <c r="B336" t="s">
        <v>73</v>
      </c>
      <c r="C336">
        <v>100</v>
      </c>
      <c r="D336">
        <v>0.77</v>
      </c>
    </row>
    <row r="337" spans="1:6" x14ac:dyDescent="0.15">
      <c r="A337" t="s">
        <v>1774</v>
      </c>
      <c r="B337" t="s">
        <v>73</v>
      </c>
      <c r="C337">
        <v>219</v>
      </c>
      <c r="D337">
        <v>1.4</v>
      </c>
    </row>
    <row r="338" spans="1:6" x14ac:dyDescent="0.15">
      <c r="A338" t="s">
        <v>1775</v>
      </c>
      <c r="B338" t="s">
        <v>73</v>
      </c>
      <c r="C338">
        <v>242</v>
      </c>
      <c r="D338">
        <v>0.77</v>
      </c>
    </row>
    <row r="339" spans="1:6" x14ac:dyDescent="0.15">
      <c r="A339" t="s">
        <v>1149</v>
      </c>
      <c r="B339" t="s">
        <v>73</v>
      </c>
      <c r="C339">
        <v>35</v>
      </c>
      <c r="D339">
        <v>0.27</v>
      </c>
    </row>
    <row r="340" spans="1:6" x14ac:dyDescent="0.15">
      <c r="A340" t="s">
        <v>506</v>
      </c>
      <c r="B340" t="s">
        <v>73</v>
      </c>
      <c r="C340">
        <v>135.739442</v>
      </c>
      <c r="D340">
        <v>0.15120103558404199</v>
      </c>
      <c r="E340">
        <v>95.986441999999997</v>
      </c>
      <c r="F340">
        <v>0.15169844716194397</v>
      </c>
    </row>
    <row r="341" spans="1:6" x14ac:dyDescent="0.15">
      <c r="A341" t="s">
        <v>1776</v>
      </c>
      <c r="B341" t="s">
        <v>73</v>
      </c>
      <c r="C341">
        <v>9.44</v>
      </c>
      <c r="D341">
        <v>9.9431144067796629E-2</v>
      </c>
    </row>
    <row r="342" spans="1:6" x14ac:dyDescent="0.15">
      <c r="A342" t="s">
        <v>1777</v>
      </c>
      <c r="B342" t="s">
        <v>73</v>
      </c>
      <c r="C342">
        <v>6.8903200000000009</v>
      </c>
      <c r="D342">
        <v>0.93065576054522858</v>
      </c>
    </row>
    <row r="343" spans="1:6" x14ac:dyDescent="0.15">
      <c r="A343" t="s">
        <v>1778</v>
      </c>
      <c r="B343" t="s">
        <v>73</v>
      </c>
      <c r="C343">
        <v>46.82</v>
      </c>
      <c r="D343">
        <v>0.33</v>
      </c>
    </row>
    <row r="344" spans="1:6" x14ac:dyDescent="0.15">
      <c r="A344" t="s">
        <v>1148</v>
      </c>
      <c r="B344" t="s">
        <v>73</v>
      </c>
      <c r="C344">
        <v>12.941176470588234</v>
      </c>
      <c r="D344">
        <v>0.03</v>
      </c>
    </row>
    <row r="345" spans="1:6" x14ac:dyDescent="0.15">
      <c r="A345" t="s">
        <v>1779</v>
      </c>
      <c r="B345" t="s">
        <v>73</v>
      </c>
      <c r="C345">
        <v>11.4</v>
      </c>
      <c r="D345">
        <v>1</v>
      </c>
    </row>
    <row r="346" spans="1:6" x14ac:dyDescent="0.15">
      <c r="A346" t="s">
        <v>507</v>
      </c>
      <c r="B346" t="s">
        <v>73</v>
      </c>
      <c r="C346">
        <v>1156.8</v>
      </c>
      <c r="D346">
        <v>0.67</v>
      </c>
      <c r="E346">
        <v>1156.8</v>
      </c>
      <c r="F346">
        <v>0.67</v>
      </c>
    </row>
    <row r="347" spans="1:6" x14ac:dyDescent="0.15">
      <c r="A347" t="s">
        <v>1780</v>
      </c>
      <c r="B347" t="s">
        <v>73</v>
      </c>
      <c r="C347">
        <v>5</v>
      </c>
      <c r="D347">
        <v>0.66</v>
      </c>
    </row>
    <row r="348" spans="1:6" x14ac:dyDescent="0.15">
      <c r="A348" t="s">
        <v>508</v>
      </c>
      <c r="B348" t="s">
        <v>73</v>
      </c>
      <c r="C348">
        <v>179.37040000000002</v>
      </c>
      <c r="D348">
        <v>0.47715736487179611</v>
      </c>
      <c r="E348">
        <v>85.471000000000004</v>
      </c>
      <c r="F348">
        <v>0.52</v>
      </c>
    </row>
    <row r="349" spans="1:6" x14ac:dyDescent="0.15">
      <c r="A349" t="s">
        <v>509</v>
      </c>
      <c r="B349" t="s">
        <v>73</v>
      </c>
      <c r="C349">
        <v>117.8</v>
      </c>
      <c r="D349">
        <v>0.67</v>
      </c>
      <c r="E349">
        <v>117.8</v>
      </c>
      <c r="F349">
        <v>0.67</v>
      </c>
    </row>
    <row r="350" spans="1:6" x14ac:dyDescent="0.15">
      <c r="A350" t="s">
        <v>1781</v>
      </c>
      <c r="B350" t="s">
        <v>860</v>
      </c>
      <c r="C350">
        <v>143</v>
      </c>
      <c r="D350">
        <v>0.43</v>
      </c>
    </row>
    <row r="351" spans="1:6" x14ac:dyDescent="0.15">
      <c r="A351" t="s">
        <v>510</v>
      </c>
      <c r="B351" t="s">
        <v>860</v>
      </c>
      <c r="C351">
        <v>38.499999999999993</v>
      </c>
      <c r="D351">
        <v>0.97558441558441567</v>
      </c>
      <c r="E351">
        <v>21.5</v>
      </c>
      <c r="F351">
        <v>0.94</v>
      </c>
    </row>
    <row r="352" spans="1:6" x14ac:dyDescent="0.15">
      <c r="A352" t="s">
        <v>1782</v>
      </c>
      <c r="B352" t="s">
        <v>860</v>
      </c>
      <c r="C352">
        <v>12.4</v>
      </c>
      <c r="D352">
        <v>0.13653225806451613</v>
      </c>
    </row>
    <row r="353" spans="1:4" x14ac:dyDescent="0.15">
      <c r="A353" t="s">
        <v>1783</v>
      </c>
      <c r="B353" t="s">
        <v>860</v>
      </c>
      <c r="C353">
        <v>350</v>
      </c>
      <c r="D353">
        <v>0.39</v>
      </c>
    </row>
    <row r="354" spans="1:4" x14ac:dyDescent="0.15">
      <c r="A354" t="s">
        <v>1784</v>
      </c>
      <c r="B354" t="s">
        <v>860</v>
      </c>
      <c r="C354">
        <v>110</v>
      </c>
      <c r="D354">
        <v>0.22</v>
      </c>
    </row>
    <row r="355" spans="1:4" x14ac:dyDescent="0.15">
      <c r="A355" t="s">
        <v>1785</v>
      </c>
      <c r="B355" t="s">
        <v>860</v>
      </c>
      <c r="C355">
        <v>61</v>
      </c>
      <c r="D355">
        <v>0.21</v>
      </c>
    </row>
    <row r="356" spans="1:4" x14ac:dyDescent="0.15">
      <c r="A356" t="s">
        <v>1786</v>
      </c>
      <c r="B356" t="s">
        <v>860</v>
      </c>
      <c r="C356">
        <v>7.7</v>
      </c>
      <c r="D356">
        <v>0.30506493506493509</v>
      </c>
    </row>
    <row r="357" spans="1:4" x14ac:dyDescent="0.15">
      <c r="A357" t="s">
        <v>1787</v>
      </c>
      <c r="B357" t="s">
        <v>860</v>
      </c>
      <c r="C357">
        <v>244</v>
      </c>
      <c r="D357">
        <v>0.37</v>
      </c>
    </row>
    <row r="358" spans="1:4" x14ac:dyDescent="0.15">
      <c r="A358" t="s">
        <v>1788</v>
      </c>
      <c r="B358" t="s">
        <v>860</v>
      </c>
      <c r="C358">
        <v>36</v>
      </c>
      <c r="D358">
        <v>0.32</v>
      </c>
    </row>
    <row r="359" spans="1:4" x14ac:dyDescent="0.15">
      <c r="A359" t="s">
        <v>1789</v>
      </c>
      <c r="B359" t="s">
        <v>860</v>
      </c>
      <c r="C359">
        <v>75</v>
      </c>
      <c r="D359">
        <v>0.2</v>
      </c>
    </row>
    <row r="360" spans="1:4" x14ac:dyDescent="0.15">
      <c r="A360" t="s">
        <v>1790</v>
      </c>
      <c r="B360" t="s">
        <v>860</v>
      </c>
      <c r="C360">
        <v>260</v>
      </c>
      <c r="D360">
        <v>0.24873076923076923</v>
      </c>
    </row>
    <row r="361" spans="1:4" x14ac:dyDescent="0.15">
      <c r="A361" t="s">
        <v>1791</v>
      </c>
      <c r="B361" t="s">
        <v>860</v>
      </c>
      <c r="C361">
        <v>6.6</v>
      </c>
      <c r="D361">
        <v>0.47</v>
      </c>
    </row>
    <row r="362" spans="1:4" x14ac:dyDescent="0.15">
      <c r="A362" t="s">
        <v>1792</v>
      </c>
      <c r="B362" t="s">
        <v>860</v>
      </c>
      <c r="C362">
        <v>85</v>
      </c>
      <c r="D362">
        <v>0.23</v>
      </c>
    </row>
    <row r="363" spans="1:4" x14ac:dyDescent="0.15">
      <c r="A363" t="s">
        <v>1793</v>
      </c>
      <c r="B363" t="s">
        <v>860</v>
      </c>
      <c r="C363">
        <v>42</v>
      </c>
      <c r="D363">
        <v>0.42</v>
      </c>
    </row>
    <row r="364" spans="1:4" x14ac:dyDescent="0.15">
      <c r="A364" t="s">
        <v>1794</v>
      </c>
      <c r="B364" t="s">
        <v>1795</v>
      </c>
      <c r="C364">
        <v>162.6</v>
      </c>
      <c r="D364">
        <v>0.2</v>
      </c>
    </row>
    <row r="365" spans="1:4" x14ac:dyDescent="0.15">
      <c r="A365" t="s">
        <v>1796</v>
      </c>
      <c r="B365" t="s">
        <v>1795</v>
      </c>
      <c r="C365">
        <v>285.26800000000003</v>
      </c>
      <c r="D365">
        <v>0.31816285037228148</v>
      </c>
    </row>
    <row r="366" spans="1:4" x14ac:dyDescent="0.15">
      <c r="A366" t="s">
        <v>1797</v>
      </c>
      <c r="B366" t="s">
        <v>1795</v>
      </c>
      <c r="C366">
        <v>16.042999999999999</v>
      </c>
      <c r="D366">
        <v>0.21</v>
      </c>
    </row>
    <row r="367" spans="1:4" x14ac:dyDescent="0.15">
      <c r="A367" t="s">
        <v>1153</v>
      </c>
      <c r="B367" t="s">
        <v>1150</v>
      </c>
      <c r="C367">
        <v>150.17999999999998</v>
      </c>
      <c r="D367">
        <v>0.20903316020775073</v>
      </c>
    </row>
    <row r="368" spans="1:4" x14ac:dyDescent="0.15">
      <c r="A368" t="s">
        <v>1798</v>
      </c>
      <c r="B368" t="s">
        <v>1799</v>
      </c>
      <c r="C368">
        <v>16.177458000000001</v>
      </c>
      <c r="D368">
        <v>0.2543907065003661</v>
      </c>
    </row>
    <row r="369" spans="1:6" x14ac:dyDescent="0.15">
      <c r="A369" t="s">
        <v>1800</v>
      </c>
      <c r="B369" t="s">
        <v>30</v>
      </c>
      <c r="C369">
        <v>0.66100000000000003</v>
      </c>
      <c r="D369">
        <v>0.76</v>
      </c>
    </row>
    <row r="370" spans="1:6" x14ac:dyDescent="0.15">
      <c r="A370" t="s">
        <v>511</v>
      </c>
      <c r="B370" t="s">
        <v>30</v>
      </c>
      <c r="C370">
        <v>597</v>
      </c>
      <c r="D370">
        <v>0.25160804020100502</v>
      </c>
      <c r="E370">
        <v>426</v>
      </c>
      <c r="F370">
        <v>0.28999999999999998</v>
      </c>
    </row>
    <row r="371" spans="1:6" x14ac:dyDescent="0.15">
      <c r="A371" t="s">
        <v>1801</v>
      </c>
      <c r="B371" t="s">
        <v>30</v>
      </c>
      <c r="C371">
        <v>100.6</v>
      </c>
      <c r="D371">
        <v>0.23699999999999999</v>
      </c>
    </row>
    <row r="372" spans="1:6" x14ac:dyDescent="0.15">
      <c r="A372" t="s">
        <v>1802</v>
      </c>
      <c r="B372" t="s">
        <v>30</v>
      </c>
      <c r="C372">
        <v>108.8</v>
      </c>
      <c r="D372">
        <v>0.2030670955882353</v>
      </c>
    </row>
    <row r="373" spans="1:6" x14ac:dyDescent="0.15">
      <c r="A373" t="s">
        <v>512</v>
      </c>
      <c r="B373" t="s">
        <v>30</v>
      </c>
      <c r="C373">
        <v>7.5869999999999997</v>
      </c>
      <c r="D373">
        <v>0.44917885857387641</v>
      </c>
      <c r="E373">
        <v>4.7590000000000003</v>
      </c>
      <c r="F373">
        <v>0.52</v>
      </c>
    </row>
    <row r="374" spans="1:6" x14ac:dyDescent="0.15">
      <c r="A374" t="s">
        <v>1160</v>
      </c>
      <c r="B374" t="s">
        <v>30</v>
      </c>
      <c r="C374">
        <v>0.53899999999999992</v>
      </c>
      <c r="D374">
        <v>4.4007421150278302E-2</v>
      </c>
    </row>
    <row r="375" spans="1:6" x14ac:dyDescent="0.15">
      <c r="A375" t="s">
        <v>1803</v>
      </c>
      <c r="B375" t="s">
        <v>30</v>
      </c>
      <c r="C375">
        <v>0.45</v>
      </c>
      <c r="D375">
        <v>0.75</v>
      </c>
    </row>
    <row r="376" spans="1:6" x14ac:dyDescent="0.15">
      <c r="A376" t="s">
        <v>1804</v>
      </c>
      <c r="B376" t="s">
        <v>30</v>
      </c>
      <c r="C376">
        <v>1.9059999999999999</v>
      </c>
      <c r="D376">
        <v>0.25</v>
      </c>
    </row>
    <row r="377" spans="1:6" x14ac:dyDescent="0.15">
      <c r="A377" t="s">
        <v>1805</v>
      </c>
      <c r="B377" t="s">
        <v>30</v>
      </c>
      <c r="C377">
        <v>71.099999999999994</v>
      </c>
      <c r="D377">
        <v>0.39</v>
      </c>
    </row>
    <row r="378" spans="1:6" x14ac:dyDescent="0.15">
      <c r="A378" t="s">
        <v>1806</v>
      </c>
      <c r="B378" t="s">
        <v>30</v>
      </c>
      <c r="C378">
        <v>10.774000000000001</v>
      </c>
      <c r="D378">
        <v>1.2503378503805456</v>
      </c>
    </row>
    <row r="379" spans="1:6" x14ac:dyDescent="0.15">
      <c r="A379" t="s">
        <v>1807</v>
      </c>
      <c r="B379" t="s">
        <v>30</v>
      </c>
      <c r="C379">
        <v>4.0060000000000002</v>
      </c>
      <c r="D379">
        <v>0.4</v>
      </c>
    </row>
    <row r="380" spans="1:6" x14ac:dyDescent="0.15">
      <c r="A380" t="s">
        <v>1808</v>
      </c>
      <c r="B380" t="s">
        <v>30</v>
      </c>
      <c r="C380">
        <v>0.35985448799999997</v>
      </c>
      <c r="D380">
        <v>2.64</v>
      </c>
    </row>
    <row r="381" spans="1:6" x14ac:dyDescent="0.15">
      <c r="A381" t="s">
        <v>1809</v>
      </c>
      <c r="B381" t="s">
        <v>30</v>
      </c>
      <c r="C381">
        <v>0.2</v>
      </c>
      <c r="D381">
        <v>1.5</v>
      </c>
    </row>
    <row r="382" spans="1:6" x14ac:dyDescent="0.15">
      <c r="A382" t="s">
        <v>1810</v>
      </c>
      <c r="B382" t="s">
        <v>30</v>
      </c>
      <c r="C382">
        <v>357</v>
      </c>
      <c r="D382">
        <v>0.40159663865546219</v>
      </c>
    </row>
    <row r="383" spans="1:6" x14ac:dyDescent="0.15">
      <c r="A383" t="s">
        <v>1811</v>
      </c>
      <c r="B383" t="s">
        <v>30</v>
      </c>
      <c r="C383">
        <v>650.6</v>
      </c>
      <c r="D383">
        <v>0.28527205656317245</v>
      </c>
    </row>
    <row r="384" spans="1:6" x14ac:dyDescent="0.15">
      <c r="A384" t="s">
        <v>1812</v>
      </c>
      <c r="B384" t="s">
        <v>30</v>
      </c>
      <c r="C384">
        <v>2.1059999999999999</v>
      </c>
      <c r="D384">
        <v>0.36069800569800575</v>
      </c>
    </row>
    <row r="385" spans="1:6" x14ac:dyDescent="0.15">
      <c r="A385" t="s">
        <v>1813</v>
      </c>
      <c r="B385" t="s">
        <v>30</v>
      </c>
      <c r="C385">
        <v>174.8</v>
      </c>
      <c r="D385">
        <v>0.23463157894736839</v>
      </c>
    </row>
    <row r="386" spans="1:6" x14ac:dyDescent="0.15">
      <c r="A386" t="s">
        <v>1814</v>
      </c>
      <c r="B386" t="s">
        <v>30</v>
      </c>
      <c r="C386">
        <v>4.5026999999999999</v>
      </c>
      <c r="D386">
        <v>1.7230694916383502</v>
      </c>
    </row>
    <row r="387" spans="1:6" x14ac:dyDescent="0.15">
      <c r="A387" t="s">
        <v>1815</v>
      </c>
      <c r="B387" t="s">
        <v>30</v>
      </c>
      <c r="C387">
        <v>6.9009999999999998</v>
      </c>
      <c r="D387">
        <v>1.43</v>
      </c>
    </row>
    <row r="388" spans="1:6" x14ac:dyDescent="0.15">
      <c r="A388" t="s">
        <v>1188</v>
      </c>
      <c r="B388" t="s">
        <v>30</v>
      </c>
      <c r="C388">
        <v>4.3749169999999999</v>
      </c>
      <c r="D388">
        <v>0.87</v>
      </c>
    </row>
    <row r="389" spans="1:6" x14ac:dyDescent="0.15">
      <c r="A389" t="s">
        <v>1816</v>
      </c>
      <c r="B389" t="s">
        <v>30</v>
      </c>
      <c r="C389">
        <v>2.2720000000000002</v>
      </c>
      <c r="D389">
        <v>0.9066241197183097</v>
      </c>
    </row>
    <row r="390" spans="1:6" x14ac:dyDescent="0.15">
      <c r="A390" t="s">
        <v>1817</v>
      </c>
      <c r="B390" t="s">
        <v>30</v>
      </c>
      <c r="C390">
        <v>0.68</v>
      </c>
      <c r="D390">
        <v>0.04</v>
      </c>
    </row>
    <row r="391" spans="1:6" x14ac:dyDescent="0.15">
      <c r="A391" t="s">
        <v>1818</v>
      </c>
      <c r="B391" t="s">
        <v>30</v>
      </c>
      <c r="C391">
        <v>1.0619999999999999E-2</v>
      </c>
      <c r="D391">
        <v>1.76</v>
      </c>
    </row>
    <row r="392" spans="1:6" x14ac:dyDescent="0.15">
      <c r="A392" t="s">
        <v>1819</v>
      </c>
      <c r="B392" t="s">
        <v>30</v>
      </c>
      <c r="C392">
        <v>0.43020000000000003</v>
      </c>
      <c r="D392">
        <v>0.4</v>
      </c>
    </row>
    <row r="393" spans="1:6" x14ac:dyDescent="0.15">
      <c r="A393" t="s">
        <v>1820</v>
      </c>
      <c r="B393" t="s">
        <v>30</v>
      </c>
      <c r="C393">
        <v>1.06</v>
      </c>
      <c r="D393">
        <v>0.7</v>
      </c>
    </row>
    <row r="394" spans="1:6" x14ac:dyDescent="0.15">
      <c r="A394" t="s">
        <v>1821</v>
      </c>
      <c r="B394" t="s">
        <v>30</v>
      </c>
      <c r="C394">
        <v>4.45</v>
      </c>
      <c r="D394">
        <v>0.62955056179775282</v>
      </c>
    </row>
    <row r="395" spans="1:6" x14ac:dyDescent="0.15">
      <c r="A395" t="s">
        <v>513</v>
      </c>
      <c r="B395" t="s">
        <v>30</v>
      </c>
      <c r="C395">
        <v>6.64</v>
      </c>
      <c r="D395">
        <v>1.2479518072289155</v>
      </c>
      <c r="E395">
        <v>5.41</v>
      </c>
      <c r="F395">
        <v>1.1424953789279115</v>
      </c>
    </row>
    <row r="396" spans="1:6" x14ac:dyDescent="0.15">
      <c r="A396" t="s">
        <v>1822</v>
      </c>
      <c r="B396" t="s">
        <v>30</v>
      </c>
      <c r="C396">
        <v>0.64</v>
      </c>
      <c r="D396">
        <v>1.7</v>
      </c>
    </row>
    <row r="397" spans="1:6" x14ac:dyDescent="0.15">
      <c r="A397" t="s">
        <v>1823</v>
      </c>
      <c r="B397" t="s">
        <v>30</v>
      </c>
      <c r="C397">
        <v>0.31748500000000002</v>
      </c>
      <c r="D397">
        <v>0.1</v>
      </c>
    </row>
    <row r="398" spans="1:6" x14ac:dyDescent="0.15">
      <c r="A398" t="s">
        <v>1824</v>
      </c>
      <c r="B398" t="s">
        <v>30</v>
      </c>
      <c r="C398">
        <v>316.70000000000005</v>
      </c>
      <c r="D398">
        <v>0.13944742658667508</v>
      </c>
    </row>
    <row r="399" spans="1:6" x14ac:dyDescent="0.15">
      <c r="A399" t="s">
        <v>514</v>
      </c>
      <c r="B399" t="s">
        <v>30</v>
      </c>
      <c r="C399">
        <v>15.559000000000001</v>
      </c>
      <c r="D399">
        <v>0.10722989909377209</v>
      </c>
      <c r="E399">
        <v>2.61</v>
      </c>
      <c r="F399">
        <v>0.11</v>
      </c>
    </row>
    <row r="400" spans="1:6" x14ac:dyDescent="0.15">
      <c r="A400" t="s">
        <v>1156</v>
      </c>
      <c r="B400" t="s">
        <v>30</v>
      </c>
      <c r="C400">
        <v>5209.0990000000002</v>
      </c>
      <c r="D400">
        <v>4.0941707462269382E-3</v>
      </c>
    </row>
    <row r="401" spans="1:6" x14ac:dyDescent="0.15">
      <c r="A401" t="s">
        <v>1825</v>
      </c>
      <c r="B401" t="s">
        <v>30</v>
      </c>
      <c r="C401">
        <v>0.19</v>
      </c>
      <c r="D401">
        <v>1.4</v>
      </c>
    </row>
    <row r="402" spans="1:6" x14ac:dyDescent="0.15">
      <c r="A402" t="s">
        <v>1826</v>
      </c>
      <c r="B402" t="s">
        <v>30</v>
      </c>
      <c r="C402">
        <v>0.23</v>
      </c>
      <c r="D402">
        <v>4.0999999999999996</v>
      </c>
    </row>
    <row r="403" spans="1:6" x14ac:dyDescent="0.15">
      <c r="A403" t="s">
        <v>1827</v>
      </c>
      <c r="B403" t="s">
        <v>30</v>
      </c>
      <c r="C403">
        <v>1.11395</v>
      </c>
      <c r="D403">
        <v>1.02</v>
      </c>
    </row>
    <row r="404" spans="1:6" x14ac:dyDescent="0.15">
      <c r="A404" t="s">
        <v>1828</v>
      </c>
      <c r="B404" t="s">
        <v>30</v>
      </c>
      <c r="C404">
        <v>6.8000000000000005E-2</v>
      </c>
      <c r="D404">
        <v>6.1</v>
      </c>
    </row>
    <row r="405" spans="1:6" x14ac:dyDescent="0.15">
      <c r="A405" t="s">
        <v>1829</v>
      </c>
      <c r="B405" t="s">
        <v>30</v>
      </c>
      <c r="C405">
        <v>0.3</v>
      </c>
      <c r="D405">
        <v>1.2</v>
      </c>
    </row>
    <row r="406" spans="1:6" x14ac:dyDescent="0.15">
      <c r="A406" t="s">
        <v>1830</v>
      </c>
      <c r="B406" t="s">
        <v>30</v>
      </c>
      <c r="C406">
        <v>2.012</v>
      </c>
      <c r="D406">
        <v>1.0320278330019883</v>
      </c>
    </row>
    <row r="407" spans="1:6" x14ac:dyDescent="0.15">
      <c r="A407" t="s">
        <v>1831</v>
      </c>
      <c r="B407" t="s">
        <v>30</v>
      </c>
      <c r="C407">
        <v>11</v>
      </c>
      <c r="D407">
        <v>0.40639090909090908</v>
      </c>
    </row>
    <row r="408" spans="1:6" x14ac:dyDescent="0.15">
      <c r="A408" t="s">
        <v>1832</v>
      </c>
      <c r="B408" t="s">
        <v>30</v>
      </c>
      <c r="C408">
        <v>33.078000000000003</v>
      </c>
      <c r="D408">
        <v>0.77728973940383339</v>
      </c>
    </row>
    <row r="409" spans="1:6" x14ac:dyDescent="0.15">
      <c r="A409" t="s">
        <v>1833</v>
      </c>
      <c r="B409" t="s">
        <v>30</v>
      </c>
      <c r="C409">
        <v>36.29</v>
      </c>
      <c r="D409">
        <v>0.17</v>
      </c>
    </row>
    <row r="410" spans="1:6" x14ac:dyDescent="0.15">
      <c r="A410" t="s">
        <v>515</v>
      </c>
      <c r="B410" t="s">
        <v>30</v>
      </c>
      <c r="C410">
        <v>3414.8</v>
      </c>
      <c r="D410">
        <v>0.14988461988989107</v>
      </c>
      <c r="E410">
        <v>1122.6610000000001</v>
      </c>
      <c r="F410">
        <v>0.18043788107006475</v>
      </c>
    </row>
    <row r="411" spans="1:6" x14ac:dyDescent="0.15">
      <c r="A411" t="s">
        <v>1180</v>
      </c>
      <c r="B411" t="s">
        <v>30</v>
      </c>
      <c r="C411">
        <v>1.8144</v>
      </c>
      <c r="D411">
        <v>0.75</v>
      </c>
    </row>
    <row r="412" spans="1:6" x14ac:dyDescent="0.15">
      <c r="A412" t="s">
        <v>1834</v>
      </c>
      <c r="B412" t="s">
        <v>30</v>
      </c>
      <c r="C412">
        <v>319.31099999999998</v>
      </c>
      <c r="D412">
        <v>0.38356160608309769</v>
      </c>
    </row>
    <row r="413" spans="1:6" x14ac:dyDescent="0.15">
      <c r="A413" t="s">
        <v>1835</v>
      </c>
      <c r="B413" t="s">
        <v>30</v>
      </c>
      <c r="C413">
        <v>0.28999999999999998</v>
      </c>
      <c r="D413">
        <v>1.48</v>
      </c>
    </row>
    <row r="414" spans="1:6" x14ac:dyDescent="0.15">
      <c r="A414" t="s">
        <v>1836</v>
      </c>
      <c r="B414" t="s">
        <v>30</v>
      </c>
      <c r="C414">
        <v>0.24851999999999999</v>
      </c>
      <c r="D414">
        <v>0.97</v>
      </c>
    </row>
    <row r="415" spans="1:6" x14ac:dyDescent="0.15">
      <c r="A415" t="s">
        <v>1837</v>
      </c>
      <c r="B415" t="s">
        <v>30</v>
      </c>
      <c r="C415">
        <v>4.0140000000000002</v>
      </c>
      <c r="D415">
        <v>1.2128649725959142</v>
      </c>
    </row>
    <row r="416" spans="1:6" x14ac:dyDescent="0.15">
      <c r="A416" t="s">
        <v>1838</v>
      </c>
      <c r="B416" t="s">
        <v>30</v>
      </c>
      <c r="C416">
        <v>627.19000000000005</v>
      </c>
      <c r="D416">
        <v>3.5409062644493693E-2</v>
      </c>
    </row>
    <row r="417" spans="1:6" x14ac:dyDescent="0.15">
      <c r="A417" t="s">
        <v>1839</v>
      </c>
      <c r="B417" t="s">
        <v>30</v>
      </c>
      <c r="C417">
        <v>2.8270469999999999</v>
      </c>
      <c r="D417">
        <v>1.9</v>
      </c>
    </row>
    <row r="418" spans="1:6" x14ac:dyDescent="0.15">
      <c r="A418" t="s">
        <v>1840</v>
      </c>
      <c r="B418" t="s">
        <v>30</v>
      </c>
      <c r="C418">
        <v>0.410881</v>
      </c>
      <c r="D418">
        <v>0.14105302995271138</v>
      </c>
    </row>
    <row r="419" spans="1:6" x14ac:dyDescent="0.15">
      <c r="A419" t="s">
        <v>1841</v>
      </c>
      <c r="B419" t="s">
        <v>30</v>
      </c>
      <c r="C419">
        <v>1.0026999999999999</v>
      </c>
      <c r="D419">
        <v>1.3014271467038998</v>
      </c>
    </row>
    <row r="420" spans="1:6" x14ac:dyDescent="0.15">
      <c r="A420" t="s">
        <v>1842</v>
      </c>
      <c r="B420" t="s">
        <v>30</v>
      </c>
      <c r="C420">
        <v>0.117934</v>
      </c>
      <c r="D420">
        <v>2.5</v>
      </c>
    </row>
    <row r="421" spans="1:6" x14ac:dyDescent="0.15">
      <c r="A421" t="s">
        <v>1843</v>
      </c>
      <c r="B421" t="s">
        <v>30</v>
      </c>
      <c r="C421">
        <v>411.4</v>
      </c>
      <c r="D421">
        <v>0.38</v>
      </c>
    </row>
    <row r="422" spans="1:6" x14ac:dyDescent="0.15">
      <c r="A422" t="s">
        <v>1844</v>
      </c>
      <c r="B422" t="s">
        <v>30</v>
      </c>
      <c r="C422">
        <v>5.1025464000000006E-2</v>
      </c>
      <c r="D422">
        <v>1</v>
      </c>
    </row>
    <row r="423" spans="1:6" x14ac:dyDescent="0.15">
      <c r="A423" t="s">
        <v>1845</v>
      </c>
      <c r="B423" t="s">
        <v>30</v>
      </c>
      <c r="C423">
        <v>0.22</v>
      </c>
      <c r="D423">
        <v>2.63</v>
      </c>
    </row>
    <row r="424" spans="1:6" x14ac:dyDescent="0.15">
      <c r="A424" t="s">
        <v>516</v>
      </c>
      <c r="B424" t="s">
        <v>30</v>
      </c>
      <c r="C424">
        <v>955</v>
      </c>
      <c r="D424">
        <v>0.23026178010471204</v>
      </c>
      <c r="E424">
        <v>184</v>
      </c>
      <c r="F424">
        <v>0.28999999999999998</v>
      </c>
    </row>
    <row r="425" spans="1:6" x14ac:dyDescent="0.15">
      <c r="A425" t="s">
        <v>1846</v>
      </c>
      <c r="B425" t="s">
        <v>30</v>
      </c>
      <c r="C425">
        <v>0.15133099999999999</v>
      </c>
      <c r="D425">
        <v>3.3528349115514993</v>
      </c>
    </row>
    <row r="426" spans="1:6" x14ac:dyDescent="0.15">
      <c r="A426" t="s">
        <v>1847</v>
      </c>
      <c r="B426" t="s">
        <v>30</v>
      </c>
      <c r="C426">
        <v>2.0110000000000001</v>
      </c>
      <c r="D426">
        <v>3.0080159124813526</v>
      </c>
    </row>
    <row r="427" spans="1:6" x14ac:dyDescent="0.15">
      <c r="A427" t="s">
        <v>1848</v>
      </c>
      <c r="B427" t="s">
        <v>30</v>
      </c>
      <c r="C427">
        <v>14.293716</v>
      </c>
      <c r="D427">
        <v>1.3</v>
      </c>
    </row>
    <row r="428" spans="1:6" x14ac:dyDescent="0.15">
      <c r="A428" t="s">
        <v>1849</v>
      </c>
      <c r="B428" t="s">
        <v>30</v>
      </c>
      <c r="C428">
        <v>0.91</v>
      </c>
      <c r="D428">
        <v>1.66</v>
      </c>
    </row>
    <row r="429" spans="1:6" x14ac:dyDescent="0.15">
      <c r="A429" t="s">
        <v>1850</v>
      </c>
      <c r="B429" t="s">
        <v>30</v>
      </c>
      <c r="C429">
        <v>1.6099999999999999</v>
      </c>
      <c r="D429">
        <v>0.29881987577639751</v>
      </c>
    </row>
    <row r="430" spans="1:6" x14ac:dyDescent="0.15">
      <c r="A430" t="s">
        <v>1851</v>
      </c>
      <c r="B430" t="s">
        <v>30</v>
      </c>
      <c r="C430">
        <v>0.35</v>
      </c>
      <c r="D430">
        <v>1.35</v>
      </c>
    </row>
    <row r="431" spans="1:6" x14ac:dyDescent="0.15">
      <c r="A431" t="s">
        <v>1169</v>
      </c>
      <c r="B431" t="s">
        <v>30</v>
      </c>
      <c r="C431">
        <v>0.38</v>
      </c>
      <c r="D431">
        <v>0.96000000000000008</v>
      </c>
    </row>
    <row r="432" spans="1:6" x14ac:dyDescent="0.15">
      <c r="A432" t="s">
        <v>1852</v>
      </c>
      <c r="B432" t="s">
        <v>30</v>
      </c>
      <c r="C432">
        <v>2.2887</v>
      </c>
      <c r="D432">
        <v>1.8743675448944814</v>
      </c>
    </row>
    <row r="433" spans="1:6" x14ac:dyDescent="0.15">
      <c r="A433" t="s">
        <v>1853</v>
      </c>
      <c r="B433" t="s">
        <v>30</v>
      </c>
      <c r="C433">
        <v>0.52</v>
      </c>
      <c r="D433">
        <v>1.05</v>
      </c>
    </row>
    <row r="434" spans="1:6" x14ac:dyDescent="0.15">
      <c r="A434" t="s">
        <v>1854</v>
      </c>
      <c r="B434" t="s">
        <v>30</v>
      </c>
      <c r="C434">
        <v>0.03</v>
      </c>
      <c r="D434">
        <v>1.8</v>
      </c>
    </row>
    <row r="435" spans="1:6" x14ac:dyDescent="0.15">
      <c r="A435" t="s">
        <v>1855</v>
      </c>
      <c r="B435" t="s">
        <v>30</v>
      </c>
      <c r="C435">
        <v>36</v>
      </c>
      <c r="D435">
        <v>0.15</v>
      </c>
    </row>
    <row r="436" spans="1:6" x14ac:dyDescent="0.15">
      <c r="A436" t="s">
        <v>1856</v>
      </c>
      <c r="B436" t="s">
        <v>30</v>
      </c>
      <c r="C436">
        <v>2.2999999999999998</v>
      </c>
      <c r="D436">
        <v>2</v>
      </c>
    </row>
    <row r="437" spans="1:6" x14ac:dyDescent="0.15">
      <c r="A437" t="s">
        <v>1857</v>
      </c>
      <c r="B437" t="s">
        <v>30</v>
      </c>
      <c r="C437">
        <v>40.819499999999998</v>
      </c>
      <c r="D437">
        <v>0.25</v>
      </c>
    </row>
    <row r="438" spans="1:6" x14ac:dyDescent="0.15">
      <c r="A438" t="s">
        <v>1858</v>
      </c>
      <c r="B438" t="s">
        <v>30</v>
      </c>
      <c r="C438">
        <v>13.113900000000001</v>
      </c>
      <c r="D438">
        <v>0.38964038157985037</v>
      </c>
    </row>
    <row r="439" spans="1:6" x14ac:dyDescent="0.15">
      <c r="A439" t="s">
        <v>1859</v>
      </c>
      <c r="B439" t="s">
        <v>30</v>
      </c>
      <c r="C439">
        <v>1.85</v>
      </c>
      <c r="D439">
        <v>1.6</v>
      </c>
    </row>
    <row r="440" spans="1:6" x14ac:dyDescent="0.15">
      <c r="A440" t="s">
        <v>1860</v>
      </c>
      <c r="B440" t="s">
        <v>30</v>
      </c>
      <c r="C440">
        <v>7.5029999999999999E-2</v>
      </c>
      <c r="D440">
        <v>0.51620685059309601</v>
      </c>
    </row>
    <row r="441" spans="1:6" x14ac:dyDescent="0.15">
      <c r="A441" t="s">
        <v>1861</v>
      </c>
      <c r="B441" t="s">
        <v>30</v>
      </c>
      <c r="C441">
        <v>26.308800000000002</v>
      </c>
      <c r="D441">
        <v>0.41</v>
      </c>
    </row>
    <row r="442" spans="1:6" x14ac:dyDescent="0.15">
      <c r="A442" t="s">
        <v>517</v>
      </c>
      <c r="B442" t="s">
        <v>30</v>
      </c>
      <c r="C442">
        <v>21.569999999999997</v>
      </c>
      <c r="D442">
        <v>1.0930433949612031</v>
      </c>
      <c r="E442">
        <v>11.131</v>
      </c>
      <c r="F442">
        <v>1.0930433949612031</v>
      </c>
    </row>
    <row r="443" spans="1:6" x14ac:dyDescent="0.15">
      <c r="A443" t="s">
        <v>1862</v>
      </c>
      <c r="B443" t="s">
        <v>30</v>
      </c>
      <c r="C443">
        <v>102.5</v>
      </c>
      <c r="D443">
        <v>0.29596097560975609</v>
      </c>
    </row>
    <row r="444" spans="1:6" x14ac:dyDescent="0.15">
      <c r="A444" t="s">
        <v>1863</v>
      </c>
      <c r="B444" t="s">
        <v>30</v>
      </c>
      <c r="C444">
        <v>0.79661232000000004</v>
      </c>
      <c r="D444">
        <v>0.23345707232527255</v>
      </c>
    </row>
    <row r="445" spans="1:6" x14ac:dyDescent="0.15">
      <c r="A445" t="s">
        <v>1864</v>
      </c>
      <c r="B445" t="s">
        <v>30</v>
      </c>
      <c r="C445">
        <v>6.3497000000000003</v>
      </c>
      <c r="D445">
        <v>0.6</v>
      </c>
    </row>
    <row r="446" spans="1:6" x14ac:dyDescent="0.15">
      <c r="A446" t="s">
        <v>1865</v>
      </c>
      <c r="B446" t="s">
        <v>30</v>
      </c>
      <c r="C446">
        <v>0.15875699999999998</v>
      </c>
      <c r="D446">
        <v>1.437141669343714</v>
      </c>
    </row>
    <row r="447" spans="1:6" x14ac:dyDescent="0.15">
      <c r="A447" t="s">
        <v>1866</v>
      </c>
      <c r="B447" t="s">
        <v>30</v>
      </c>
      <c r="C447">
        <v>2.5000000000000001E-2</v>
      </c>
      <c r="D447">
        <v>2.25</v>
      </c>
    </row>
    <row r="448" spans="1:6" x14ac:dyDescent="0.15">
      <c r="A448" t="s">
        <v>1867</v>
      </c>
      <c r="B448" t="s">
        <v>30</v>
      </c>
      <c r="C448">
        <v>0.32</v>
      </c>
      <c r="D448">
        <v>0.25</v>
      </c>
    </row>
    <row r="449" spans="1:6" x14ac:dyDescent="0.15">
      <c r="A449" t="s">
        <v>518</v>
      </c>
      <c r="B449" t="s">
        <v>30</v>
      </c>
      <c r="C449">
        <v>0.79120000000000001</v>
      </c>
      <c r="D449">
        <v>0.84963346814964591</v>
      </c>
      <c r="E449">
        <v>0.45235000000000003</v>
      </c>
      <c r="F449">
        <v>0.94696473969271577</v>
      </c>
    </row>
    <row r="450" spans="1:6" x14ac:dyDescent="0.15">
      <c r="A450" t="s">
        <v>1868</v>
      </c>
      <c r="B450" t="s">
        <v>30</v>
      </c>
      <c r="C450">
        <v>9</v>
      </c>
      <c r="D450">
        <v>1.1372222222222221</v>
      </c>
    </row>
    <row r="451" spans="1:6" x14ac:dyDescent="0.15">
      <c r="A451" t="s">
        <v>1869</v>
      </c>
      <c r="B451" t="s">
        <v>30</v>
      </c>
      <c r="C451">
        <v>0.86144599999999993</v>
      </c>
      <c r="D451">
        <v>0.30555391748292982</v>
      </c>
    </row>
    <row r="452" spans="1:6" x14ac:dyDescent="0.15">
      <c r="A452" t="s">
        <v>1870</v>
      </c>
      <c r="B452" t="s">
        <v>30</v>
      </c>
      <c r="C452">
        <v>0.9</v>
      </c>
      <c r="D452">
        <v>2.5</v>
      </c>
    </row>
    <row r="453" spans="1:6" x14ac:dyDescent="0.15">
      <c r="A453" t="s">
        <v>1871</v>
      </c>
      <c r="B453" t="s">
        <v>30</v>
      </c>
      <c r="C453">
        <v>4.4170000000000016</v>
      </c>
      <c r="D453">
        <v>0.15</v>
      </c>
    </row>
    <row r="454" spans="1:6" x14ac:dyDescent="0.15">
      <c r="A454" t="s">
        <v>1872</v>
      </c>
      <c r="B454" t="s">
        <v>30</v>
      </c>
      <c r="C454">
        <v>0.05</v>
      </c>
      <c r="D454">
        <v>4.7</v>
      </c>
    </row>
    <row r="455" spans="1:6" x14ac:dyDescent="0.15">
      <c r="A455" t="s">
        <v>1190</v>
      </c>
      <c r="B455" t="s">
        <v>30</v>
      </c>
      <c r="C455">
        <v>46</v>
      </c>
      <c r="D455">
        <v>0.99656521739130433</v>
      </c>
    </row>
    <row r="456" spans="1:6" x14ac:dyDescent="0.15">
      <c r="A456" t="s">
        <v>1873</v>
      </c>
      <c r="B456" t="s">
        <v>30</v>
      </c>
      <c r="C456">
        <v>15.832999999999998</v>
      </c>
      <c r="D456">
        <v>1.1881033284911262</v>
      </c>
    </row>
    <row r="457" spans="1:6" x14ac:dyDescent="0.15">
      <c r="A457" t="s">
        <v>1874</v>
      </c>
      <c r="B457" t="s">
        <v>30</v>
      </c>
      <c r="C457">
        <v>3.2</v>
      </c>
      <c r="D457">
        <v>0.65</v>
      </c>
    </row>
    <row r="458" spans="1:6" x14ac:dyDescent="0.15">
      <c r="A458" t="s">
        <v>519</v>
      </c>
      <c r="B458" t="s">
        <v>30</v>
      </c>
      <c r="C458">
        <v>1689.4</v>
      </c>
      <c r="D458">
        <v>0.50853675861252512</v>
      </c>
      <c r="E458">
        <v>528.1</v>
      </c>
      <c r="F458">
        <v>0.58391971217572425</v>
      </c>
    </row>
    <row r="459" spans="1:6" x14ac:dyDescent="0.15">
      <c r="A459" t="s">
        <v>1875</v>
      </c>
      <c r="B459" t="s">
        <v>30</v>
      </c>
      <c r="C459">
        <v>251.4</v>
      </c>
      <c r="D459">
        <v>0.27</v>
      </c>
    </row>
    <row r="460" spans="1:6" x14ac:dyDescent="0.15">
      <c r="A460" t="s">
        <v>1191</v>
      </c>
      <c r="B460" t="s">
        <v>30</v>
      </c>
      <c r="C460">
        <v>70.430000000000007</v>
      </c>
      <c r="D460">
        <v>0.21092091438307534</v>
      </c>
    </row>
    <row r="461" spans="1:6" x14ac:dyDescent="0.15">
      <c r="A461" t="s">
        <v>520</v>
      </c>
      <c r="B461" t="s">
        <v>30</v>
      </c>
      <c r="C461">
        <v>156.16499999999999</v>
      </c>
      <c r="D461">
        <v>0.34660836935292799</v>
      </c>
      <c r="E461">
        <v>86.561000000000007</v>
      </c>
      <c r="F461">
        <v>0.40040753919201488</v>
      </c>
    </row>
    <row r="462" spans="1:6" x14ac:dyDescent="0.15">
      <c r="A462" t="s">
        <v>521</v>
      </c>
      <c r="B462" t="s">
        <v>30</v>
      </c>
      <c r="C462">
        <v>1036.9295999999999</v>
      </c>
      <c r="D462">
        <v>0.24866141732283467</v>
      </c>
      <c r="E462">
        <v>671.32799999999997</v>
      </c>
      <c r="F462">
        <v>0.25732432432432428</v>
      </c>
    </row>
    <row r="463" spans="1:6" x14ac:dyDescent="0.15">
      <c r="A463" t="s">
        <v>1876</v>
      </c>
      <c r="B463" t="s">
        <v>30</v>
      </c>
      <c r="C463">
        <v>376.9</v>
      </c>
      <c r="D463">
        <v>0.1983139294242505</v>
      </c>
    </row>
    <row r="464" spans="1:6" x14ac:dyDescent="0.15">
      <c r="A464" t="s">
        <v>1877</v>
      </c>
      <c r="B464" t="s">
        <v>30</v>
      </c>
      <c r="C464">
        <v>30.38785</v>
      </c>
      <c r="D464">
        <v>0.38900000000000001</v>
      </c>
    </row>
    <row r="465" spans="1:6" x14ac:dyDescent="0.15">
      <c r="A465" t="s">
        <v>1878</v>
      </c>
      <c r="B465" t="s">
        <v>30</v>
      </c>
      <c r="C465">
        <v>0.45</v>
      </c>
      <c r="D465">
        <v>2.63</v>
      </c>
    </row>
    <row r="466" spans="1:6" x14ac:dyDescent="0.15">
      <c r="A466" t="s">
        <v>1879</v>
      </c>
      <c r="B466" t="s">
        <v>30</v>
      </c>
      <c r="C466">
        <v>1.7</v>
      </c>
      <c r="D466">
        <v>0.2</v>
      </c>
    </row>
    <row r="467" spans="1:6" x14ac:dyDescent="0.15">
      <c r="A467" t="s">
        <v>1880</v>
      </c>
      <c r="B467" t="s">
        <v>30</v>
      </c>
      <c r="C467">
        <v>0.31682871359999998</v>
      </c>
      <c r="D467">
        <v>1.18</v>
      </c>
    </row>
    <row r="468" spans="1:6" x14ac:dyDescent="0.15">
      <c r="A468" t="s">
        <v>1881</v>
      </c>
      <c r="B468" t="s">
        <v>30</v>
      </c>
      <c r="C468">
        <v>93</v>
      </c>
      <c r="D468">
        <v>0.30774193548387097</v>
      </c>
    </row>
    <row r="469" spans="1:6" x14ac:dyDescent="0.15">
      <c r="A469" t="s">
        <v>1882</v>
      </c>
      <c r="B469" t="s">
        <v>30</v>
      </c>
      <c r="C469">
        <v>0.20500000000000002</v>
      </c>
      <c r="D469">
        <v>0.53336585365853662</v>
      </c>
    </row>
    <row r="470" spans="1:6" x14ac:dyDescent="0.15">
      <c r="A470" t="s">
        <v>1883</v>
      </c>
      <c r="B470" t="s">
        <v>30</v>
      </c>
      <c r="C470">
        <v>0.38400000000000001</v>
      </c>
      <c r="D470">
        <v>1.0487500000000001</v>
      </c>
    </row>
    <row r="471" spans="1:6" x14ac:dyDescent="0.15">
      <c r="A471" t="s">
        <v>1884</v>
      </c>
      <c r="B471" t="s">
        <v>30</v>
      </c>
      <c r="C471">
        <v>38.007999999999996</v>
      </c>
      <c r="D471">
        <v>0.12</v>
      </c>
    </row>
    <row r="472" spans="1:6" x14ac:dyDescent="0.15">
      <c r="A472" t="s">
        <v>1885</v>
      </c>
      <c r="B472" t="s">
        <v>30</v>
      </c>
      <c r="C472">
        <v>87</v>
      </c>
      <c r="D472">
        <v>0.43103448275862066</v>
      </c>
    </row>
    <row r="473" spans="1:6" x14ac:dyDescent="0.15">
      <c r="A473" t="s">
        <v>1886</v>
      </c>
      <c r="B473" t="s">
        <v>30</v>
      </c>
      <c r="C473">
        <v>12.340300000000001</v>
      </c>
      <c r="D473">
        <v>0.17801568843545135</v>
      </c>
    </row>
    <row r="474" spans="1:6" x14ac:dyDescent="0.15">
      <c r="A474" t="s">
        <v>1887</v>
      </c>
      <c r="B474" t="s">
        <v>30</v>
      </c>
      <c r="C474">
        <v>2.27</v>
      </c>
      <c r="D474">
        <v>2.62</v>
      </c>
    </row>
    <row r="475" spans="1:6" x14ac:dyDescent="0.15">
      <c r="A475" t="s">
        <v>1888</v>
      </c>
      <c r="B475" t="s">
        <v>30</v>
      </c>
      <c r="C475">
        <v>1674.2479999999998</v>
      </c>
      <c r="D475">
        <v>0.22705737740167528</v>
      </c>
    </row>
    <row r="476" spans="1:6" x14ac:dyDescent="0.15">
      <c r="A476" t="s">
        <v>522</v>
      </c>
      <c r="B476" t="s">
        <v>30</v>
      </c>
      <c r="C476">
        <v>1.8680000000000001</v>
      </c>
      <c r="D476">
        <v>9.6552462526766594E-2</v>
      </c>
      <c r="E476">
        <v>1.701028</v>
      </c>
      <c r="F476">
        <v>0.08</v>
      </c>
    </row>
    <row r="477" spans="1:6" x14ac:dyDescent="0.15">
      <c r="A477" t="s">
        <v>1889</v>
      </c>
      <c r="B477" t="s">
        <v>30</v>
      </c>
      <c r="C477">
        <v>0.52384900000000001</v>
      </c>
      <c r="D477">
        <v>1.45</v>
      </c>
    </row>
    <row r="478" spans="1:6" x14ac:dyDescent="0.15">
      <c r="A478" t="s">
        <v>1890</v>
      </c>
      <c r="B478" t="s">
        <v>30</v>
      </c>
      <c r="C478">
        <v>3.6287E-2</v>
      </c>
      <c r="D478">
        <v>0.05</v>
      </c>
    </row>
    <row r="479" spans="1:6" x14ac:dyDescent="0.15">
      <c r="A479" t="s">
        <v>1891</v>
      </c>
      <c r="B479" t="s">
        <v>30</v>
      </c>
      <c r="C479">
        <v>24.33184</v>
      </c>
      <c r="D479">
        <v>1.08</v>
      </c>
    </row>
    <row r="480" spans="1:6" x14ac:dyDescent="0.15">
      <c r="A480" t="s">
        <v>1892</v>
      </c>
      <c r="B480" t="s">
        <v>30</v>
      </c>
      <c r="C480">
        <v>14</v>
      </c>
      <c r="D480">
        <v>2.5</v>
      </c>
    </row>
    <row r="481" spans="1:6" x14ac:dyDescent="0.15">
      <c r="A481" t="s">
        <v>523</v>
      </c>
      <c r="B481" t="s">
        <v>30</v>
      </c>
      <c r="C481">
        <v>2040.4</v>
      </c>
      <c r="D481">
        <v>0.26902862183885506</v>
      </c>
      <c r="E481">
        <v>577.20000000000005</v>
      </c>
      <c r="F481">
        <v>0.29535343035343037</v>
      </c>
    </row>
    <row r="482" spans="1:6" x14ac:dyDescent="0.15">
      <c r="A482" t="s">
        <v>1893</v>
      </c>
      <c r="B482" t="s">
        <v>30</v>
      </c>
      <c r="C482">
        <v>9.2710000000000008</v>
      </c>
      <c r="D482">
        <v>0.08</v>
      </c>
    </row>
    <row r="483" spans="1:6" x14ac:dyDescent="0.15">
      <c r="A483" t="s">
        <v>1894</v>
      </c>
      <c r="B483" t="s">
        <v>30</v>
      </c>
      <c r="C483">
        <v>101.36370000000001</v>
      </c>
      <c r="D483">
        <v>0.18567034352534487</v>
      </c>
    </row>
    <row r="484" spans="1:6" x14ac:dyDescent="0.15">
      <c r="A484" t="s">
        <v>524</v>
      </c>
      <c r="B484" t="s">
        <v>30</v>
      </c>
      <c r="C484">
        <v>240.88434300000003</v>
      </c>
      <c r="D484">
        <v>0.30069912631473927</v>
      </c>
      <c r="E484">
        <v>35.394238999999999</v>
      </c>
      <c r="F484">
        <v>0.32738215603392407</v>
      </c>
    </row>
    <row r="485" spans="1:6" x14ac:dyDescent="0.15">
      <c r="A485" t="s">
        <v>525</v>
      </c>
      <c r="B485" t="s">
        <v>30</v>
      </c>
      <c r="C485">
        <v>7.7129999999999992</v>
      </c>
      <c r="D485">
        <v>1.5400881628419552</v>
      </c>
      <c r="E485">
        <v>6.3019999999999996</v>
      </c>
      <c r="F485">
        <v>1.66</v>
      </c>
    </row>
    <row r="486" spans="1:6" x14ac:dyDescent="0.15">
      <c r="A486" t="s">
        <v>1895</v>
      </c>
      <c r="B486" t="s">
        <v>30</v>
      </c>
      <c r="C486">
        <v>1.05</v>
      </c>
      <c r="D486">
        <v>1.9188952380952384</v>
      </c>
    </row>
    <row r="487" spans="1:6" x14ac:dyDescent="0.15">
      <c r="A487" t="s">
        <v>526</v>
      </c>
      <c r="B487" t="s">
        <v>30</v>
      </c>
      <c r="C487">
        <v>23.259999999999998</v>
      </c>
      <c r="D487">
        <v>0.73491272570937249</v>
      </c>
      <c r="E487">
        <v>15.285</v>
      </c>
      <c r="F487">
        <v>0.72</v>
      </c>
    </row>
    <row r="488" spans="1:6" x14ac:dyDescent="0.15">
      <c r="A488" t="s">
        <v>1896</v>
      </c>
      <c r="B488" t="s">
        <v>30</v>
      </c>
      <c r="C488">
        <v>0.48</v>
      </c>
      <c r="D488">
        <v>1.7568750000000002</v>
      </c>
    </row>
    <row r="489" spans="1:6" x14ac:dyDescent="0.15">
      <c r="A489" t="s">
        <v>527</v>
      </c>
      <c r="B489" t="s">
        <v>30</v>
      </c>
      <c r="C489">
        <v>1.397</v>
      </c>
      <c r="D489">
        <v>4.1684681460272008</v>
      </c>
      <c r="E489">
        <v>1.194</v>
      </c>
      <c r="F489">
        <v>4.09</v>
      </c>
    </row>
    <row r="490" spans="1:6" x14ac:dyDescent="0.15">
      <c r="A490" t="s">
        <v>1897</v>
      </c>
      <c r="B490" t="s">
        <v>30</v>
      </c>
      <c r="C490">
        <v>6.62</v>
      </c>
      <c r="D490">
        <v>1.88</v>
      </c>
    </row>
    <row r="491" spans="1:6" x14ac:dyDescent="0.15">
      <c r="A491" t="s">
        <v>1898</v>
      </c>
      <c r="B491" t="s">
        <v>30</v>
      </c>
      <c r="C491">
        <v>1.357</v>
      </c>
      <c r="D491">
        <v>1.060611643330877</v>
      </c>
    </row>
    <row r="492" spans="1:6" x14ac:dyDescent="0.15">
      <c r="A492" t="s">
        <v>1899</v>
      </c>
      <c r="B492" t="s">
        <v>30</v>
      </c>
      <c r="C492">
        <v>1977.42</v>
      </c>
      <c r="D492">
        <v>0.10835361228267136</v>
      </c>
    </row>
    <row r="493" spans="1:6" x14ac:dyDescent="0.15">
      <c r="A493" t="s">
        <v>1900</v>
      </c>
      <c r="B493" t="s">
        <v>30</v>
      </c>
      <c r="C493">
        <v>4.5618629999999998</v>
      </c>
      <c r="D493">
        <v>1.48</v>
      </c>
    </row>
    <row r="494" spans="1:6" x14ac:dyDescent="0.15">
      <c r="A494" t="s">
        <v>1901</v>
      </c>
      <c r="B494" t="s">
        <v>30</v>
      </c>
      <c r="C494">
        <v>0.68266799999999994</v>
      </c>
      <c r="D494">
        <v>1.0715946843853823</v>
      </c>
    </row>
    <row r="495" spans="1:6" x14ac:dyDescent="0.15">
      <c r="A495" t="s">
        <v>1902</v>
      </c>
      <c r="B495" t="s">
        <v>30</v>
      </c>
      <c r="C495">
        <v>0.12</v>
      </c>
      <c r="D495">
        <v>1.7</v>
      </c>
    </row>
    <row r="496" spans="1:6" x14ac:dyDescent="0.15">
      <c r="A496" t="s">
        <v>1903</v>
      </c>
      <c r="B496" t="s">
        <v>30</v>
      </c>
      <c r="C496">
        <v>45.372999999999998</v>
      </c>
      <c r="D496">
        <v>0.47</v>
      </c>
    </row>
    <row r="497" spans="1:6" x14ac:dyDescent="0.15">
      <c r="A497" t="s">
        <v>1904</v>
      </c>
      <c r="B497" t="s">
        <v>30</v>
      </c>
      <c r="C497">
        <v>2.4</v>
      </c>
      <c r="D497">
        <v>0.4</v>
      </c>
    </row>
    <row r="498" spans="1:6" x14ac:dyDescent="0.15">
      <c r="A498" t="s">
        <v>1905</v>
      </c>
      <c r="B498" t="s">
        <v>30</v>
      </c>
      <c r="C498">
        <v>14.6</v>
      </c>
      <c r="D498">
        <v>2.2999999999999998</v>
      </c>
    </row>
    <row r="499" spans="1:6" x14ac:dyDescent="0.15">
      <c r="A499" t="s">
        <v>1906</v>
      </c>
      <c r="B499" t="s">
        <v>30</v>
      </c>
      <c r="C499">
        <v>2.74</v>
      </c>
      <c r="D499">
        <v>1.26</v>
      </c>
    </row>
    <row r="500" spans="1:6" x14ac:dyDescent="0.15">
      <c r="A500" t="s">
        <v>1907</v>
      </c>
      <c r="B500" t="s">
        <v>30</v>
      </c>
      <c r="C500">
        <v>20</v>
      </c>
      <c r="D500">
        <v>0.19</v>
      </c>
    </row>
    <row r="501" spans="1:6" x14ac:dyDescent="0.15">
      <c r="A501" t="s">
        <v>1908</v>
      </c>
      <c r="B501" t="s">
        <v>30</v>
      </c>
      <c r="C501">
        <v>30.4</v>
      </c>
      <c r="D501">
        <v>0.39</v>
      </c>
    </row>
    <row r="502" spans="1:6" x14ac:dyDescent="0.15">
      <c r="A502" t="s">
        <v>1909</v>
      </c>
      <c r="B502" t="s">
        <v>30</v>
      </c>
      <c r="C502">
        <v>0.25</v>
      </c>
      <c r="D502">
        <v>3.4</v>
      </c>
    </row>
    <row r="503" spans="1:6" x14ac:dyDescent="0.15">
      <c r="A503" t="s">
        <v>1910</v>
      </c>
      <c r="B503" t="s">
        <v>30</v>
      </c>
      <c r="C503">
        <v>5.04</v>
      </c>
      <c r="D503">
        <v>1.03</v>
      </c>
    </row>
    <row r="504" spans="1:6" x14ac:dyDescent="0.15">
      <c r="A504" t="s">
        <v>528</v>
      </c>
      <c r="B504" t="s">
        <v>30</v>
      </c>
      <c r="C504">
        <v>348.79</v>
      </c>
      <c r="D504">
        <v>0.31146973823790819</v>
      </c>
      <c r="E504">
        <v>100.373</v>
      </c>
      <c r="F504">
        <v>0.28000000000000003</v>
      </c>
    </row>
    <row r="505" spans="1:6" x14ac:dyDescent="0.15">
      <c r="A505" t="s">
        <v>1181</v>
      </c>
      <c r="B505" t="s">
        <v>30</v>
      </c>
      <c r="C505">
        <v>14.454837999999999</v>
      </c>
      <c r="D505">
        <v>0.23158038159957242</v>
      </c>
    </row>
    <row r="506" spans="1:6" x14ac:dyDescent="0.15">
      <c r="A506" t="s">
        <v>529</v>
      </c>
      <c r="B506" t="s">
        <v>30</v>
      </c>
      <c r="C506">
        <v>17.899999999999999</v>
      </c>
      <c r="D506">
        <v>1.982905027932961</v>
      </c>
      <c r="E506">
        <v>10.29</v>
      </c>
      <c r="F506">
        <v>1.9494460641399418</v>
      </c>
    </row>
    <row r="507" spans="1:6" x14ac:dyDescent="0.15">
      <c r="A507" t="s">
        <v>1911</v>
      </c>
      <c r="B507" t="s">
        <v>30</v>
      </c>
      <c r="C507">
        <v>9.0689999999999991</v>
      </c>
      <c r="D507">
        <v>8.8870878817951249E-2</v>
      </c>
    </row>
    <row r="508" spans="1:6" x14ac:dyDescent="0.15">
      <c r="A508" t="s">
        <v>1912</v>
      </c>
      <c r="B508" t="s">
        <v>30</v>
      </c>
      <c r="C508">
        <v>105.5</v>
      </c>
      <c r="D508">
        <v>0.09</v>
      </c>
    </row>
    <row r="509" spans="1:6" x14ac:dyDescent="0.15">
      <c r="A509" t="s">
        <v>1913</v>
      </c>
      <c r="B509" t="s">
        <v>30</v>
      </c>
      <c r="C509">
        <v>0.104328</v>
      </c>
      <c r="D509">
        <v>1.5</v>
      </c>
    </row>
    <row r="510" spans="1:6" x14ac:dyDescent="0.15">
      <c r="A510" t="s">
        <v>1914</v>
      </c>
      <c r="B510" t="s">
        <v>30</v>
      </c>
      <c r="C510">
        <v>5446.1429999999991</v>
      </c>
      <c r="D510">
        <v>0.20984946594314549</v>
      </c>
    </row>
    <row r="511" spans="1:6" x14ac:dyDescent="0.15">
      <c r="A511" t="s">
        <v>1915</v>
      </c>
      <c r="B511" t="s">
        <v>30</v>
      </c>
      <c r="C511">
        <v>20.100000000000001</v>
      </c>
      <c r="D511">
        <v>0.9</v>
      </c>
    </row>
    <row r="512" spans="1:6" x14ac:dyDescent="0.15">
      <c r="A512" t="s">
        <v>530</v>
      </c>
      <c r="B512" t="s">
        <v>30</v>
      </c>
      <c r="C512">
        <v>46.773691999999997</v>
      </c>
      <c r="D512">
        <v>1.5241965397984834</v>
      </c>
      <c r="E512">
        <v>10.441160999999999</v>
      </c>
      <c r="F512">
        <v>2.0099999999999998</v>
      </c>
    </row>
    <row r="513" spans="1:6" x14ac:dyDescent="0.15">
      <c r="A513" t="s">
        <v>1916</v>
      </c>
      <c r="B513" t="s">
        <v>30</v>
      </c>
      <c r="C513">
        <v>539.20000000000005</v>
      </c>
      <c r="D513">
        <v>0.20743323442136499</v>
      </c>
    </row>
    <row r="514" spans="1:6" x14ac:dyDescent="0.15">
      <c r="A514" t="s">
        <v>1917</v>
      </c>
      <c r="B514" t="s">
        <v>30</v>
      </c>
      <c r="C514">
        <v>7.18</v>
      </c>
      <c r="D514">
        <v>0.17</v>
      </c>
    </row>
    <row r="515" spans="1:6" x14ac:dyDescent="0.15">
      <c r="A515" t="s">
        <v>1918</v>
      </c>
      <c r="B515" t="s">
        <v>30</v>
      </c>
      <c r="C515">
        <v>0.452778984</v>
      </c>
      <c r="D515">
        <v>1.0402357266652642</v>
      </c>
    </row>
    <row r="516" spans="1:6" x14ac:dyDescent="0.15">
      <c r="A516" t="s">
        <v>531</v>
      </c>
      <c r="B516" t="s">
        <v>30</v>
      </c>
      <c r="C516">
        <v>106.78400000000001</v>
      </c>
      <c r="D516">
        <v>5.9855931124662962E-2</v>
      </c>
      <c r="E516">
        <v>20.367000000000001</v>
      </c>
      <c r="F516">
        <v>5.9855931124662962E-2</v>
      </c>
    </row>
    <row r="517" spans="1:6" x14ac:dyDescent="0.15">
      <c r="A517" t="s">
        <v>1919</v>
      </c>
      <c r="B517" t="s">
        <v>30</v>
      </c>
      <c r="C517">
        <v>3.0909999999999997</v>
      </c>
      <c r="D517">
        <v>0.4706405693950178</v>
      </c>
    </row>
    <row r="518" spans="1:6" x14ac:dyDescent="0.15">
      <c r="A518" t="s">
        <v>532</v>
      </c>
      <c r="B518" t="s">
        <v>30</v>
      </c>
      <c r="C518">
        <v>1.2383799999999998</v>
      </c>
      <c r="D518">
        <v>0.58422541546213602</v>
      </c>
      <c r="E518">
        <v>0.318</v>
      </c>
      <c r="F518">
        <v>0.58349056603773586</v>
      </c>
    </row>
    <row r="519" spans="1:6" x14ac:dyDescent="0.15">
      <c r="A519" t="s">
        <v>533</v>
      </c>
      <c r="B519" t="s">
        <v>30</v>
      </c>
      <c r="C519">
        <v>3.56</v>
      </c>
      <c r="D519">
        <v>0.74502808988764058</v>
      </c>
      <c r="E519">
        <v>1.98</v>
      </c>
      <c r="F519">
        <v>0.67</v>
      </c>
    </row>
    <row r="520" spans="1:6" x14ac:dyDescent="0.15">
      <c r="A520" t="s">
        <v>1920</v>
      </c>
      <c r="B520" t="s">
        <v>30</v>
      </c>
      <c r="C520">
        <v>1.8163</v>
      </c>
      <c r="D520">
        <v>0.9947007652920774</v>
      </c>
    </row>
    <row r="521" spans="1:6" x14ac:dyDescent="0.15">
      <c r="A521" t="s">
        <v>534</v>
      </c>
      <c r="B521" t="s">
        <v>30</v>
      </c>
      <c r="C521">
        <v>34.203999999999994</v>
      </c>
      <c r="D521">
        <v>0.2360408139398901</v>
      </c>
      <c r="E521">
        <v>18.22</v>
      </c>
      <c r="F521">
        <v>0.23758507135016468</v>
      </c>
    </row>
    <row r="522" spans="1:6" x14ac:dyDescent="0.15">
      <c r="A522" t="s">
        <v>1921</v>
      </c>
      <c r="B522" t="s">
        <v>30</v>
      </c>
      <c r="C522">
        <v>3.79</v>
      </c>
      <c r="D522">
        <v>0.4241688654353562</v>
      </c>
    </row>
    <row r="523" spans="1:6" x14ac:dyDescent="0.15">
      <c r="A523" t="s">
        <v>1922</v>
      </c>
      <c r="B523" t="s">
        <v>30</v>
      </c>
      <c r="C523">
        <v>0.31748500000000002</v>
      </c>
      <c r="D523">
        <v>1.6</v>
      </c>
    </row>
    <row r="524" spans="1:6" x14ac:dyDescent="0.15">
      <c r="A524" t="s">
        <v>1923</v>
      </c>
      <c r="B524" t="s">
        <v>30</v>
      </c>
      <c r="C524">
        <v>0.74</v>
      </c>
      <c r="D524">
        <v>1.88</v>
      </c>
    </row>
    <row r="525" spans="1:6" x14ac:dyDescent="0.15">
      <c r="A525" t="s">
        <v>1924</v>
      </c>
      <c r="B525" t="s">
        <v>30</v>
      </c>
      <c r="C525">
        <v>11.8</v>
      </c>
      <c r="D525">
        <v>0.3</v>
      </c>
    </row>
    <row r="526" spans="1:6" x14ac:dyDescent="0.15">
      <c r="A526" t="s">
        <v>1925</v>
      </c>
      <c r="B526" t="s">
        <v>30</v>
      </c>
      <c r="C526">
        <v>0.32</v>
      </c>
      <c r="D526">
        <v>0.6</v>
      </c>
    </row>
    <row r="527" spans="1:6" x14ac:dyDescent="0.15">
      <c r="A527" t="s">
        <v>1926</v>
      </c>
      <c r="B527" t="s">
        <v>30</v>
      </c>
      <c r="C527">
        <v>7.3446989999999994</v>
      </c>
      <c r="D527">
        <v>1.8077087783992238</v>
      </c>
    </row>
    <row r="528" spans="1:6" x14ac:dyDescent="0.15">
      <c r="A528" t="s">
        <v>1927</v>
      </c>
      <c r="B528" t="s">
        <v>30</v>
      </c>
      <c r="C528">
        <v>5</v>
      </c>
      <c r="D528">
        <v>0.33</v>
      </c>
    </row>
    <row r="529" spans="1:6" x14ac:dyDescent="0.15">
      <c r="A529" t="s">
        <v>535</v>
      </c>
      <c r="B529" t="s">
        <v>30</v>
      </c>
      <c r="C529">
        <v>12.100864999999999</v>
      </c>
      <c r="D529">
        <v>0.44657104182221691</v>
      </c>
      <c r="E529">
        <v>0.75583000000000022</v>
      </c>
      <c r="F529">
        <v>1.4182517761930589</v>
      </c>
    </row>
    <row r="530" spans="1:6" x14ac:dyDescent="0.15">
      <c r="A530" t="s">
        <v>1928</v>
      </c>
      <c r="B530" t="s">
        <v>30</v>
      </c>
      <c r="C530">
        <v>1.32</v>
      </c>
      <c r="D530">
        <v>0.87</v>
      </c>
    </row>
    <row r="531" spans="1:6" x14ac:dyDescent="0.15">
      <c r="A531" t="s">
        <v>1929</v>
      </c>
      <c r="B531" t="s">
        <v>30</v>
      </c>
      <c r="C531">
        <v>179.363</v>
      </c>
      <c r="D531">
        <v>0.03</v>
      </c>
    </row>
    <row r="532" spans="1:6" x14ac:dyDescent="0.15">
      <c r="A532" t="s">
        <v>1930</v>
      </c>
      <c r="B532" t="s">
        <v>30</v>
      </c>
      <c r="C532">
        <v>0.48499999999999999</v>
      </c>
      <c r="D532">
        <v>0.92657731958762879</v>
      </c>
    </row>
    <row r="533" spans="1:6" x14ac:dyDescent="0.15">
      <c r="A533" t="s">
        <v>1931</v>
      </c>
      <c r="B533" t="s">
        <v>30</v>
      </c>
      <c r="C533">
        <v>31.94</v>
      </c>
      <c r="D533">
        <v>0.66</v>
      </c>
    </row>
    <row r="534" spans="1:6" x14ac:dyDescent="0.15">
      <c r="A534" t="s">
        <v>1932</v>
      </c>
      <c r="B534" t="s">
        <v>30</v>
      </c>
      <c r="C534">
        <v>151</v>
      </c>
      <c r="D534">
        <v>0.23762251655629138</v>
      </c>
    </row>
    <row r="535" spans="1:6" x14ac:dyDescent="0.15">
      <c r="A535" t="s">
        <v>1933</v>
      </c>
      <c r="B535" t="s">
        <v>30</v>
      </c>
      <c r="C535">
        <v>27.75</v>
      </c>
      <c r="D535">
        <v>0.33757477477477482</v>
      </c>
    </row>
    <row r="536" spans="1:6" x14ac:dyDescent="0.15">
      <c r="A536" t="s">
        <v>1934</v>
      </c>
      <c r="B536" t="s">
        <v>30</v>
      </c>
      <c r="C536">
        <v>4.3769999999999998</v>
      </c>
      <c r="D536">
        <v>1.1801165181631257</v>
      </c>
    </row>
    <row r="537" spans="1:6" x14ac:dyDescent="0.15">
      <c r="A537" t="s">
        <v>1935</v>
      </c>
      <c r="B537" t="s">
        <v>30</v>
      </c>
      <c r="C537">
        <v>0.19899999999999998</v>
      </c>
      <c r="D537">
        <v>1.9648743718592967</v>
      </c>
    </row>
    <row r="538" spans="1:6" x14ac:dyDescent="0.15">
      <c r="A538" t="s">
        <v>1936</v>
      </c>
      <c r="B538" t="s">
        <v>30</v>
      </c>
      <c r="C538">
        <v>11.21</v>
      </c>
      <c r="D538">
        <v>0.39918822479928628</v>
      </c>
    </row>
    <row r="539" spans="1:6" x14ac:dyDescent="0.15">
      <c r="A539" t="s">
        <v>1937</v>
      </c>
      <c r="B539" t="s">
        <v>30</v>
      </c>
      <c r="C539">
        <v>0.20399999999999999</v>
      </c>
      <c r="D539">
        <v>1.6</v>
      </c>
    </row>
    <row r="540" spans="1:6" x14ac:dyDescent="0.15">
      <c r="A540" t="s">
        <v>1938</v>
      </c>
      <c r="B540" t="s">
        <v>30</v>
      </c>
      <c r="C540">
        <v>453.42200000000003</v>
      </c>
      <c r="D540">
        <v>4.7741132984283959E-2</v>
      </c>
    </row>
    <row r="541" spans="1:6" x14ac:dyDescent="0.15">
      <c r="A541" t="s">
        <v>1939</v>
      </c>
      <c r="B541" t="s">
        <v>30</v>
      </c>
      <c r="C541">
        <v>20.042000000000002</v>
      </c>
      <c r="D541">
        <v>0.57677377507234795</v>
      </c>
    </row>
    <row r="542" spans="1:6" x14ac:dyDescent="0.15">
      <c r="A542" t="s">
        <v>1940</v>
      </c>
      <c r="B542" t="s">
        <v>30</v>
      </c>
      <c r="C542">
        <v>181</v>
      </c>
      <c r="D542">
        <v>0.28000000000000003</v>
      </c>
    </row>
    <row r="543" spans="1:6" x14ac:dyDescent="0.15">
      <c r="A543" t="s">
        <v>1941</v>
      </c>
      <c r="B543" t="s">
        <v>30</v>
      </c>
      <c r="C543">
        <v>3.1219999999999999</v>
      </c>
      <c r="D543">
        <v>1.7619730941704035</v>
      </c>
    </row>
    <row r="544" spans="1:6" x14ac:dyDescent="0.15">
      <c r="A544" t="s">
        <v>1942</v>
      </c>
      <c r="B544" t="s">
        <v>30</v>
      </c>
      <c r="C544">
        <v>1.219535</v>
      </c>
      <c r="D544">
        <v>1.5467869310843885</v>
      </c>
    </row>
    <row r="545" spans="1:6" x14ac:dyDescent="0.15">
      <c r="A545" t="s">
        <v>536</v>
      </c>
      <c r="B545" t="s">
        <v>30</v>
      </c>
      <c r="C545">
        <v>201.761</v>
      </c>
      <c r="D545">
        <v>0.10037797559693239</v>
      </c>
      <c r="E545">
        <v>91.447000000000003</v>
      </c>
      <c r="F545">
        <v>0.10037797559693239</v>
      </c>
    </row>
    <row r="546" spans="1:6" x14ac:dyDescent="0.15">
      <c r="A546" t="s">
        <v>1943</v>
      </c>
      <c r="B546" t="s">
        <v>30</v>
      </c>
      <c r="C546">
        <v>14.35</v>
      </c>
      <c r="D546">
        <v>1.1033101045296168</v>
      </c>
    </row>
    <row r="547" spans="1:6" x14ac:dyDescent="0.15">
      <c r="A547" t="s">
        <v>1944</v>
      </c>
      <c r="B547" t="s">
        <v>30</v>
      </c>
      <c r="C547">
        <v>0.226796</v>
      </c>
      <c r="D547">
        <v>1</v>
      </c>
    </row>
    <row r="548" spans="1:6" x14ac:dyDescent="0.15">
      <c r="A548" t="s">
        <v>1195</v>
      </c>
      <c r="B548" t="s">
        <v>30</v>
      </c>
      <c r="C548">
        <v>7.8630000000000004</v>
      </c>
      <c r="D548">
        <v>0.12449955487727331</v>
      </c>
    </row>
    <row r="549" spans="1:6" x14ac:dyDescent="0.15">
      <c r="A549" t="s">
        <v>1196</v>
      </c>
      <c r="B549" t="s">
        <v>30</v>
      </c>
      <c r="C549">
        <v>33.199999999999996</v>
      </c>
      <c r="D549">
        <v>0.43798192771084343</v>
      </c>
    </row>
    <row r="550" spans="1:6" x14ac:dyDescent="0.15">
      <c r="A550" t="s">
        <v>1945</v>
      </c>
      <c r="B550" t="s">
        <v>30</v>
      </c>
      <c r="C550">
        <v>3.2652E-2</v>
      </c>
      <c r="D550">
        <v>0.32500000000000001</v>
      </c>
    </row>
    <row r="551" spans="1:6" x14ac:dyDescent="0.15">
      <c r="A551" t="s">
        <v>1946</v>
      </c>
      <c r="B551" t="s">
        <v>30</v>
      </c>
      <c r="C551">
        <v>29.4</v>
      </c>
      <c r="D551">
        <v>1.2078231292517008</v>
      </c>
    </row>
    <row r="552" spans="1:6" x14ac:dyDescent="0.15">
      <c r="A552" t="s">
        <v>1947</v>
      </c>
      <c r="B552" t="s">
        <v>30</v>
      </c>
      <c r="C552">
        <v>1.7880912</v>
      </c>
      <c r="D552">
        <v>0.7409284627092847</v>
      </c>
    </row>
    <row r="553" spans="1:6" x14ac:dyDescent="0.15">
      <c r="A553" t="s">
        <v>537</v>
      </c>
      <c r="B553" t="s">
        <v>30</v>
      </c>
      <c r="C553">
        <v>70.289999999999992</v>
      </c>
      <c r="D553">
        <v>0.98583895290937551</v>
      </c>
      <c r="E553">
        <v>5.4729999999999999</v>
      </c>
      <c r="F553">
        <v>1.87</v>
      </c>
    </row>
    <row r="554" spans="1:6" x14ac:dyDescent="0.15">
      <c r="A554" t="s">
        <v>1948</v>
      </c>
      <c r="B554" t="s">
        <v>30</v>
      </c>
      <c r="C554">
        <v>3</v>
      </c>
      <c r="D554">
        <v>0.6</v>
      </c>
    </row>
    <row r="555" spans="1:6" x14ac:dyDescent="0.15">
      <c r="A555" t="s">
        <v>1949</v>
      </c>
      <c r="B555" t="s">
        <v>30</v>
      </c>
      <c r="C555">
        <v>0.18099999999999999</v>
      </c>
      <c r="D555">
        <v>1.7</v>
      </c>
    </row>
    <row r="556" spans="1:6" x14ac:dyDescent="0.15">
      <c r="A556" t="s">
        <v>1950</v>
      </c>
      <c r="B556" t="s">
        <v>30</v>
      </c>
      <c r="C556">
        <v>198.780384</v>
      </c>
      <c r="D556">
        <v>3.2907915340378867E-2</v>
      </c>
    </row>
    <row r="557" spans="1:6" x14ac:dyDescent="0.15">
      <c r="A557" t="s">
        <v>1951</v>
      </c>
      <c r="B557" t="s">
        <v>30</v>
      </c>
      <c r="C557">
        <v>0.05</v>
      </c>
      <c r="D557">
        <v>2</v>
      </c>
    </row>
    <row r="558" spans="1:6" x14ac:dyDescent="0.15">
      <c r="A558" t="s">
        <v>1952</v>
      </c>
      <c r="B558" t="s">
        <v>30</v>
      </c>
      <c r="C558">
        <v>0.40728799999999998</v>
      </c>
      <c r="D558">
        <v>0.65</v>
      </c>
    </row>
    <row r="559" spans="1:6" x14ac:dyDescent="0.15">
      <c r="A559" t="s">
        <v>538</v>
      </c>
      <c r="B559" t="s">
        <v>30</v>
      </c>
      <c r="C559">
        <v>633.69999999999993</v>
      </c>
      <c r="D559">
        <v>0.18790942086160645</v>
      </c>
      <c r="E559">
        <v>506.4</v>
      </c>
      <c r="F559">
        <v>0.19598183254344392</v>
      </c>
    </row>
    <row r="560" spans="1:6" x14ac:dyDescent="0.15">
      <c r="A560" t="s">
        <v>1953</v>
      </c>
      <c r="B560" t="s">
        <v>30</v>
      </c>
      <c r="C560">
        <v>15.2</v>
      </c>
      <c r="D560">
        <v>0.05</v>
      </c>
    </row>
    <row r="561" spans="1:6" x14ac:dyDescent="0.15">
      <c r="A561" t="s">
        <v>539</v>
      </c>
      <c r="B561" t="s">
        <v>30</v>
      </c>
      <c r="C561">
        <v>436.61690900000002</v>
      </c>
      <c r="D561">
        <v>0.27614898497666751</v>
      </c>
      <c r="E561">
        <v>79.672018999999992</v>
      </c>
      <c r="F561">
        <v>0.29356048415190777</v>
      </c>
    </row>
    <row r="562" spans="1:6" x14ac:dyDescent="0.15">
      <c r="A562" t="s">
        <v>1954</v>
      </c>
      <c r="B562" t="s">
        <v>30</v>
      </c>
      <c r="C562">
        <v>0.85601799999999995</v>
      </c>
      <c r="D562">
        <v>0.7485710113572378</v>
      </c>
    </row>
    <row r="563" spans="1:6" x14ac:dyDescent="0.15">
      <c r="A563" t="s">
        <v>1955</v>
      </c>
      <c r="B563" t="s">
        <v>30</v>
      </c>
      <c r="C563">
        <v>0.32540000000000002</v>
      </c>
      <c r="D563">
        <v>0.10199999999999999</v>
      </c>
    </row>
    <row r="564" spans="1:6" x14ac:dyDescent="0.15">
      <c r="A564" t="s">
        <v>1956</v>
      </c>
      <c r="B564" t="s">
        <v>30</v>
      </c>
      <c r="C564">
        <v>20.704999999999998</v>
      </c>
      <c r="D564">
        <v>0.45292344844240523</v>
      </c>
    </row>
    <row r="565" spans="1:6" x14ac:dyDescent="0.15">
      <c r="A565" t="s">
        <v>540</v>
      </c>
      <c r="B565" t="s">
        <v>30</v>
      </c>
      <c r="C565">
        <v>9.75</v>
      </c>
      <c r="D565">
        <v>0.8917846153846154</v>
      </c>
      <c r="E565">
        <v>4.66</v>
      </c>
      <c r="F565">
        <v>0.95</v>
      </c>
    </row>
    <row r="566" spans="1:6" x14ac:dyDescent="0.15">
      <c r="A566" t="s">
        <v>1957</v>
      </c>
      <c r="B566" t="s">
        <v>30</v>
      </c>
      <c r="C566">
        <v>0.57000000000000006</v>
      </c>
      <c r="D566">
        <v>0.79</v>
      </c>
    </row>
    <row r="567" spans="1:6" x14ac:dyDescent="0.15">
      <c r="A567" t="s">
        <v>541</v>
      </c>
      <c r="B567" t="s">
        <v>30</v>
      </c>
      <c r="C567">
        <v>131.95599999999999</v>
      </c>
      <c r="D567">
        <v>0.76611188578010858</v>
      </c>
      <c r="E567">
        <v>61.55</v>
      </c>
      <c r="F567">
        <v>0.82</v>
      </c>
    </row>
    <row r="568" spans="1:6" x14ac:dyDescent="0.15">
      <c r="A568" t="s">
        <v>1958</v>
      </c>
      <c r="B568" t="s">
        <v>30</v>
      </c>
      <c r="C568">
        <v>18.100000000000001</v>
      </c>
      <c r="D568">
        <v>0.5</v>
      </c>
    </row>
    <row r="569" spans="1:6" x14ac:dyDescent="0.15">
      <c r="A569" t="s">
        <v>1959</v>
      </c>
      <c r="B569" t="s">
        <v>30</v>
      </c>
      <c r="C569">
        <v>2.29</v>
      </c>
      <c r="D569">
        <v>0.18</v>
      </c>
    </row>
    <row r="570" spans="1:6" x14ac:dyDescent="0.15">
      <c r="A570" t="s">
        <v>1960</v>
      </c>
      <c r="B570" t="s">
        <v>30</v>
      </c>
      <c r="C570">
        <v>58.055999999999997</v>
      </c>
      <c r="D570">
        <v>8.4851178172798677E-2</v>
      </c>
    </row>
    <row r="571" spans="1:6" x14ac:dyDescent="0.15">
      <c r="A571" t="s">
        <v>542</v>
      </c>
      <c r="B571" t="s">
        <v>30</v>
      </c>
      <c r="C571">
        <v>30.921999999999997</v>
      </c>
      <c r="D571">
        <v>3.9651117090425375E-2</v>
      </c>
      <c r="E571">
        <v>33.076999999999998</v>
      </c>
      <c r="F571">
        <v>3.9651117090425375E-2</v>
      </c>
    </row>
    <row r="572" spans="1:6" x14ac:dyDescent="0.15">
      <c r="A572" t="s">
        <v>1197</v>
      </c>
      <c r="B572" t="s">
        <v>30</v>
      </c>
      <c r="C572">
        <v>1.8</v>
      </c>
      <c r="D572">
        <v>0.25</v>
      </c>
    </row>
    <row r="573" spans="1:6" x14ac:dyDescent="0.15">
      <c r="A573" t="s">
        <v>1961</v>
      </c>
      <c r="B573" t="s">
        <v>30</v>
      </c>
      <c r="C573">
        <v>1.01</v>
      </c>
      <c r="D573">
        <v>0.5</v>
      </c>
    </row>
    <row r="574" spans="1:6" x14ac:dyDescent="0.15">
      <c r="A574" t="s">
        <v>1962</v>
      </c>
      <c r="B574" t="s">
        <v>30</v>
      </c>
      <c r="C574">
        <v>0.46</v>
      </c>
      <c r="D574">
        <v>0.6</v>
      </c>
    </row>
    <row r="575" spans="1:6" x14ac:dyDescent="0.15">
      <c r="A575" t="s">
        <v>1963</v>
      </c>
      <c r="B575" t="s">
        <v>30</v>
      </c>
      <c r="C575">
        <v>271.83999999999997</v>
      </c>
      <c r="D575">
        <v>0.16</v>
      </c>
    </row>
    <row r="576" spans="1:6" x14ac:dyDescent="0.15">
      <c r="A576" t="s">
        <v>1198</v>
      </c>
      <c r="B576" t="s">
        <v>30</v>
      </c>
      <c r="C576">
        <v>2.4572249999999998</v>
      </c>
      <c r="D576">
        <v>0.60838377844926705</v>
      </c>
    </row>
    <row r="577" spans="1:4" x14ac:dyDescent="0.15">
      <c r="A577" t="s">
        <v>1964</v>
      </c>
      <c r="B577" t="s">
        <v>30</v>
      </c>
      <c r="C577">
        <v>703.06</v>
      </c>
      <c r="D577">
        <v>3.9698769792051884E-2</v>
      </c>
    </row>
    <row r="578" spans="1:4" x14ac:dyDescent="0.15">
      <c r="A578" t="s">
        <v>1965</v>
      </c>
      <c r="B578" t="s">
        <v>30</v>
      </c>
      <c r="C578">
        <v>41.390716999999988</v>
      </c>
      <c r="D578">
        <v>0.93852759796357277</v>
      </c>
    </row>
    <row r="579" spans="1:4" x14ac:dyDescent="0.15">
      <c r="A579" t="s">
        <v>1966</v>
      </c>
      <c r="B579" t="s">
        <v>30</v>
      </c>
      <c r="C579">
        <v>86.8</v>
      </c>
      <c r="D579">
        <v>0.31</v>
      </c>
    </row>
    <row r="580" spans="1:4" x14ac:dyDescent="0.15">
      <c r="A580" t="s">
        <v>1967</v>
      </c>
      <c r="B580" t="s">
        <v>30</v>
      </c>
      <c r="C580">
        <v>230.251</v>
      </c>
      <c r="D580">
        <v>0.22471724335616347</v>
      </c>
    </row>
    <row r="581" spans="1:4" x14ac:dyDescent="0.15">
      <c r="A581" t="s">
        <v>1968</v>
      </c>
      <c r="B581" t="s">
        <v>30</v>
      </c>
      <c r="C581">
        <v>0.34</v>
      </c>
      <c r="D581">
        <v>1.79</v>
      </c>
    </row>
    <row r="582" spans="1:4" x14ac:dyDescent="0.15">
      <c r="A582" t="s">
        <v>1969</v>
      </c>
      <c r="B582" t="s">
        <v>30</v>
      </c>
      <c r="C582">
        <v>42.46</v>
      </c>
      <c r="D582">
        <v>0.92</v>
      </c>
    </row>
    <row r="583" spans="1:4" x14ac:dyDescent="0.15">
      <c r="A583" t="s">
        <v>1171</v>
      </c>
      <c r="B583" t="s">
        <v>30</v>
      </c>
      <c r="C583">
        <v>9.2609999999999998E-2</v>
      </c>
      <c r="D583">
        <v>0.27</v>
      </c>
    </row>
    <row r="584" spans="1:4" x14ac:dyDescent="0.15">
      <c r="A584" t="s">
        <v>1970</v>
      </c>
      <c r="B584" t="s">
        <v>30</v>
      </c>
      <c r="C584">
        <v>0.36</v>
      </c>
      <c r="D584">
        <v>1.36</v>
      </c>
    </row>
    <row r="585" spans="1:4" x14ac:dyDescent="0.15">
      <c r="A585" t="s">
        <v>1971</v>
      </c>
      <c r="B585" t="s">
        <v>30</v>
      </c>
      <c r="C585">
        <v>2.7</v>
      </c>
      <c r="D585">
        <v>0.5</v>
      </c>
    </row>
    <row r="586" spans="1:4" x14ac:dyDescent="0.15">
      <c r="A586" t="s">
        <v>1972</v>
      </c>
      <c r="B586" t="s">
        <v>30</v>
      </c>
      <c r="C586">
        <v>0.35099999999999998</v>
      </c>
      <c r="D586">
        <v>0.7</v>
      </c>
    </row>
    <row r="587" spans="1:4" x14ac:dyDescent="0.15">
      <c r="A587" t="s">
        <v>1973</v>
      </c>
      <c r="B587" t="s">
        <v>30</v>
      </c>
      <c r="C587">
        <v>1.55</v>
      </c>
      <c r="D587">
        <v>1.1296774193548387</v>
      </c>
    </row>
    <row r="588" spans="1:4" x14ac:dyDescent="0.15">
      <c r="A588" t="s">
        <v>1974</v>
      </c>
      <c r="B588" t="s">
        <v>30</v>
      </c>
      <c r="C588">
        <v>2.63E-3</v>
      </c>
      <c r="D588">
        <v>5</v>
      </c>
    </row>
    <row r="589" spans="1:4" x14ac:dyDescent="0.15">
      <c r="A589" t="s">
        <v>1975</v>
      </c>
      <c r="B589" t="s">
        <v>30</v>
      </c>
      <c r="C589">
        <v>1</v>
      </c>
      <c r="D589">
        <v>1</v>
      </c>
    </row>
    <row r="590" spans="1:4" x14ac:dyDescent="0.15">
      <c r="A590" t="s">
        <v>1976</v>
      </c>
      <c r="B590" t="s">
        <v>30</v>
      </c>
      <c r="C590">
        <v>2.81</v>
      </c>
      <c r="D590">
        <v>1.0524199288256229</v>
      </c>
    </row>
    <row r="591" spans="1:4" x14ac:dyDescent="0.15">
      <c r="A591" t="s">
        <v>1977</v>
      </c>
      <c r="B591" t="s">
        <v>30</v>
      </c>
      <c r="C591">
        <v>13.17</v>
      </c>
      <c r="D591">
        <v>0.10352315869400153</v>
      </c>
    </row>
    <row r="592" spans="1:4" x14ac:dyDescent="0.15">
      <c r="A592" t="s">
        <v>1978</v>
      </c>
      <c r="B592" t="s">
        <v>30</v>
      </c>
      <c r="C592">
        <v>1.46</v>
      </c>
      <c r="D592">
        <v>0.84</v>
      </c>
    </row>
    <row r="593" spans="1:6" x14ac:dyDescent="0.15">
      <c r="A593" t="s">
        <v>1979</v>
      </c>
      <c r="B593" t="s">
        <v>30</v>
      </c>
      <c r="C593">
        <v>0.3</v>
      </c>
      <c r="D593">
        <v>0.5</v>
      </c>
    </row>
    <row r="594" spans="1:6" x14ac:dyDescent="0.15">
      <c r="A594" t="s">
        <v>1980</v>
      </c>
      <c r="B594" t="s">
        <v>30</v>
      </c>
      <c r="C594">
        <v>70</v>
      </c>
      <c r="D594">
        <v>0.15</v>
      </c>
    </row>
    <row r="595" spans="1:6" x14ac:dyDescent="0.15">
      <c r="A595" t="s">
        <v>1981</v>
      </c>
      <c r="B595" t="s">
        <v>30</v>
      </c>
      <c r="C595">
        <v>1.2802</v>
      </c>
      <c r="D595">
        <v>2.52</v>
      </c>
    </row>
    <row r="596" spans="1:6" x14ac:dyDescent="0.15">
      <c r="A596" t="s">
        <v>1982</v>
      </c>
      <c r="B596" t="s">
        <v>30</v>
      </c>
      <c r="C596">
        <v>19.367000000000001</v>
      </c>
      <c r="D596">
        <v>0.37</v>
      </c>
    </row>
    <row r="597" spans="1:6" x14ac:dyDescent="0.15">
      <c r="A597" t="s">
        <v>1983</v>
      </c>
      <c r="B597" t="s">
        <v>30</v>
      </c>
      <c r="C597">
        <v>298.3</v>
      </c>
      <c r="D597">
        <v>0.26400603419376467</v>
      </c>
    </row>
    <row r="598" spans="1:6" x14ac:dyDescent="0.15">
      <c r="A598" t="s">
        <v>1984</v>
      </c>
      <c r="B598" t="s">
        <v>30</v>
      </c>
      <c r="C598">
        <v>1.7553077135999999</v>
      </c>
      <c r="D598">
        <v>1.5877455509769944</v>
      </c>
    </row>
    <row r="599" spans="1:6" x14ac:dyDescent="0.15">
      <c r="A599" t="s">
        <v>1985</v>
      </c>
      <c r="B599" t="s">
        <v>30</v>
      </c>
      <c r="C599">
        <v>789.3</v>
      </c>
      <c r="D599">
        <v>0.17166476624857471</v>
      </c>
    </row>
    <row r="600" spans="1:6" x14ac:dyDescent="0.15">
      <c r="A600" t="s">
        <v>1986</v>
      </c>
      <c r="B600" t="s">
        <v>30</v>
      </c>
      <c r="C600">
        <v>206</v>
      </c>
      <c r="D600">
        <v>0.73</v>
      </c>
    </row>
    <row r="601" spans="1:6" x14ac:dyDescent="0.15">
      <c r="A601" t="s">
        <v>1987</v>
      </c>
      <c r="B601" t="s">
        <v>30</v>
      </c>
      <c r="C601">
        <v>0.1</v>
      </c>
      <c r="D601">
        <v>1.43</v>
      </c>
    </row>
    <row r="602" spans="1:6" x14ac:dyDescent="0.15">
      <c r="A602" t="s">
        <v>1988</v>
      </c>
      <c r="B602" t="s">
        <v>30</v>
      </c>
      <c r="C602">
        <v>15.753</v>
      </c>
      <c r="D602">
        <v>0.36211629949878937</v>
      </c>
    </row>
    <row r="603" spans="1:6" x14ac:dyDescent="0.15">
      <c r="A603" t="s">
        <v>1989</v>
      </c>
      <c r="B603" t="s">
        <v>30</v>
      </c>
      <c r="C603">
        <v>23</v>
      </c>
      <c r="D603">
        <v>0.2</v>
      </c>
    </row>
    <row r="604" spans="1:6" x14ac:dyDescent="0.15">
      <c r="A604" t="s">
        <v>1990</v>
      </c>
      <c r="B604" t="s">
        <v>30</v>
      </c>
      <c r="C604">
        <v>0.48158099999999998</v>
      </c>
      <c r="D604">
        <v>0.27</v>
      </c>
    </row>
    <row r="605" spans="1:6" x14ac:dyDescent="0.15">
      <c r="A605" t="s">
        <v>1991</v>
      </c>
      <c r="B605" t="s">
        <v>30</v>
      </c>
      <c r="C605">
        <v>0.30391200000000002</v>
      </c>
      <c r="D605">
        <v>1.68</v>
      </c>
    </row>
    <row r="606" spans="1:6" x14ac:dyDescent="0.15">
      <c r="A606" t="s">
        <v>543</v>
      </c>
      <c r="B606" t="s">
        <v>30</v>
      </c>
      <c r="C606">
        <v>36.46</v>
      </c>
      <c r="D606">
        <v>0.93069391113549083</v>
      </c>
      <c r="E606">
        <v>10.43</v>
      </c>
      <c r="F606">
        <v>0.76</v>
      </c>
    </row>
    <row r="607" spans="1:6" x14ac:dyDescent="0.15">
      <c r="A607" t="s">
        <v>544</v>
      </c>
      <c r="B607" t="s">
        <v>30</v>
      </c>
      <c r="C607">
        <v>83.632999999999996</v>
      </c>
      <c r="D607">
        <v>0.92637559336625508</v>
      </c>
      <c r="E607">
        <v>8.6669999999999998</v>
      </c>
      <c r="F607">
        <v>1.79</v>
      </c>
    </row>
    <row r="608" spans="1:6" x14ac:dyDescent="0.15">
      <c r="A608" t="s">
        <v>1992</v>
      </c>
      <c r="B608" t="s">
        <v>30</v>
      </c>
      <c r="C608">
        <v>0.375</v>
      </c>
      <c r="D608">
        <v>0.5</v>
      </c>
    </row>
    <row r="609" spans="1:6" x14ac:dyDescent="0.15">
      <c r="A609" t="s">
        <v>1993</v>
      </c>
      <c r="B609" t="s">
        <v>30</v>
      </c>
      <c r="C609">
        <v>200.9</v>
      </c>
      <c r="D609">
        <v>6.1256645097063217E-2</v>
      </c>
    </row>
    <row r="610" spans="1:6" x14ac:dyDescent="0.15">
      <c r="A610" t="s">
        <v>545</v>
      </c>
      <c r="B610" t="s">
        <v>30</v>
      </c>
      <c r="C610">
        <v>1820.8000000000002</v>
      </c>
      <c r="D610">
        <v>0.32305085676625656</v>
      </c>
      <c r="E610">
        <v>293.37712099999999</v>
      </c>
      <c r="F610">
        <v>0.35571316659351904</v>
      </c>
    </row>
    <row r="611" spans="1:6" x14ac:dyDescent="0.15">
      <c r="A611" t="s">
        <v>1994</v>
      </c>
      <c r="B611" t="s">
        <v>30</v>
      </c>
      <c r="C611">
        <v>25</v>
      </c>
      <c r="D611">
        <v>0.35</v>
      </c>
    </row>
    <row r="612" spans="1:6" x14ac:dyDescent="0.15">
      <c r="A612" t="s">
        <v>1995</v>
      </c>
      <c r="B612" t="s">
        <v>30</v>
      </c>
      <c r="C612">
        <v>4.9890499999999998</v>
      </c>
      <c r="D612">
        <v>0.5</v>
      </c>
    </row>
    <row r="613" spans="1:6" x14ac:dyDescent="0.15">
      <c r="A613" t="s">
        <v>546</v>
      </c>
      <c r="B613" t="s">
        <v>30</v>
      </c>
      <c r="C613">
        <v>0.94135499999999994</v>
      </c>
      <c r="D613">
        <v>3.0000000000000002E-2</v>
      </c>
      <c r="E613">
        <v>0.20435500000000001</v>
      </c>
      <c r="F613">
        <v>0.03</v>
      </c>
    </row>
    <row r="614" spans="1:6" x14ac:dyDescent="0.15">
      <c r="A614" t="s">
        <v>1996</v>
      </c>
      <c r="B614" t="s">
        <v>30</v>
      </c>
      <c r="C614">
        <v>33.6</v>
      </c>
      <c r="D614">
        <v>3.92</v>
      </c>
    </row>
    <row r="615" spans="1:6" x14ac:dyDescent="0.15">
      <c r="A615" t="s">
        <v>1997</v>
      </c>
      <c r="B615" t="s">
        <v>30</v>
      </c>
      <c r="C615">
        <v>0.18143999999999999</v>
      </c>
      <c r="D615">
        <v>2</v>
      </c>
    </row>
    <row r="616" spans="1:6" x14ac:dyDescent="0.15">
      <c r="A616" t="s">
        <v>1998</v>
      </c>
      <c r="B616" t="s">
        <v>30</v>
      </c>
      <c r="C616">
        <v>196.43</v>
      </c>
      <c r="D616">
        <v>0.09</v>
      </c>
    </row>
    <row r="617" spans="1:6" x14ac:dyDescent="0.15">
      <c r="A617" t="s">
        <v>1999</v>
      </c>
      <c r="B617" t="s">
        <v>30</v>
      </c>
      <c r="C617">
        <v>0.48</v>
      </c>
      <c r="D617">
        <v>0.4</v>
      </c>
    </row>
    <row r="618" spans="1:6" x14ac:dyDescent="0.15">
      <c r="A618" t="s">
        <v>2000</v>
      </c>
      <c r="B618" t="s">
        <v>30</v>
      </c>
      <c r="C618">
        <v>0.125193</v>
      </c>
      <c r="D618">
        <v>0.36</v>
      </c>
    </row>
    <row r="619" spans="1:6" x14ac:dyDescent="0.15">
      <c r="A619" t="s">
        <v>1199</v>
      </c>
      <c r="B619" t="s">
        <v>30</v>
      </c>
      <c r="C619">
        <v>127.25055</v>
      </c>
      <c r="D619">
        <v>0.06</v>
      </c>
    </row>
    <row r="620" spans="1:6" x14ac:dyDescent="0.15">
      <c r="A620" t="s">
        <v>2001</v>
      </c>
      <c r="B620" t="s">
        <v>30</v>
      </c>
      <c r="C620">
        <v>1</v>
      </c>
      <c r="D620">
        <v>1.97</v>
      </c>
    </row>
    <row r="621" spans="1:6" x14ac:dyDescent="0.15">
      <c r="A621" t="s">
        <v>2002</v>
      </c>
      <c r="B621" t="s">
        <v>30</v>
      </c>
      <c r="C621">
        <v>2.3139080000000001</v>
      </c>
      <c r="D621">
        <v>0.21</v>
      </c>
    </row>
    <row r="622" spans="1:6" x14ac:dyDescent="0.15">
      <c r="A622" t="s">
        <v>2003</v>
      </c>
      <c r="B622" t="s">
        <v>30</v>
      </c>
      <c r="C622">
        <v>0.25310880000000002</v>
      </c>
      <c r="D622">
        <v>0.77</v>
      </c>
    </row>
    <row r="623" spans="1:6" x14ac:dyDescent="0.15">
      <c r="A623" t="s">
        <v>2004</v>
      </c>
      <c r="B623" t="s">
        <v>30</v>
      </c>
      <c r="C623">
        <v>9.8884799999999995E-2</v>
      </c>
      <c r="D623">
        <v>0.26</v>
      </c>
    </row>
    <row r="624" spans="1:6" x14ac:dyDescent="0.15">
      <c r="A624" t="s">
        <v>2005</v>
      </c>
      <c r="B624" t="s">
        <v>30</v>
      </c>
      <c r="C624">
        <v>1.06</v>
      </c>
      <c r="D624">
        <v>0.7</v>
      </c>
    </row>
    <row r="625" spans="1:6" x14ac:dyDescent="0.15">
      <c r="A625" t="s">
        <v>2006</v>
      </c>
      <c r="B625" t="s">
        <v>30</v>
      </c>
      <c r="C625">
        <v>4.935168</v>
      </c>
      <c r="D625">
        <v>1.49</v>
      </c>
    </row>
    <row r="626" spans="1:6" x14ac:dyDescent="0.15">
      <c r="A626" t="s">
        <v>2007</v>
      </c>
      <c r="B626" t="s">
        <v>30</v>
      </c>
      <c r="C626">
        <v>0.21279999999999999</v>
      </c>
      <c r="D626">
        <v>0.68704887218045119</v>
      </c>
    </row>
    <row r="627" spans="1:6" x14ac:dyDescent="0.15">
      <c r="A627" t="s">
        <v>2008</v>
      </c>
      <c r="B627" t="s">
        <v>30</v>
      </c>
      <c r="C627">
        <v>17.148137999999999</v>
      </c>
      <c r="D627">
        <v>1.23</v>
      </c>
    </row>
    <row r="628" spans="1:6" x14ac:dyDescent="0.15">
      <c r="A628" t="s">
        <v>2009</v>
      </c>
      <c r="B628" t="s">
        <v>30</v>
      </c>
      <c r="C628">
        <v>0.10885</v>
      </c>
      <c r="D628">
        <v>1.45</v>
      </c>
    </row>
    <row r="629" spans="1:6" x14ac:dyDescent="0.15">
      <c r="A629" t="s">
        <v>547</v>
      </c>
      <c r="B629" t="s">
        <v>30</v>
      </c>
      <c r="C629">
        <v>1878.8102819999999</v>
      </c>
      <c r="D629">
        <v>0.24276880153352279</v>
      </c>
      <c r="E629">
        <v>940.81</v>
      </c>
      <c r="F629">
        <v>0.27</v>
      </c>
    </row>
    <row r="630" spans="1:6" x14ac:dyDescent="0.15">
      <c r="A630" t="s">
        <v>2010</v>
      </c>
      <c r="B630" t="s">
        <v>30</v>
      </c>
      <c r="C630">
        <v>0.224</v>
      </c>
      <c r="D630">
        <v>0.2</v>
      </c>
    </row>
    <row r="631" spans="1:6" x14ac:dyDescent="0.15">
      <c r="A631" t="s">
        <v>2011</v>
      </c>
      <c r="B631" t="s">
        <v>30</v>
      </c>
      <c r="C631">
        <v>5.4470000000000001</v>
      </c>
      <c r="D631">
        <v>1.2</v>
      </c>
    </row>
    <row r="632" spans="1:6" x14ac:dyDescent="0.15">
      <c r="A632" t="s">
        <v>2012</v>
      </c>
      <c r="B632" t="s">
        <v>30</v>
      </c>
      <c r="C632">
        <v>1.5062390000000001</v>
      </c>
      <c r="D632">
        <v>0.63</v>
      </c>
    </row>
    <row r="633" spans="1:6" x14ac:dyDescent="0.15">
      <c r="A633" t="s">
        <v>548</v>
      </c>
      <c r="B633" t="s">
        <v>30</v>
      </c>
      <c r="C633">
        <v>15.248000000000001</v>
      </c>
      <c r="D633">
        <v>0.37396773347324241</v>
      </c>
      <c r="E633">
        <v>11.827999999999999</v>
      </c>
      <c r="F633">
        <v>0.35</v>
      </c>
    </row>
    <row r="634" spans="1:6" x14ac:dyDescent="0.15">
      <c r="A634" t="s">
        <v>1200</v>
      </c>
      <c r="B634" t="s">
        <v>30</v>
      </c>
      <c r="C634">
        <v>2.9260000000000002</v>
      </c>
      <c r="D634">
        <v>0.9346616541353383</v>
      </c>
    </row>
    <row r="635" spans="1:6" x14ac:dyDescent="0.15">
      <c r="A635" t="s">
        <v>2013</v>
      </c>
      <c r="B635" t="s">
        <v>30</v>
      </c>
      <c r="C635">
        <v>36.010000000000005</v>
      </c>
      <c r="D635">
        <v>0.59650374895862257</v>
      </c>
    </row>
    <row r="636" spans="1:6" x14ac:dyDescent="0.15">
      <c r="A636" t="s">
        <v>1201</v>
      </c>
      <c r="B636" t="s">
        <v>30</v>
      </c>
      <c r="C636">
        <v>2.5099999999999998</v>
      </c>
      <c r="D636">
        <v>0.36</v>
      </c>
    </row>
    <row r="637" spans="1:6" x14ac:dyDescent="0.15">
      <c r="A637" t="s">
        <v>2014</v>
      </c>
      <c r="B637" t="s">
        <v>30</v>
      </c>
      <c r="C637">
        <v>2.27</v>
      </c>
      <c r="D637">
        <v>1.2</v>
      </c>
    </row>
    <row r="638" spans="1:6" x14ac:dyDescent="0.15">
      <c r="A638" t="s">
        <v>2015</v>
      </c>
      <c r="B638" t="s">
        <v>30</v>
      </c>
      <c r="C638">
        <v>1.669</v>
      </c>
      <c r="D638">
        <v>0.26119832234871182</v>
      </c>
    </row>
    <row r="639" spans="1:6" x14ac:dyDescent="0.15">
      <c r="A639" t="s">
        <v>2016</v>
      </c>
      <c r="B639" t="s">
        <v>30</v>
      </c>
      <c r="C639">
        <v>6.8136000000000002E-2</v>
      </c>
      <c r="D639">
        <v>1.7041223435481978</v>
      </c>
    </row>
    <row r="640" spans="1:6" x14ac:dyDescent="0.15">
      <c r="A640" t="s">
        <v>2017</v>
      </c>
      <c r="B640" t="s">
        <v>30</v>
      </c>
      <c r="C640">
        <v>0.84224447999999996</v>
      </c>
      <c r="D640">
        <v>0.27303866867729432</v>
      </c>
    </row>
    <row r="641" spans="1:6" x14ac:dyDescent="0.15">
      <c r="A641" t="s">
        <v>2018</v>
      </c>
      <c r="B641" t="s">
        <v>30</v>
      </c>
      <c r="C641">
        <v>0.5776</v>
      </c>
      <c r="D641">
        <v>0.49</v>
      </c>
    </row>
    <row r="642" spans="1:6" x14ac:dyDescent="0.15">
      <c r="A642" t="s">
        <v>2019</v>
      </c>
      <c r="B642" t="s">
        <v>30</v>
      </c>
      <c r="C642">
        <v>8.3905999999999994E-2</v>
      </c>
      <c r="D642">
        <v>1.67</v>
      </c>
    </row>
    <row r="643" spans="1:6" x14ac:dyDescent="0.15">
      <c r="A643" t="s">
        <v>2020</v>
      </c>
      <c r="B643" t="s">
        <v>30</v>
      </c>
      <c r="C643">
        <v>0.25</v>
      </c>
      <c r="D643">
        <v>3.2</v>
      </c>
    </row>
    <row r="644" spans="1:6" x14ac:dyDescent="0.15">
      <c r="A644" t="s">
        <v>2021</v>
      </c>
      <c r="B644" t="s">
        <v>30</v>
      </c>
      <c r="C644">
        <v>0.95689500000000005</v>
      </c>
      <c r="D644">
        <v>2.7</v>
      </c>
    </row>
    <row r="645" spans="1:6" x14ac:dyDescent="0.15">
      <c r="A645" t="s">
        <v>2022</v>
      </c>
      <c r="B645" t="s">
        <v>30</v>
      </c>
      <c r="C645">
        <v>2.5508000000000002</v>
      </c>
      <c r="D645">
        <v>2.5</v>
      </c>
    </row>
    <row r="646" spans="1:6" x14ac:dyDescent="0.15">
      <c r="A646" t="s">
        <v>2023</v>
      </c>
      <c r="B646" t="s">
        <v>30</v>
      </c>
      <c r="C646">
        <v>2.3377080000000001</v>
      </c>
      <c r="D646">
        <v>2.8028292174215084</v>
      </c>
    </row>
    <row r="647" spans="1:6" x14ac:dyDescent="0.15">
      <c r="A647" t="s">
        <v>2024</v>
      </c>
      <c r="B647" t="s">
        <v>30</v>
      </c>
      <c r="C647">
        <v>2203.3000000000002</v>
      </c>
      <c r="D647">
        <v>8.4012163572822568E-2</v>
      </c>
    </row>
    <row r="648" spans="1:6" x14ac:dyDescent="0.15">
      <c r="A648" t="s">
        <v>2025</v>
      </c>
      <c r="B648" t="s">
        <v>30</v>
      </c>
      <c r="C648">
        <v>33.691336999999997</v>
      </c>
      <c r="D648">
        <v>0.18285975412611258</v>
      </c>
    </row>
    <row r="649" spans="1:6" x14ac:dyDescent="0.15">
      <c r="A649" t="s">
        <v>2026</v>
      </c>
      <c r="B649" t="s">
        <v>30</v>
      </c>
      <c r="C649">
        <v>0.33</v>
      </c>
      <c r="D649">
        <v>0.32</v>
      </c>
    </row>
    <row r="650" spans="1:6" x14ac:dyDescent="0.15">
      <c r="A650" t="s">
        <v>2027</v>
      </c>
      <c r="B650" t="s">
        <v>30</v>
      </c>
      <c r="C650">
        <v>14.899999999999999</v>
      </c>
      <c r="D650">
        <v>0.55389261744966445</v>
      </c>
    </row>
    <row r="651" spans="1:6" x14ac:dyDescent="0.15">
      <c r="A651" t="s">
        <v>2028</v>
      </c>
      <c r="B651" t="s">
        <v>30</v>
      </c>
      <c r="C651">
        <v>7.2629999999999999</v>
      </c>
      <c r="D651">
        <v>1.6377777777777778</v>
      </c>
    </row>
    <row r="652" spans="1:6" x14ac:dyDescent="0.15">
      <c r="A652" t="s">
        <v>549</v>
      </c>
      <c r="B652" t="s">
        <v>30</v>
      </c>
      <c r="C652">
        <v>43.53</v>
      </c>
      <c r="D652">
        <v>1.9619044337238687</v>
      </c>
      <c r="E652">
        <v>11</v>
      </c>
      <c r="F652">
        <v>1.61</v>
      </c>
    </row>
    <row r="653" spans="1:6" x14ac:dyDescent="0.15">
      <c r="A653" t="s">
        <v>550</v>
      </c>
      <c r="B653" t="s">
        <v>30</v>
      </c>
      <c r="C653">
        <v>17.565999999999999</v>
      </c>
      <c r="D653">
        <v>0.97888420812934085</v>
      </c>
      <c r="E653">
        <v>0.48599999999999999</v>
      </c>
      <c r="F653">
        <v>7.92</v>
      </c>
    </row>
    <row r="654" spans="1:6" x14ac:dyDescent="0.15">
      <c r="A654" t="s">
        <v>551</v>
      </c>
      <c r="B654" t="s">
        <v>30</v>
      </c>
      <c r="C654">
        <v>76.400000000000006</v>
      </c>
      <c r="D654">
        <v>1.61</v>
      </c>
      <c r="E654">
        <v>76.400000000000006</v>
      </c>
      <c r="F654">
        <v>1.61</v>
      </c>
    </row>
    <row r="655" spans="1:6" x14ac:dyDescent="0.15">
      <c r="A655" t="s">
        <v>2029</v>
      </c>
      <c r="B655" t="s">
        <v>30</v>
      </c>
      <c r="C655">
        <v>10.064</v>
      </c>
      <c r="D655">
        <v>0.79839030206677286</v>
      </c>
    </row>
    <row r="656" spans="1:6" x14ac:dyDescent="0.15">
      <c r="A656" t="s">
        <v>2030</v>
      </c>
      <c r="B656" t="s">
        <v>30</v>
      </c>
      <c r="C656">
        <v>0.5</v>
      </c>
      <c r="D656">
        <v>1.4</v>
      </c>
    </row>
    <row r="657" spans="1:6" x14ac:dyDescent="0.15">
      <c r="A657" t="s">
        <v>2031</v>
      </c>
      <c r="B657" t="s">
        <v>30</v>
      </c>
      <c r="C657">
        <v>8.3013999999999992</v>
      </c>
      <c r="D657">
        <v>0.1544637049172429</v>
      </c>
    </row>
    <row r="658" spans="1:6" x14ac:dyDescent="0.15">
      <c r="A658" t="s">
        <v>2032</v>
      </c>
      <c r="B658" t="s">
        <v>30</v>
      </c>
      <c r="C658">
        <v>0.13</v>
      </c>
      <c r="D658">
        <v>0.95</v>
      </c>
    </row>
    <row r="659" spans="1:6" x14ac:dyDescent="0.15">
      <c r="A659" t="s">
        <v>2033</v>
      </c>
      <c r="B659" t="s">
        <v>30</v>
      </c>
      <c r="C659">
        <v>7.9710000000000001</v>
      </c>
      <c r="D659">
        <v>1.54</v>
      </c>
    </row>
    <row r="660" spans="1:6" x14ac:dyDescent="0.15">
      <c r="A660" t="s">
        <v>2034</v>
      </c>
      <c r="B660" t="s">
        <v>30</v>
      </c>
      <c r="C660">
        <v>4.3</v>
      </c>
      <c r="D660">
        <v>0.27</v>
      </c>
    </row>
    <row r="661" spans="1:6" x14ac:dyDescent="0.15">
      <c r="A661" t="s">
        <v>2035</v>
      </c>
      <c r="B661" t="s">
        <v>30</v>
      </c>
      <c r="C661">
        <v>0.64</v>
      </c>
      <c r="D661">
        <v>0.33</v>
      </c>
    </row>
    <row r="662" spans="1:6" x14ac:dyDescent="0.15">
      <c r="A662" t="s">
        <v>2036</v>
      </c>
      <c r="B662" t="s">
        <v>30</v>
      </c>
      <c r="C662">
        <v>3.492</v>
      </c>
      <c r="D662">
        <v>2.5114547537227951E-2</v>
      </c>
    </row>
    <row r="663" spans="1:6" x14ac:dyDescent="0.15">
      <c r="A663" t="s">
        <v>2037</v>
      </c>
      <c r="B663" t="s">
        <v>30</v>
      </c>
      <c r="C663">
        <v>0.45</v>
      </c>
      <c r="D663">
        <v>2.33</v>
      </c>
    </row>
    <row r="664" spans="1:6" x14ac:dyDescent="0.15">
      <c r="A664" t="s">
        <v>2038</v>
      </c>
      <c r="B664" t="s">
        <v>30</v>
      </c>
      <c r="C664">
        <v>3.865583</v>
      </c>
      <c r="D664">
        <v>0.33802937616395767</v>
      </c>
    </row>
    <row r="665" spans="1:6" x14ac:dyDescent="0.15">
      <c r="A665" t="s">
        <v>2039</v>
      </c>
      <c r="B665" t="s">
        <v>30</v>
      </c>
      <c r="C665">
        <v>0.13100000000000001</v>
      </c>
      <c r="D665">
        <v>0.28000000000000003</v>
      </c>
    </row>
    <row r="666" spans="1:6" x14ac:dyDescent="0.15">
      <c r="A666" t="s">
        <v>2040</v>
      </c>
      <c r="B666" t="s">
        <v>30</v>
      </c>
      <c r="C666">
        <v>22.8</v>
      </c>
      <c r="D666">
        <v>0.56000000000000005</v>
      </c>
    </row>
    <row r="667" spans="1:6" x14ac:dyDescent="0.15">
      <c r="A667" t="s">
        <v>2041</v>
      </c>
      <c r="B667" t="s">
        <v>30</v>
      </c>
      <c r="C667">
        <v>0.25</v>
      </c>
      <c r="D667">
        <v>0.75</v>
      </c>
    </row>
    <row r="668" spans="1:6" x14ac:dyDescent="0.15">
      <c r="A668" t="s">
        <v>552</v>
      </c>
      <c r="B668" t="s">
        <v>30</v>
      </c>
      <c r="C668">
        <v>20.6</v>
      </c>
      <c r="D668">
        <v>0.1</v>
      </c>
      <c r="E668">
        <v>20.6</v>
      </c>
      <c r="F668">
        <v>0.1</v>
      </c>
    </row>
    <row r="669" spans="1:6" x14ac:dyDescent="0.15">
      <c r="A669" t="s">
        <v>2042</v>
      </c>
      <c r="B669" t="s">
        <v>30</v>
      </c>
      <c r="C669">
        <v>1.0630000000000002</v>
      </c>
      <c r="D669">
        <v>0.13976481655691439</v>
      </c>
    </row>
    <row r="670" spans="1:6" x14ac:dyDescent="0.15">
      <c r="A670" t="s">
        <v>2043</v>
      </c>
      <c r="B670" t="s">
        <v>30</v>
      </c>
      <c r="C670">
        <v>1.29</v>
      </c>
      <c r="D670">
        <v>1.53</v>
      </c>
    </row>
    <row r="671" spans="1:6" x14ac:dyDescent="0.15">
      <c r="A671" t="s">
        <v>1202</v>
      </c>
      <c r="B671" t="s">
        <v>30</v>
      </c>
      <c r="C671">
        <v>10.354000000000001</v>
      </c>
      <c r="D671">
        <v>0.27866042109329725</v>
      </c>
    </row>
    <row r="672" spans="1:6" x14ac:dyDescent="0.15">
      <c r="A672" t="s">
        <v>2044</v>
      </c>
      <c r="B672" t="s">
        <v>30</v>
      </c>
      <c r="C672">
        <v>1.3380000000000001</v>
      </c>
      <c r="D672">
        <v>1.56</v>
      </c>
    </row>
    <row r="673" spans="1:6" x14ac:dyDescent="0.15">
      <c r="A673" t="s">
        <v>2045</v>
      </c>
      <c r="B673" t="s">
        <v>30</v>
      </c>
      <c r="C673">
        <v>1</v>
      </c>
      <c r="D673">
        <v>1</v>
      </c>
    </row>
    <row r="674" spans="1:6" x14ac:dyDescent="0.15">
      <c r="A674" t="s">
        <v>2046</v>
      </c>
      <c r="B674" t="s">
        <v>30</v>
      </c>
      <c r="C674">
        <v>2.95</v>
      </c>
      <c r="D674">
        <v>0.23</v>
      </c>
    </row>
    <row r="675" spans="1:6" x14ac:dyDescent="0.15">
      <c r="A675" t="s">
        <v>2047</v>
      </c>
      <c r="B675" t="s">
        <v>30</v>
      </c>
      <c r="C675">
        <v>9.0709999999999999E-2</v>
      </c>
      <c r="D675">
        <v>4.5</v>
      </c>
    </row>
    <row r="676" spans="1:6" x14ac:dyDescent="0.15">
      <c r="A676" t="s">
        <v>2048</v>
      </c>
      <c r="B676" t="s">
        <v>30</v>
      </c>
      <c r="C676">
        <v>5.5E-2</v>
      </c>
      <c r="D676">
        <v>2</v>
      </c>
    </row>
    <row r="677" spans="1:6" x14ac:dyDescent="0.15">
      <c r="A677" t="s">
        <v>2049</v>
      </c>
      <c r="B677" t="s">
        <v>30</v>
      </c>
      <c r="C677">
        <v>1.3920000000000001</v>
      </c>
      <c r="D677">
        <v>1.3611494252873562</v>
      </c>
    </row>
    <row r="678" spans="1:6" x14ac:dyDescent="0.15">
      <c r="A678" t="s">
        <v>2050</v>
      </c>
      <c r="B678" t="s">
        <v>30</v>
      </c>
      <c r="C678">
        <v>165</v>
      </c>
      <c r="D678">
        <v>0.15</v>
      </c>
    </row>
    <row r="679" spans="1:6" x14ac:dyDescent="0.15">
      <c r="A679" t="s">
        <v>2051</v>
      </c>
      <c r="B679" t="s">
        <v>30</v>
      </c>
      <c r="C679">
        <v>0.13</v>
      </c>
      <c r="D679">
        <v>1.18</v>
      </c>
    </row>
    <row r="680" spans="1:6" x14ac:dyDescent="0.15">
      <c r="A680" t="s">
        <v>2052</v>
      </c>
      <c r="B680" t="s">
        <v>30</v>
      </c>
      <c r="C680">
        <v>98.050000000000011</v>
      </c>
      <c r="D680">
        <v>9.3858235594084627E-2</v>
      </c>
    </row>
    <row r="681" spans="1:6" x14ac:dyDescent="0.15">
      <c r="A681" t="s">
        <v>2053</v>
      </c>
      <c r="B681" t="s">
        <v>30</v>
      </c>
      <c r="C681">
        <v>0.13</v>
      </c>
      <c r="D681">
        <v>0.5</v>
      </c>
    </row>
    <row r="682" spans="1:6" x14ac:dyDescent="0.15">
      <c r="A682" t="s">
        <v>2054</v>
      </c>
      <c r="B682" t="s">
        <v>30</v>
      </c>
      <c r="C682">
        <v>0.43099999999999999</v>
      </c>
      <c r="D682">
        <v>0.89</v>
      </c>
    </row>
    <row r="683" spans="1:6" x14ac:dyDescent="0.15">
      <c r="A683" t="s">
        <v>553</v>
      </c>
      <c r="B683" t="s">
        <v>30</v>
      </c>
      <c r="C683">
        <v>6.3620000000000001</v>
      </c>
      <c r="D683">
        <v>1.4031562401760451</v>
      </c>
      <c r="E683">
        <v>4.4349999999999996</v>
      </c>
      <c r="F683">
        <v>1.46</v>
      </c>
    </row>
    <row r="684" spans="1:6" x14ac:dyDescent="0.15">
      <c r="A684" t="s">
        <v>2055</v>
      </c>
      <c r="B684" t="s">
        <v>30</v>
      </c>
      <c r="C684">
        <v>15.706</v>
      </c>
      <c r="D684">
        <v>0.38635935311345981</v>
      </c>
    </row>
    <row r="685" spans="1:6" x14ac:dyDescent="0.15">
      <c r="A685" t="s">
        <v>2056</v>
      </c>
      <c r="B685" t="s">
        <v>30</v>
      </c>
      <c r="C685">
        <v>1.3095300000000001</v>
      </c>
      <c r="D685">
        <v>0.15</v>
      </c>
    </row>
    <row r="686" spans="1:6" x14ac:dyDescent="0.15">
      <c r="A686" t="s">
        <v>2057</v>
      </c>
      <c r="B686" t="s">
        <v>30</v>
      </c>
      <c r="C686">
        <v>1.0181020000000001</v>
      </c>
      <c r="D686">
        <v>0.59060109890757506</v>
      </c>
    </row>
    <row r="687" spans="1:6" x14ac:dyDescent="0.15">
      <c r="A687" t="s">
        <v>2058</v>
      </c>
      <c r="B687" t="s">
        <v>30</v>
      </c>
      <c r="C687">
        <v>3.1999999999999997</v>
      </c>
      <c r="D687">
        <v>1.31</v>
      </c>
    </row>
    <row r="688" spans="1:6" x14ac:dyDescent="0.15">
      <c r="A688" t="s">
        <v>2059</v>
      </c>
      <c r="B688" t="s">
        <v>30</v>
      </c>
      <c r="C688">
        <v>13.562999999999999</v>
      </c>
      <c r="D688">
        <v>2.5962884317628845</v>
      </c>
    </row>
    <row r="689" spans="1:6" x14ac:dyDescent="0.15">
      <c r="A689" t="s">
        <v>2060</v>
      </c>
      <c r="B689" t="s">
        <v>30</v>
      </c>
      <c r="C689">
        <v>1.3</v>
      </c>
      <c r="D689">
        <v>0.11</v>
      </c>
    </row>
    <row r="690" spans="1:6" x14ac:dyDescent="0.15">
      <c r="A690" t="s">
        <v>554</v>
      </c>
      <c r="B690" t="s">
        <v>30</v>
      </c>
      <c r="C690">
        <v>36.1</v>
      </c>
      <c r="D690">
        <v>1.05</v>
      </c>
      <c r="E690">
        <v>36.1</v>
      </c>
      <c r="F690">
        <v>1.05</v>
      </c>
    </row>
    <row r="691" spans="1:6" x14ac:dyDescent="0.15">
      <c r="A691" t="s">
        <v>2061</v>
      </c>
      <c r="B691" t="s">
        <v>30</v>
      </c>
      <c r="C691">
        <v>5.5</v>
      </c>
      <c r="D691">
        <v>0.88</v>
      </c>
    </row>
    <row r="692" spans="1:6" x14ac:dyDescent="0.15">
      <c r="A692" t="s">
        <v>2062</v>
      </c>
      <c r="B692" t="s">
        <v>30</v>
      </c>
      <c r="C692">
        <v>4.2027760000000001</v>
      </c>
      <c r="D692">
        <v>0.05</v>
      </c>
    </row>
    <row r="693" spans="1:6" x14ac:dyDescent="0.15">
      <c r="A693" t="s">
        <v>1158</v>
      </c>
      <c r="B693" t="s">
        <v>30</v>
      </c>
      <c r="C693">
        <v>0.696689</v>
      </c>
      <c r="D693">
        <v>1.3430540743430712E-2</v>
      </c>
    </row>
    <row r="694" spans="1:6" x14ac:dyDescent="0.15">
      <c r="A694" t="s">
        <v>1203</v>
      </c>
      <c r="B694" t="s">
        <v>30</v>
      </c>
      <c r="C694">
        <v>1176.4180000000001</v>
      </c>
      <c r="D694">
        <v>0.13944690237653623</v>
      </c>
    </row>
    <row r="695" spans="1:6" x14ac:dyDescent="0.15">
      <c r="A695" t="s">
        <v>1183</v>
      </c>
      <c r="B695" t="s">
        <v>30</v>
      </c>
      <c r="C695">
        <v>0.15639765119999999</v>
      </c>
      <c r="D695">
        <v>0.26</v>
      </c>
    </row>
    <row r="696" spans="1:6" x14ac:dyDescent="0.15">
      <c r="A696" t="s">
        <v>2063</v>
      </c>
      <c r="B696" t="s">
        <v>30</v>
      </c>
      <c r="C696">
        <v>1.1299360000000001</v>
      </c>
      <c r="D696">
        <v>3.3120002814318683</v>
      </c>
    </row>
    <row r="697" spans="1:6" x14ac:dyDescent="0.15">
      <c r="A697" t="s">
        <v>2064</v>
      </c>
      <c r="B697" t="s">
        <v>30</v>
      </c>
      <c r="C697">
        <v>10.82</v>
      </c>
      <c r="D697">
        <v>0.30865064695009242</v>
      </c>
    </row>
    <row r="698" spans="1:6" x14ac:dyDescent="0.15">
      <c r="A698" t="s">
        <v>2065</v>
      </c>
      <c r="B698" t="s">
        <v>30</v>
      </c>
      <c r="C698">
        <v>3.0590000000000002</v>
      </c>
      <c r="D698">
        <v>0.95</v>
      </c>
    </row>
    <row r="699" spans="1:6" x14ac:dyDescent="0.15">
      <c r="A699" t="s">
        <v>2066</v>
      </c>
      <c r="B699" t="s">
        <v>30</v>
      </c>
      <c r="C699">
        <v>3.2230000000000003</v>
      </c>
      <c r="D699">
        <v>1.8265280794291034</v>
      </c>
    </row>
    <row r="700" spans="1:6" x14ac:dyDescent="0.15">
      <c r="A700" t="s">
        <v>555</v>
      </c>
      <c r="B700" t="s">
        <v>30</v>
      </c>
      <c r="C700">
        <v>6.1539999999999999</v>
      </c>
      <c r="D700">
        <v>1.1792573935651609</v>
      </c>
      <c r="E700">
        <v>5.1520000000000001</v>
      </c>
      <c r="F700">
        <v>0.91</v>
      </c>
    </row>
    <row r="701" spans="1:6" x14ac:dyDescent="0.15">
      <c r="A701" t="s">
        <v>2067</v>
      </c>
      <c r="B701" t="s">
        <v>30</v>
      </c>
      <c r="C701">
        <v>268.60000000000002</v>
      </c>
      <c r="D701">
        <v>0.29622859270290391</v>
      </c>
    </row>
    <row r="702" spans="1:6" x14ac:dyDescent="0.15">
      <c r="A702" t="s">
        <v>2068</v>
      </c>
      <c r="B702" t="s">
        <v>30</v>
      </c>
      <c r="C702">
        <v>1.3</v>
      </c>
      <c r="D702">
        <v>1.03</v>
      </c>
    </row>
    <row r="703" spans="1:6" x14ac:dyDescent="0.15">
      <c r="A703" t="s">
        <v>2069</v>
      </c>
      <c r="B703" t="s">
        <v>30</v>
      </c>
      <c r="C703">
        <v>0.14000000000000001</v>
      </c>
      <c r="D703">
        <v>1.1100000000000001</v>
      </c>
    </row>
    <row r="704" spans="1:6" x14ac:dyDescent="0.15">
      <c r="A704" t="s">
        <v>1204</v>
      </c>
      <c r="B704" t="s">
        <v>30</v>
      </c>
      <c r="C704">
        <v>1.69</v>
      </c>
      <c r="D704">
        <v>0.48</v>
      </c>
    </row>
    <row r="705" spans="1:6" x14ac:dyDescent="0.15">
      <c r="A705" t="s">
        <v>556</v>
      </c>
      <c r="B705" t="s">
        <v>31</v>
      </c>
      <c r="C705">
        <v>631.6</v>
      </c>
      <c r="D705">
        <v>0.32009341355288157</v>
      </c>
      <c r="E705">
        <v>418.30000000000007</v>
      </c>
      <c r="F705">
        <v>0.33995457805402818</v>
      </c>
    </row>
    <row r="706" spans="1:6" x14ac:dyDescent="0.15">
      <c r="A706" t="s">
        <v>557</v>
      </c>
      <c r="B706" t="s">
        <v>31</v>
      </c>
      <c r="C706">
        <v>21746</v>
      </c>
      <c r="D706">
        <v>0.61575186241147795</v>
      </c>
      <c r="E706">
        <v>986</v>
      </c>
      <c r="F706">
        <v>0.75</v>
      </c>
    </row>
    <row r="707" spans="1:6" x14ac:dyDescent="0.15">
      <c r="A707" t="s">
        <v>2070</v>
      </c>
      <c r="B707" t="s">
        <v>31</v>
      </c>
      <c r="C707">
        <v>38.140999999999998</v>
      </c>
      <c r="D707">
        <v>0.77849531999685384</v>
      </c>
    </row>
    <row r="708" spans="1:6" x14ac:dyDescent="0.15">
      <c r="A708" t="s">
        <v>558</v>
      </c>
      <c r="B708" t="s">
        <v>31</v>
      </c>
      <c r="C708">
        <v>1255.0999999999999</v>
      </c>
      <c r="D708">
        <v>0.31</v>
      </c>
      <c r="E708">
        <v>686.6</v>
      </c>
      <c r="F708">
        <v>0.34</v>
      </c>
    </row>
    <row r="709" spans="1:6" x14ac:dyDescent="0.15">
      <c r="A709" t="s">
        <v>2071</v>
      </c>
      <c r="B709" t="s">
        <v>31</v>
      </c>
      <c r="C709">
        <v>5.5983999999999998</v>
      </c>
      <c r="D709">
        <v>0.60294941411831948</v>
      </c>
    </row>
    <row r="710" spans="1:6" x14ac:dyDescent="0.15">
      <c r="A710" t="s">
        <v>2072</v>
      </c>
      <c r="B710" t="s">
        <v>31</v>
      </c>
      <c r="C710">
        <v>110.28200000000001</v>
      </c>
      <c r="D710">
        <v>0.51668132605502259</v>
      </c>
    </row>
    <row r="711" spans="1:6" x14ac:dyDescent="0.15">
      <c r="A711" t="s">
        <v>2073</v>
      </c>
      <c r="B711" t="s">
        <v>31</v>
      </c>
      <c r="C711">
        <v>1.5</v>
      </c>
      <c r="D711">
        <v>1.4</v>
      </c>
    </row>
    <row r="712" spans="1:6" x14ac:dyDescent="0.15">
      <c r="A712" t="s">
        <v>2074</v>
      </c>
      <c r="B712" t="s">
        <v>31</v>
      </c>
      <c r="C712">
        <v>65</v>
      </c>
      <c r="D712">
        <v>0.59</v>
      </c>
    </row>
    <row r="713" spans="1:6" x14ac:dyDescent="0.15">
      <c r="A713" t="s">
        <v>559</v>
      </c>
      <c r="B713" t="s">
        <v>31</v>
      </c>
      <c r="C713">
        <v>726.28899999999999</v>
      </c>
      <c r="D713">
        <v>0.692130543075828</v>
      </c>
      <c r="E713">
        <v>455.18299999999994</v>
      </c>
      <c r="F713">
        <v>0.59322338488036697</v>
      </c>
    </row>
    <row r="714" spans="1:6" x14ac:dyDescent="0.15">
      <c r="A714" t="s">
        <v>2075</v>
      </c>
      <c r="B714" t="s">
        <v>31</v>
      </c>
      <c r="C714">
        <v>46</v>
      </c>
      <c r="D714">
        <v>0.34</v>
      </c>
    </row>
    <row r="715" spans="1:6" x14ac:dyDescent="0.15">
      <c r="A715" t="s">
        <v>560</v>
      </c>
      <c r="B715" t="s">
        <v>31</v>
      </c>
      <c r="C715">
        <v>1350</v>
      </c>
      <c r="D715">
        <v>0.32</v>
      </c>
      <c r="E715">
        <v>1350</v>
      </c>
      <c r="F715">
        <v>0.32</v>
      </c>
    </row>
    <row r="716" spans="1:6" x14ac:dyDescent="0.15">
      <c r="A716" t="s">
        <v>2076</v>
      </c>
      <c r="B716" t="s">
        <v>31</v>
      </c>
      <c r="C716">
        <v>1477.6999999999998</v>
      </c>
      <c r="D716">
        <v>0.19081004263382284</v>
      </c>
    </row>
    <row r="717" spans="1:6" x14ac:dyDescent="0.15">
      <c r="A717" t="s">
        <v>2077</v>
      </c>
      <c r="B717" t="s">
        <v>31</v>
      </c>
      <c r="C717">
        <v>400</v>
      </c>
      <c r="D717">
        <v>0.55000000000000004</v>
      </c>
    </row>
    <row r="718" spans="1:6" x14ac:dyDescent="0.15">
      <c r="A718" t="s">
        <v>561</v>
      </c>
      <c r="B718" t="s">
        <v>31</v>
      </c>
      <c r="C718">
        <v>3553.3999999999996</v>
      </c>
      <c r="D718">
        <v>0.38285107221252884</v>
      </c>
      <c r="E718">
        <v>1840.4</v>
      </c>
      <c r="F718">
        <v>0.44</v>
      </c>
    </row>
    <row r="719" spans="1:6" x14ac:dyDescent="0.15">
      <c r="A719" t="s">
        <v>562</v>
      </c>
      <c r="B719" t="s">
        <v>31</v>
      </c>
      <c r="C719">
        <v>1197.6026666666667</v>
      </c>
      <c r="D719">
        <v>0.21909516567542714</v>
      </c>
      <c r="E719">
        <v>1197.6026666666667</v>
      </c>
      <c r="F719">
        <v>0.21909516567542714</v>
      </c>
    </row>
    <row r="720" spans="1:6" x14ac:dyDescent="0.15">
      <c r="A720" t="s">
        <v>563</v>
      </c>
      <c r="B720" t="s">
        <v>31</v>
      </c>
      <c r="C720">
        <v>405</v>
      </c>
      <c r="D720">
        <v>0.57303703703703701</v>
      </c>
      <c r="E720">
        <v>153</v>
      </c>
      <c r="F720">
        <v>0.58470588235294119</v>
      </c>
    </row>
    <row r="721" spans="1:6" x14ac:dyDescent="0.15">
      <c r="A721" t="s">
        <v>2078</v>
      </c>
      <c r="B721" t="s">
        <v>31</v>
      </c>
      <c r="C721">
        <v>0.44484699999999999</v>
      </c>
      <c r="D721">
        <v>0.55631493524739961</v>
      </c>
    </row>
    <row r="722" spans="1:6" x14ac:dyDescent="0.15">
      <c r="A722" t="s">
        <v>564</v>
      </c>
      <c r="B722" t="s">
        <v>31</v>
      </c>
      <c r="C722">
        <v>15153</v>
      </c>
      <c r="D722">
        <v>0.43438922985547418</v>
      </c>
      <c r="E722">
        <v>1401</v>
      </c>
      <c r="F722">
        <v>0.73</v>
      </c>
    </row>
    <row r="723" spans="1:6" x14ac:dyDescent="0.15">
      <c r="A723" t="s">
        <v>2079</v>
      </c>
      <c r="B723" t="s">
        <v>31</v>
      </c>
      <c r="C723">
        <v>2600</v>
      </c>
      <c r="D723">
        <v>0.3094115384615384</v>
      </c>
    </row>
    <row r="724" spans="1:6" x14ac:dyDescent="0.15">
      <c r="A724" t="s">
        <v>565</v>
      </c>
      <c r="B724" t="s">
        <v>31</v>
      </c>
      <c r="C724">
        <v>9978</v>
      </c>
      <c r="D724">
        <v>0.81066847063539793</v>
      </c>
      <c r="E724">
        <v>3122.8</v>
      </c>
      <c r="F724">
        <v>0.84423722300499549</v>
      </c>
    </row>
    <row r="725" spans="1:6" x14ac:dyDescent="0.15">
      <c r="A725" t="s">
        <v>2080</v>
      </c>
      <c r="B725" t="s">
        <v>31</v>
      </c>
      <c r="C725">
        <v>51.183</v>
      </c>
      <c r="D725">
        <v>0.24234534904167396</v>
      </c>
    </row>
    <row r="726" spans="1:6" x14ac:dyDescent="0.15">
      <c r="A726" t="s">
        <v>566</v>
      </c>
      <c r="B726" t="s">
        <v>31</v>
      </c>
      <c r="C726">
        <v>3266</v>
      </c>
      <c r="D726">
        <v>0.43507348438456839</v>
      </c>
      <c r="E726">
        <v>399</v>
      </c>
      <c r="F726">
        <v>0.43491228070175447</v>
      </c>
    </row>
    <row r="727" spans="1:6" x14ac:dyDescent="0.15">
      <c r="A727" t="s">
        <v>2081</v>
      </c>
      <c r="B727" t="s">
        <v>31</v>
      </c>
      <c r="C727">
        <v>230.20000000000002</v>
      </c>
      <c r="D727">
        <v>0.44968288444830584</v>
      </c>
    </row>
    <row r="728" spans="1:6" x14ac:dyDescent="0.15">
      <c r="A728" t="s">
        <v>567</v>
      </c>
      <c r="B728" t="s">
        <v>31</v>
      </c>
      <c r="C728">
        <v>1369.473</v>
      </c>
      <c r="D728">
        <v>0.41762522517786038</v>
      </c>
      <c r="E728">
        <v>599</v>
      </c>
      <c r="F728">
        <v>0.49446744574290491</v>
      </c>
    </row>
    <row r="729" spans="1:6" x14ac:dyDescent="0.15">
      <c r="A729" t="s">
        <v>2082</v>
      </c>
      <c r="B729" t="s">
        <v>31</v>
      </c>
      <c r="C729">
        <v>1.4999999999999999E-2</v>
      </c>
      <c r="D729">
        <v>1.57</v>
      </c>
    </row>
    <row r="730" spans="1:6" x14ac:dyDescent="0.15">
      <c r="A730" t="s">
        <v>568</v>
      </c>
      <c r="B730" t="s">
        <v>31</v>
      </c>
      <c r="C730">
        <v>4878</v>
      </c>
      <c r="D730">
        <v>0.3775461254612546</v>
      </c>
      <c r="E730">
        <v>53</v>
      </c>
      <c r="F730">
        <v>0.56999999999999995</v>
      </c>
    </row>
    <row r="731" spans="1:6" x14ac:dyDescent="0.15">
      <c r="A731" t="s">
        <v>569</v>
      </c>
      <c r="B731" t="s">
        <v>31</v>
      </c>
      <c r="C731">
        <v>234.9</v>
      </c>
      <c r="D731">
        <v>0.66833120476798635</v>
      </c>
      <c r="E731">
        <v>88.8</v>
      </c>
      <c r="F731">
        <v>0.82</v>
      </c>
    </row>
    <row r="732" spans="1:6" x14ac:dyDescent="0.15">
      <c r="A732" t="s">
        <v>570</v>
      </c>
      <c r="B732" t="s">
        <v>31</v>
      </c>
      <c r="C732">
        <v>17850</v>
      </c>
      <c r="D732">
        <v>0.5565602240896359</v>
      </c>
      <c r="E732">
        <v>1683</v>
      </c>
      <c r="F732">
        <v>0.89</v>
      </c>
    </row>
    <row r="733" spans="1:6" x14ac:dyDescent="0.15">
      <c r="A733" t="s">
        <v>2083</v>
      </c>
      <c r="B733" t="s">
        <v>31</v>
      </c>
      <c r="C733">
        <v>1493.8139999999999</v>
      </c>
      <c r="D733">
        <v>0.15461367479485399</v>
      </c>
    </row>
    <row r="734" spans="1:6" x14ac:dyDescent="0.15">
      <c r="A734" t="s">
        <v>571</v>
      </c>
      <c r="B734" t="s">
        <v>31</v>
      </c>
      <c r="C734">
        <v>1212.3000000000002</v>
      </c>
      <c r="D734">
        <v>0.42591932689928236</v>
      </c>
      <c r="E734">
        <v>115.6</v>
      </c>
      <c r="F734">
        <v>0.54</v>
      </c>
    </row>
    <row r="735" spans="1:6" x14ac:dyDescent="0.15">
      <c r="A735" t="s">
        <v>2084</v>
      </c>
      <c r="B735" t="s">
        <v>31</v>
      </c>
      <c r="C735">
        <v>1428.5409999999999</v>
      </c>
      <c r="D735">
        <v>0.25016324557713082</v>
      </c>
    </row>
    <row r="736" spans="1:6" x14ac:dyDescent="0.15">
      <c r="A736" t="s">
        <v>2085</v>
      </c>
      <c r="B736" t="s">
        <v>31</v>
      </c>
      <c r="C736">
        <v>223</v>
      </c>
      <c r="D736">
        <v>0.53766816143497764</v>
      </c>
    </row>
    <row r="737" spans="1:6" x14ac:dyDescent="0.15">
      <c r="A737" t="s">
        <v>572</v>
      </c>
      <c r="B737" t="s">
        <v>31</v>
      </c>
      <c r="C737">
        <v>19186</v>
      </c>
      <c r="D737">
        <v>0.54371573021995201</v>
      </c>
      <c r="E737">
        <v>8397</v>
      </c>
      <c r="F737">
        <v>0.60240800285816365</v>
      </c>
    </row>
    <row r="738" spans="1:6" x14ac:dyDescent="0.15">
      <c r="A738" t="s">
        <v>2086</v>
      </c>
      <c r="B738" t="s">
        <v>31</v>
      </c>
      <c r="C738">
        <v>7444</v>
      </c>
      <c r="D738">
        <v>0.45248790972595382</v>
      </c>
    </row>
    <row r="739" spans="1:6" x14ac:dyDescent="0.15">
      <c r="A739" t="s">
        <v>2087</v>
      </c>
      <c r="B739" t="s">
        <v>31</v>
      </c>
      <c r="C739">
        <v>248</v>
      </c>
      <c r="D739">
        <v>0.54665322580645159</v>
      </c>
    </row>
    <row r="740" spans="1:6" x14ac:dyDescent="0.15">
      <c r="A740" t="s">
        <v>2088</v>
      </c>
      <c r="B740" t="s">
        <v>31</v>
      </c>
      <c r="C740">
        <v>1</v>
      </c>
      <c r="D740">
        <v>1.5</v>
      </c>
    </row>
    <row r="741" spans="1:6" x14ac:dyDescent="0.15">
      <c r="A741" t="s">
        <v>2089</v>
      </c>
      <c r="B741" t="s">
        <v>31</v>
      </c>
      <c r="C741">
        <v>458.8</v>
      </c>
      <c r="D741">
        <v>0.34</v>
      </c>
    </row>
    <row r="742" spans="1:6" x14ac:dyDescent="0.15">
      <c r="A742" t="s">
        <v>573</v>
      </c>
      <c r="B742" t="s">
        <v>31</v>
      </c>
      <c r="C742">
        <v>29.922999999999998</v>
      </c>
      <c r="D742">
        <v>0.80828192360391671</v>
      </c>
      <c r="E742">
        <v>18.952999999999999</v>
      </c>
      <c r="F742">
        <v>0.86</v>
      </c>
    </row>
    <row r="743" spans="1:6" x14ac:dyDescent="0.15">
      <c r="A743" t="s">
        <v>2090</v>
      </c>
      <c r="B743" t="s">
        <v>31</v>
      </c>
      <c r="C743">
        <v>50.5</v>
      </c>
      <c r="D743">
        <v>0.4</v>
      </c>
    </row>
    <row r="744" spans="1:6" x14ac:dyDescent="0.15">
      <c r="A744" t="s">
        <v>574</v>
      </c>
      <c r="B744" t="s">
        <v>31</v>
      </c>
      <c r="C744">
        <v>1008</v>
      </c>
      <c r="D744">
        <v>0.33982142857142855</v>
      </c>
      <c r="E744">
        <v>430</v>
      </c>
      <c r="F744">
        <v>0.35</v>
      </c>
    </row>
    <row r="745" spans="1:6" x14ac:dyDescent="0.15">
      <c r="A745" t="s">
        <v>2091</v>
      </c>
      <c r="B745" t="s">
        <v>31</v>
      </c>
      <c r="C745">
        <v>460</v>
      </c>
      <c r="D745">
        <v>0.36067391304347823</v>
      </c>
    </row>
    <row r="746" spans="1:6" x14ac:dyDescent="0.15">
      <c r="A746" t="s">
        <v>2092</v>
      </c>
      <c r="B746" t="s">
        <v>31</v>
      </c>
      <c r="C746">
        <v>24.852557999999998</v>
      </c>
      <c r="D746">
        <v>1.25</v>
      </c>
    </row>
    <row r="747" spans="1:6" x14ac:dyDescent="0.15">
      <c r="A747" t="s">
        <v>2093</v>
      </c>
      <c r="B747" t="s">
        <v>31</v>
      </c>
      <c r="C747">
        <v>1554</v>
      </c>
      <c r="D747">
        <v>0.25817889317889314</v>
      </c>
    </row>
    <row r="748" spans="1:6" x14ac:dyDescent="0.15">
      <c r="A748" t="s">
        <v>2094</v>
      </c>
      <c r="B748" t="s">
        <v>31</v>
      </c>
      <c r="C748">
        <v>306.5</v>
      </c>
      <c r="D748">
        <v>0.24520717781402937</v>
      </c>
    </row>
    <row r="749" spans="1:6" x14ac:dyDescent="0.15">
      <c r="A749" t="s">
        <v>2095</v>
      </c>
      <c r="B749" t="s">
        <v>31</v>
      </c>
      <c r="C749">
        <v>45.599999999999994</v>
      </c>
      <c r="D749">
        <v>0.50377192982456143</v>
      </c>
    </row>
    <row r="750" spans="1:6" x14ac:dyDescent="0.15">
      <c r="A750" t="s">
        <v>575</v>
      </c>
      <c r="B750" t="s">
        <v>31</v>
      </c>
      <c r="C750">
        <v>2121</v>
      </c>
      <c r="D750">
        <v>0.27458745874587459</v>
      </c>
      <c r="E750">
        <v>653</v>
      </c>
      <c r="F750">
        <v>0.2514854517611026</v>
      </c>
    </row>
    <row r="751" spans="1:6" x14ac:dyDescent="0.15">
      <c r="A751" t="s">
        <v>576</v>
      </c>
      <c r="B751" t="s">
        <v>31</v>
      </c>
      <c r="C751">
        <v>7910.5000000000009</v>
      </c>
      <c r="D751">
        <v>0.63517072245749318</v>
      </c>
      <c r="E751">
        <v>1597.6</v>
      </c>
      <c r="F751">
        <v>0.51936216825237858</v>
      </c>
    </row>
    <row r="752" spans="1:6" x14ac:dyDescent="0.15">
      <c r="A752" t="s">
        <v>2096</v>
      </c>
      <c r="B752" t="s">
        <v>31</v>
      </c>
      <c r="C752">
        <v>2926</v>
      </c>
      <c r="D752">
        <v>0.36304169514695828</v>
      </c>
    </row>
    <row r="753" spans="1:6" x14ac:dyDescent="0.15">
      <c r="A753" t="s">
        <v>577</v>
      </c>
      <c r="B753" t="s">
        <v>31</v>
      </c>
      <c r="C753">
        <v>6104.1</v>
      </c>
      <c r="D753">
        <v>0.51</v>
      </c>
      <c r="E753">
        <v>1308.7</v>
      </c>
      <c r="F753">
        <v>0.61</v>
      </c>
    </row>
    <row r="754" spans="1:6" x14ac:dyDescent="0.15">
      <c r="A754" t="s">
        <v>2097</v>
      </c>
      <c r="B754" t="s">
        <v>31</v>
      </c>
      <c r="C754">
        <v>1903.8000000000002</v>
      </c>
      <c r="D754">
        <v>0.49696606786427144</v>
      </c>
    </row>
    <row r="755" spans="1:6" x14ac:dyDescent="0.15">
      <c r="A755" t="s">
        <v>2098</v>
      </c>
      <c r="B755" t="s">
        <v>31</v>
      </c>
      <c r="C755">
        <v>414.7</v>
      </c>
      <c r="D755">
        <v>0.3377574149987943</v>
      </c>
    </row>
    <row r="756" spans="1:6" x14ac:dyDescent="0.15">
      <c r="A756" t="s">
        <v>578</v>
      </c>
      <c r="B756" t="s">
        <v>31</v>
      </c>
      <c r="C756">
        <v>328.8</v>
      </c>
      <c r="D756">
        <v>0.44598236009732345</v>
      </c>
      <c r="E756">
        <v>99.800000000000011</v>
      </c>
      <c r="F756">
        <v>0.48885771543086154</v>
      </c>
    </row>
    <row r="757" spans="1:6" x14ac:dyDescent="0.15">
      <c r="A757" t="s">
        <v>579</v>
      </c>
      <c r="B757" t="s">
        <v>31</v>
      </c>
      <c r="C757">
        <v>189.50000000000003</v>
      </c>
      <c r="D757">
        <v>0.32722427440633239</v>
      </c>
      <c r="E757">
        <v>91.9</v>
      </c>
      <c r="F757">
        <v>0.35919477693144719</v>
      </c>
    </row>
    <row r="758" spans="1:6" x14ac:dyDescent="0.15">
      <c r="A758" t="s">
        <v>2099</v>
      </c>
      <c r="B758" t="s">
        <v>31</v>
      </c>
      <c r="C758">
        <v>60.3</v>
      </c>
      <c r="D758">
        <v>1.64</v>
      </c>
    </row>
    <row r="759" spans="1:6" x14ac:dyDescent="0.15">
      <c r="A759" t="s">
        <v>2100</v>
      </c>
      <c r="B759" t="s">
        <v>31</v>
      </c>
      <c r="C759">
        <v>0.66500000000000004</v>
      </c>
      <c r="D759">
        <v>0.49</v>
      </c>
    </row>
    <row r="760" spans="1:6" x14ac:dyDescent="0.15">
      <c r="A760" t="s">
        <v>2101</v>
      </c>
      <c r="B760" t="s">
        <v>31</v>
      </c>
      <c r="C760">
        <v>0.87265899999999996</v>
      </c>
      <c r="D760">
        <v>0.65</v>
      </c>
    </row>
    <row r="761" spans="1:6" x14ac:dyDescent="0.15">
      <c r="A761" t="s">
        <v>2102</v>
      </c>
      <c r="B761" t="s">
        <v>31</v>
      </c>
      <c r="C761">
        <v>3.4464399999999999</v>
      </c>
      <c r="D761">
        <v>0.42</v>
      </c>
    </row>
    <row r="762" spans="1:6" x14ac:dyDescent="0.15">
      <c r="A762" t="s">
        <v>2103</v>
      </c>
      <c r="B762" t="s">
        <v>31</v>
      </c>
      <c r="C762">
        <v>3.0721699999999998</v>
      </c>
      <c r="D762">
        <v>0.6</v>
      </c>
    </row>
    <row r="763" spans="1:6" x14ac:dyDescent="0.15">
      <c r="A763" t="s">
        <v>2104</v>
      </c>
      <c r="B763" t="s">
        <v>31</v>
      </c>
      <c r="C763">
        <v>1.3197099999999999</v>
      </c>
      <c r="D763">
        <v>0.5</v>
      </c>
    </row>
    <row r="764" spans="1:6" x14ac:dyDescent="0.15">
      <c r="A764" t="s">
        <v>2105</v>
      </c>
      <c r="B764" t="s">
        <v>31</v>
      </c>
      <c r="C764">
        <v>4.6544819999999998</v>
      </c>
      <c r="D764">
        <v>0.54</v>
      </c>
    </row>
    <row r="765" spans="1:6" x14ac:dyDescent="0.15">
      <c r="A765" t="s">
        <v>580</v>
      </c>
      <c r="B765" t="s">
        <v>31</v>
      </c>
      <c r="C765">
        <v>1889</v>
      </c>
      <c r="D765">
        <v>0.76836950767601919</v>
      </c>
      <c r="E765">
        <v>239</v>
      </c>
      <c r="F765">
        <v>1.05</v>
      </c>
    </row>
    <row r="766" spans="1:6" x14ac:dyDescent="0.15">
      <c r="A766" t="s">
        <v>2106</v>
      </c>
      <c r="B766" t="s">
        <v>31</v>
      </c>
      <c r="C766">
        <v>50.6</v>
      </c>
      <c r="D766">
        <v>0.34426877470355732</v>
      </c>
    </row>
    <row r="767" spans="1:6" x14ac:dyDescent="0.15">
      <c r="A767" t="s">
        <v>2107</v>
      </c>
      <c r="B767" t="s">
        <v>31</v>
      </c>
      <c r="C767">
        <v>15.5</v>
      </c>
      <c r="D767">
        <v>0.51</v>
      </c>
    </row>
    <row r="768" spans="1:6" x14ac:dyDescent="0.15">
      <c r="A768" t="s">
        <v>2108</v>
      </c>
      <c r="B768" t="s">
        <v>31</v>
      </c>
      <c r="C768">
        <v>29.996000000000002</v>
      </c>
      <c r="D768">
        <v>0.29211594879317243</v>
      </c>
    </row>
    <row r="769" spans="1:6" x14ac:dyDescent="0.15">
      <c r="A769" t="s">
        <v>581</v>
      </c>
      <c r="B769" t="s">
        <v>31</v>
      </c>
      <c r="C769">
        <v>324.62600000000003</v>
      </c>
      <c r="D769">
        <v>7.1459291615582232E-2</v>
      </c>
      <c r="E769">
        <v>324.62600000000003</v>
      </c>
      <c r="F769">
        <v>7.1459291615582232E-2</v>
      </c>
    </row>
    <row r="770" spans="1:6" x14ac:dyDescent="0.15">
      <c r="A770" t="s">
        <v>2109</v>
      </c>
      <c r="B770" t="s">
        <v>31</v>
      </c>
      <c r="C770">
        <v>292.8</v>
      </c>
      <c r="D770">
        <v>0.40586748633879777</v>
      </c>
    </row>
    <row r="771" spans="1:6" x14ac:dyDescent="0.15">
      <c r="A771" t="s">
        <v>582</v>
      </c>
      <c r="B771" t="s">
        <v>31</v>
      </c>
      <c r="C771">
        <v>0.29500000000000004</v>
      </c>
      <c r="D771">
        <v>1.2999999999999998</v>
      </c>
      <c r="E771">
        <v>0.13800000000000001</v>
      </c>
      <c r="F771">
        <v>1.2</v>
      </c>
    </row>
    <row r="772" spans="1:6" x14ac:dyDescent="0.15">
      <c r="A772" t="s">
        <v>2110</v>
      </c>
      <c r="B772" t="s">
        <v>31</v>
      </c>
      <c r="C772">
        <v>1543.7</v>
      </c>
      <c r="D772">
        <v>0.34487789078188769</v>
      </c>
    </row>
    <row r="773" spans="1:6" x14ac:dyDescent="0.15">
      <c r="A773" t="s">
        <v>2111</v>
      </c>
      <c r="B773" t="s">
        <v>31</v>
      </c>
      <c r="C773">
        <v>170</v>
      </c>
      <c r="D773">
        <v>1.1000000000000001</v>
      </c>
    </row>
    <row r="774" spans="1:6" x14ac:dyDescent="0.15">
      <c r="A774" t="s">
        <v>583</v>
      </c>
      <c r="B774" t="s">
        <v>31</v>
      </c>
      <c r="C774">
        <v>214.3</v>
      </c>
      <c r="D774">
        <v>0.48</v>
      </c>
      <c r="E774">
        <v>90.5</v>
      </c>
      <c r="F774">
        <v>0.48</v>
      </c>
    </row>
    <row r="775" spans="1:6" x14ac:dyDescent="0.15">
      <c r="A775" t="s">
        <v>584</v>
      </c>
      <c r="B775" t="s">
        <v>31</v>
      </c>
      <c r="C775">
        <v>7.35</v>
      </c>
      <c r="D775">
        <v>1.1500680272108843</v>
      </c>
      <c r="E775">
        <v>1.3</v>
      </c>
      <c r="F775">
        <v>1.44</v>
      </c>
    </row>
    <row r="776" spans="1:6" x14ac:dyDescent="0.15">
      <c r="A776" t="s">
        <v>585</v>
      </c>
      <c r="B776" t="s">
        <v>31</v>
      </c>
      <c r="C776">
        <v>4659</v>
      </c>
      <c r="D776">
        <v>0.41250654646919943</v>
      </c>
      <c r="E776">
        <v>1598</v>
      </c>
      <c r="F776">
        <v>0.49185356695869842</v>
      </c>
    </row>
    <row r="777" spans="1:6" x14ac:dyDescent="0.15">
      <c r="A777" t="s">
        <v>586</v>
      </c>
      <c r="B777" t="s">
        <v>31</v>
      </c>
      <c r="C777">
        <v>7344</v>
      </c>
      <c r="D777">
        <v>0.41667483660130716</v>
      </c>
      <c r="E777">
        <v>2174</v>
      </c>
      <c r="F777">
        <v>0.5</v>
      </c>
    </row>
    <row r="778" spans="1:6" x14ac:dyDescent="0.15">
      <c r="A778" t="s">
        <v>587</v>
      </c>
      <c r="B778" t="s">
        <v>31</v>
      </c>
      <c r="C778">
        <v>2246.8999999999996</v>
      </c>
      <c r="D778">
        <v>0.36686590413458553</v>
      </c>
      <c r="E778">
        <v>1239.0999999999999</v>
      </c>
      <c r="F778">
        <v>0.37351303365345823</v>
      </c>
    </row>
    <row r="779" spans="1:6" x14ac:dyDescent="0.15">
      <c r="A779" t="s">
        <v>2112</v>
      </c>
      <c r="B779" t="s">
        <v>31</v>
      </c>
      <c r="C779">
        <v>20</v>
      </c>
      <c r="D779">
        <v>1.1100000000000001</v>
      </c>
    </row>
    <row r="780" spans="1:6" x14ac:dyDescent="0.15">
      <c r="A780" t="s">
        <v>2113</v>
      </c>
      <c r="B780" t="s">
        <v>31</v>
      </c>
      <c r="C780">
        <v>3410</v>
      </c>
      <c r="D780">
        <v>0.82</v>
      </c>
    </row>
    <row r="781" spans="1:6" x14ac:dyDescent="0.15">
      <c r="A781" t="s">
        <v>588</v>
      </c>
      <c r="B781" t="s">
        <v>31</v>
      </c>
      <c r="C781">
        <v>571.9</v>
      </c>
      <c r="D781">
        <v>0.30254589963280298</v>
      </c>
      <c r="E781">
        <v>391.7</v>
      </c>
      <c r="F781">
        <v>0.3</v>
      </c>
    </row>
    <row r="782" spans="1:6" x14ac:dyDescent="0.15">
      <c r="A782" t="s">
        <v>589</v>
      </c>
      <c r="B782" t="s">
        <v>31</v>
      </c>
      <c r="C782">
        <v>1786.3763636363633</v>
      </c>
      <c r="D782">
        <v>0.39656915421467742</v>
      </c>
      <c r="E782">
        <v>1545.5763636363636</v>
      </c>
      <c r="F782">
        <v>0.39899619677037218</v>
      </c>
    </row>
    <row r="783" spans="1:6" x14ac:dyDescent="0.15">
      <c r="A783" t="s">
        <v>2114</v>
      </c>
      <c r="B783" t="s">
        <v>31</v>
      </c>
      <c r="C783">
        <v>12.2</v>
      </c>
      <c r="D783">
        <v>1.18</v>
      </c>
    </row>
    <row r="784" spans="1:6" x14ac:dyDescent="0.15">
      <c r="A784" t="s">
        <v>590</v>
      </c>
      <c r="B784" t="s">
        <v>31</v>
      </c>
      <c r="C784">
        <v>2637.8</v>
      </c>
      <c r="D784">
        <v>0.46096898930927294</v>
      </c>
      <c r="E784">
        <v>257</v>
      </c>
      <c r="F784">
        <v>0.7132684824902723</v>
      </c>
    </row>
    <row r="785" spans="1:6" x14ac:dyDescent="0.15">
      <c r="A785" t="s">
        <v>2115</v>
      </c>
      <c r="B785" t="s">
        <v>31</v>
      </c>
      <c r="C785">
        <v>500</v>
      </c>
      <c r="D785">
        <v>0.2</v>
      </c>
    </row>
    <row r="786" spans="1:6" x14ac:dyDescent="0.15">
      <c r="A786" t="s">
        <v>2116</v>
      </c>
      <c r="B786" t="s">
        <v>31</v>
      </c>
      <c r="C786">
        <v>540</v>
      </c>
      <c r="D786">
        <v>0.25</v>
      </c>
    </row>
    <row r="787" spans="1:6" x14ac:dyDescent="0.15">
      <c r="A787" t="s">
        <v>2117</v>
      </c>
      <c r="B787" t="s">
        <v>31</v>
      </c>
      <c r="C787">
        <v>30</v>
      </c>
      <c r="D787">
        <v>1.5</v>
      </c>
    </row>
    <row r="788" spans="1:6" x14ac:dyDescent="0.15">
      <c r="A788" t="s">
        <v>2118</v>
      </c>
      <c r="B788" t="s">
        <v>31</v>
      </c>
      <c r="C788">
        <v>27.890774999999998</v>
      </c>
      <c r="D788">
        <v>7.5451041070031227E-2</v>
      </c>
    </row>
    <row r="789" spans="1:6" x14ac:dyDescent="0.15">
      <c r="A789" t="s">
        <v>2119</v>
      </c>
      <c r="B789" t="s">
        <v>31</v>
      </c>
      <c r="C789">
        <v>1838</v>
      </c>
      <c r="D789">
        <v>0.32824428726877042</v>
      </c>
    </row>
    <row r="790" spans="1:6" x14ac:dyDescent="0.15">
      <c r="A790" t="s">
        <v>2120</v>
      </c>
      <c r="B790" t="s">
        <v>31</v>
      </c>
      <c r="C790">
        <v>1465</v>
      </c>
      <c r="D790">
        <v>0.50365187713310577</v>
      </c>
    </row>
    <row r="791" spans="1:6" x14ac:dyDescent="0.15">
      <c r="A791" t="s">
        <v>591</v>
      </c>
      <c r="B791" t="s">
        <v>31</v>
      </c>
      <c r="C791">
        <v>582.27800000000002</v>
      </c>
      <c r="D791">
        <v>0.52535474807566152</v>
      </c>
      <c r="E791">
        <v>455.32400000000001</v>
      </c>
      <c r="F791">
        <v>0.54925534344774274</v>
      </c>
    </row>
    <row r="792" spans="1:6" x14ac:dyDescent="0.15">
      <c r="A792" t="s">
        <v>592</v>
      </c>
      <c r="B792" t="s">
        <v>32</v>
      </c>
      <c r="C792">
        <v>42.369</v>
      </c>
      <c r="D792">
        <v>1.7073803960442777</v>
      </c>
      <c r="E792">
        <v>21.61</v>
      </c>
      <c r="F792">
        <v>2.15</v>
      </c>
    </row>
    <row r="793" spans="1:6" x14ac:dyDescent="0.15">
      <c r="A793" t="s">
        <v>2121</v>
      </c>
      <c r="B793" t="s">
        <v>32</v>
      </c>
      <c r="C793">
        <v>43.499999999999993</v>
      </c>
      <c r="D793">
        <v>0.44</v>
      </c>
    </row>
    <row r="794" spans="1:6" x14ac:dyDescent="0.15">
      <c r="A794" t="s">
        <v>2122</v>
      </c>
      <c r="B794" t="s">
        <v>32</v>
      </c>
      <c r="C794">
        <v>27.771249999999998</v>
      </c>
      <c r="D794">
        <v>0.49</v>
      </c>
    </row>
    <row r="795" spans="1:6" x14ac:dyDescent="0.15">
      <c r="A795" t="s">
        <v>2123</v>
      </c>
      <c r="B795" t="s">
        <v>32</v>
      </c>
      <c r="C795">
        <v>65</v>
      </c>
      <c r="D795">
        <v>0.8</v>
      </c>
    </row>
    <row r="796" spans="1:6" x14ac:dyDescent="0.15">
      <c r="A796" t="s">
        <v>2124</v>
      </c>
      <c r="B796" t="s">
        <v>32</v>
      </c>
      <c r="C796">
        <v>15.641025641025641</v>
      </c>
      <c r="D796">
        <v>0.78</v>
      </c>
    </row>
    <row r="797" spans="1:6" x14ac:dyDescent="0.15">
      <c r="A797" t="s">
        <v>2125</v>
      </c>
      <c r="B797" t="s">
        <v>32</v>
      </c>
      <c r="C797">
        <v>22</v>
      </c>
      <c r="D797">
        <v>0.3</v>
      </c>
    </row>
    <row r="798" spans="1:6" x14ac:dyDescent="0.15">
      <c r="A798" t="s">
        <v>2126</v>
      </c>
      <c r="B798" t="s">
        <v>32</v>
      </c>
      <c r="C798">
        <v>1.4492753623188406</v>
      </c>
      <c r="D798">
        <v>0.69</v>
      </c>
    </row>
    <row r="799" spans="1:6" x14ac:dyDescent="0.15">
      <c r="A799" t="s">
        <v>2127</v>
      </c>
      <c r="B799" t="s">
        <v>32</v>
      </c>
      <c r="C799">
        <v>224.99999999999997</v>
      </c>
      <c r="D799">
        <v>0.28000000000000003</v>
      </c>
    </row>
    <row r="800" spans="1:6" x14ac:dyDescent="0.15">
      <c r="A800" t="s">
        <v>2128</v>
      </c>
      <c r="B800" t="s">
        <v>32</v>
      </c>
      <c r="C800">
        <v>125</v>
      </c>
      <c r="D800">
        <v>0.52</v>
      </c>
    </row>
    <row r="801" spans="1:6" x14ac:dyDescent="0.15">
      <c r="A801" t="s">
        <v>2129</v>
      </c>
      <c r="B801" t="s">
        <v>32</v>
      </c>
      <c r="C801">
        <v>10.5</v>
      </c>
      <c r="D801">
        <v>0.65</v>
      </c>
    </row>
    <row r="802" spans="1:6" x14ac:dyDescent="0.15">
      <c r="A802" t="s">
        <v>2130</v>
      </c>
      <c r="B802" t="s">
        <v>32</v>
      </c>
      <c r="C802">
        <v>760</v>
      </c>
      <c r="D802">
        <v>0.5</v>
      </c>
    </row>
    <row r="803" spans="1:6" x14ac:dyDescent="0.15">
      <c r="A803" t="s">
        <v>2131</v>
      </c>
      <c r="B803" t="s">
        <v>32</v>
      </c>
      <c r="C803">
        <v>5.6833333333333336</v>
      </c>
      <c r="D803">
        <v>1.5</v>
      </c>
    </row>
    <row r="804" spans="1:6" x14ac:dyDescent="0.15">
      <c r="A804" t="s">
        <v>2132</v>
      </c>
      <c r="B804" t="s">
        <v>32</v>
      </c>
      <c r="C804">
        <v>178.6</v>
      </c>
      <c r="D804">
        <v>0.14000000000000001</v>
      </c>
    </row>
    <row r="805" spans="1:6" x14ac:dyDescent="0.15">
      <c r="A805" t="s">
        <v>2133</v>
      </c>
      <c r="B805" t="s">
        <v>32</v>
      </c>
      <c r="C805">
        <v>409</v>
      </c>
      <c r="D805">
        <v>0.75</v>
      </c>
    </row>
    <row r="806" spans="1:6" x14ac:dyDescent="0.15">
      <c r="A806" t="s">
        <v>2134</v>
      </c>
      <c r="B806" t="s">
        <v>32</v>
      </c>
      <c r="C806">
        <v>14.6</v>
      </c>
      <c r="D806">
        <v>0.71</v>
      </c>
    </row>
    <row r="807" spans="1:6" x14ac:dyDescent="0.15">
      <c r="A807" t="s">
        <v>593</v>
      </c>
      <c r="B807" t="s">
        <v>32</v>
      </c>
      <c r="C807">
        <v>0.55299999999999994</v>
      </c>
      <c r="D807">
        <v>0.84164556962025328</v>
      </c>
      <c r="E807">
        <v>1.6E-2</v>
      </c>
      <c r="F807">
        <v>0.73</v>
      </c>
    </row>
    <row r="808" spans="1:6" x14ac:dyDescent="0.15">
      <c r="A808" t="s">
        <v>2135</v>
      </c>
      <c r="B808" t="s">
        <v>32</v>
      </c>
      <c r="C808">
        <v>74.626865671641795</v>
      </c>
      <c r="D808">
        <v>0.67</v>
      </c>
    </row>
    <row r="809" spans="1:6" x14ac:dyDescent="0.15">
      <c r="A809" t="s">
        <v>2136</v>
      </c>
      <c r="B809" t="s">
        <v>32</v>
      </c>
      <c r="C809">
        <v>147</v>
      </c>
      <c r="D809">
        <v>0.62</v>
      </c>
    </row>
    <row r="810" spans="1:6" x14ac:dyDescent="0.15">
      <c r="A810" t="s">
        <v>2137</v>
      </c>
      <c r="B810" t="s">
        <v>32</v>
      </c>
      <c r="C810">
        <v>192</v>
      </c>
      <c r="D810">
        <v>0.78</v>
      </c>
    </row>
    <row r="811" spans="1:6" x14ac:dyDescent="0.15">
      <c r="A811" t="s">
        <v>594</v>
      </c>
      <c r="B811" t="s">
        <v>32</v>
      </c>
      <c r="C811">
        <v>15.239000000000001</v>
      </c>
      <c r="D811">
        <v>1.68</v>
      </c>
      <c r="E811">
        <v>7.5540000000000003</v>
      </c>
      <c r="F811">
        <v>1.46</v>
      </c>
    </row>
    <row r="812" spans="1:6" x14ac:dyDescent="0.15">
      <c r="A812" t="s">
        <v>2138</v>
      </c>
      <c r="B812" t="s">
        <v>32</v>
      </c>
      <c r="C812">
        <v>63</v>
      </c>
      <c r="D812">
        <v>0.8</v>
      </c>
    </row>
    <row r="813" spans="1:6" x14ac:dyDescent="0.15">
      <c r="A813" t="s">
        <v>2139</v>
      </c>
      <c r="B813" t="s">
        <v>32</v>
      </c>
      <c r="C813">
        <v>1825</v>
      </c>
      <c r="D813">
        <v>0.45900000000000002</v>
      </c>
    </row>
    <row r="814" spans="1:6" x14ac:dyDescent="0.15">
      <c r="A814" t="s">
        <v>595</v>
      </c>
      <c r="B814" t="s">
        <v>32</v>
      </c>
      <c r="C814">
        <v>29.734999999999999</v>
      </c>
      <c r="D814">
        <v>1.052513872540777</v>
      </c>
      <c r="E814">
        <v>1.5859999999999999</v>
      </c>
      <c r="F814">
        <v>0.82418032786885254</v>
      </c>
    </row>
    <row r="815" spans="1:6" x14ac:dyDescent="0.15">
      <c r="A815" t="s">
        <v>2140</v>
      </c>
      <c r="B815" t="s">
        <v>32</v>
      </c>
      <c r="C815">
        <v>420</v>
      </c>
      <c r="D815">
        <v>0.65</v>
      </c>
    </row>
    <row r="816" spans="1:6" x14ac:dyDescent="0.15">
      <c r="A816" t="s">
        <v>596</v>
      </c>
      <c r="B816" t="s">
        <v>32</v>
      </c>
      <c r="C816">
        <v>603.04999999999995</v>
      </c>
      <c r="D816">
        <v>0.38110223032916013</v>
      </c>
      <c r="E816">
        <v>389.49</v>
      </c>
      <c r="F816">
        <v>0.37</v>
      </c>
    </row>
    <row r="817" spans="1:6" x14ac:dyDescent="0.15">
      <c r="A817" t="s">
        <v>2141</v>
      </c>
      <c r="B817" t="s">
        <v>32</v>
      </c>
      <c r="C817">
        <v>287.23404255319156</v>
      </c>
      <c r="D817">
        <v>0.94</v>
      </c>
    </row>
    <row r="818" spans="1:6" x14ac:dyDescent="0.15">
      <c r="A818" t="s">
        <v>2142</v>
      </c>
      <c r="B818" t="s">
        <v>32</v>
      </c>
      <c r="C818">
        <v>750.00000000000011</v>
      </c>
      <c r="D818">
        <v>0.72</v>
      </c>
    </row>
    <row r="819" spans="1:6" x14ac:dyDescent="0.15">
      <c r="A819" t="s">
        <v>2143</v>
      </c>
      <c r="B819" t="s">
        <v>32</v>
      </c>
      <c r="C819">
        <v>248</v>
      </c>
      <c r="D819">
        <v>0.38</v>
      </c>
    </row>
    <row r="820" spans="1:6" x14ac:dyDescent="0.15">
      <c r="A820" t="s">
        <v>597</v>
      </c>
      <c r="B820" t="s">
        <v>32</v>
      </c>
      <c r="C820">
        <v>26.549999999999997</v>
      </c>
      <c r="D820">
        <v>0.80000000000000016</v>
      </c>
      <c r="E820">
        <v>6.6</v>
      </c>
      <c r="F820">
        <v>0.85</v>
      </c>
    </row>
    <row r="821" spans="1:6" x14ac:dyDescent="0.15">
      <c r="A821" t="s">
        <v>2144</v>
      </c>
      <c r="B821" t="s">
        <v>32</v>
      </c>
      <c r="C821">
        <v>105</v>
      </c>
      <c r="D821">
        <v>0.38</v>
      </c>
    </row>
    <row r="822" spans="1:6" x14ac:dyDescent="0.15">
      <c r="A822" t="s">
        <v>2145</v>
      </c>
      <c r="B822" t="s">
        <v>32</v>
      </c>
      <c r="C822">
        <v>42</v>
      </c>
      <c r="D822">
        <v>0.44</v>
      </c>
    </row>
    <row r="823" spans="1:6" x14ac:dyDescent="0.15">
      <c r="A823" t="s">
        <v>2146</v>
      </c>
      <c r="B823" t="s">
        <v>32</v>
      </c>
      <c r="C823">
        <v>6.7</v>
      </c>
      <c r="D823">
        <v>0.9</v>
      </c>
    </row>
    <row r="824" spans="1:6" x14ac:dyDescent="0.15">
      <c r="A824" t="s">
        <v>2147</v>
      </c>
      <c r="B824" t="s">
        <v>32</v>
      </c>
      <c r="C824">
        <v>101</v>
      </c>
      <c r="D824">
        <v>0.5</v>
      </c>
    </row>
    <row r="825" spans="1:6" x14ac:dyDescent="0.15">
      <c r="A825" t="s">
        <v>2148</v>
      </c>
      <c r="B825" t="s">
        <v>32</v>
      </c>
      <c r="C825">
        <v>4.9000000000000004</v>
      </c>
      <c r="D825">
        <v>0.89</v>
      </c>
    </row>
    <row r="826" spans="1:6" x14ac:dyDescent="0.15">
      <c r="A826" t="s">
        <v>2149</v>
      </c>
      <c r="B826" t="s">
        <v>32</v>
      </c>
      <c r="C826">
        <v>194.11</v>
      </c>
      <c r="D826">
        <v>0.14997372623770028</v>
      </c>
    </row>
    <row r="827" spans="1:6" x14ac:dyDescent="0.15">
      <c r="A827" t="s">
        <v>2150</v>
      </c>
      <c r="B827" t="s">
        <v>32</v>
      </c>
      <c r="C827">
        <v>29.919999999999998</v>
      </c>
      <c r="D827">
        <v>0.69587901069518721</v>
      </c>
    </row>
    <row r="828" spans="1:6" x14ac:dyDescent="0.15">
      <c r="A828" t="s">
        <v>2151</v>
      </c>
      <c r="B828" t="s">
        <v>32</v>
      </c>
      <c r="C828">
        <v>3.7</v>
      </c>
      <c r="D828">
        <v>3.66</v>
      </c>
    </row>
    <row r="829" spans="1:6" x14ac:dyDescent="0.15">
      <c r="A829" t="s">
        <v>2152</v>
      </c>
      <c r="B829" t="s">
        <v>32</v>
      </c>
      <c r="C829">
        <v>110</v>
      </c>
      <c r="D829">
        <v>3.6999999999999998E-2</v>
      </c>
    </row>
    <row r="830" spans="1:6" x14ac:dyDescent="0.15">
      <c r="A830" t="s">
        <v>598</v>
      </c>
      <c r="B830" t="s">
        <v>32</v>
      </c>
      <c r="C830">
        <v>81.987278000000003</v>
      </c>
      <c r="D830">
        <v>0.27</v>
      </c>
      <c r="E830">
        <v>32.105632999999997</v>
      </c>
      <c r="F830">
        <v>0.31</v>
      </c>
    </row>
    <row r="831" spans="1:6" x14ac:dyDescent="0.15">
      <c r="A831" t="s">
        <v>2153</v>
      </c>
      <c r="B831" t="s">
        <v>32</v>
      </c>
      <c r="C831">
        <v>20.350000000000001</v>
      </c>
      <c r="D831">
        <v>1.1200000000000001</v>
      </c>
    </row>
    <row r="832" spans="1:6" x14ac:dyDescent="0.15">
      <c r="A832" t="s">
        <v>2154</v>
      </c>
      <c r="B832" t="s">
        <v>32</v>
      </c>
      <c r="C832">
        <v>15.4</v>
      </c>
      <c r="D832">
        <v>0.74</v>
      </c>
    </row>
    <row r="833" spans="1:6" x14ac:dyDescent="0.15">
      <c r="A833" t="s">
        <v>599</v>
      </c>
      <c r="B833" t="s">
        <v>32</v>
      </c>
      <c r="C833">
        <v>161.47000000000003</v>
      </c>
      <c r="D833">
        <v>0.16814888214529014</v>
      </c>
      <c r="E833">
        <v>86</v>
      </c>
      <c r="F833">
        <v>0.18</v>
      </c>
    </row>
    <row r="834" spans="1:6" x14ac:dyDescent="0.15">
      <c r="A834" t="s">
        <v>2155</v>
      </c>
      <c r="B834" t="s">
        <v>32</v>
      </c>
      <c r="C834">
        <v>97.8</v>
      </c>
      <c r="D834">
        <v>1.1000000000000001</v>
      </c>
    </row>
    <row r="835" spans="1:6" x14ac:dyDescent="0.15">
      <c r="A835" t="s">
        <v>2156</v>
      </c>
      <c r="B835" t="s">
        <v>32</v>
      </c>
      <c r="C835">
        <v>8.6</v>
      </c>
      <c r="D835">
        <v>1.3</v>
      </c>
    </row>
    <row r="836" spans="1:6" x14ac:dyDescent="0.15">
      <c r="A836" t="s">
        <v>600</v>
      </c>
      <c r="B836" t="s">
        <v>32</v>
      </c>
      <c r="C836">
        <v>1887.9</v>
      </c>
      <c r="D836">
        <v>0.38797658774299487</v>
      </c>
      <c r="E836">
        <v>436.59</v>
      </c>
      <c r="F836">
        <v>0.61</v>
      </c>
    </row>
    <row r="837" spans="1:6" x14ac:dyDescent="0.15">
      <c r="A837" t="s">
        <v>2157</v>
      </c>
      <c r="B837" t="s">
        <v>32</v>
      </c>
      <c r="C837">
        <v>5</v>
      </c>
      <c r="D837">
        <v>0.4</v>
      </c>
    </row>
    <row r="838" spans="1:6" x14ac:dyDescent="0.15">
      <c r="A838" t="s">
        <v>1207</v>
      </c>
      <c r="B838" t="s">
        <v>32</v>
      </c>
      <c r="C838">
        <v>526</v>
      </c>
      <c r="D838">
        <v>0.69444444444444442</v>
      </c>
    </row>
    <row r="839" spans="1:6" x14ac:dyDescent="0.15">
      <c r="A839" t="s">
        <v>2158</v>
      </c>
      <c r="B839" t="s">
        <v>32</v>
      </c>
      <c r="C839">
        <v>1400</v>
      </c>
      <c r="D839">
        <v>2.8000000000000001E-2</v>
      </c>
    </row>
    <row r="840" spans="1:6" x14ac:dyDescent="0.15">
      <c r="A840" t="s">
        <v>601</v>
      </c>
      <c r="B840" t="s">
        <v>32</v>
      </c>
      <c r="C840">
        <v>31.709387</v>
      </c>
      <c r="D840">
        <v>1</v>
      </c>
      <c r="E840">
        <v>17.763625000000001</v>
      </c>
      <c r="F840">
        <v>1.03</v>
      </c>
    </row>
    <row r="841" spans="1:6" x14ac:dyDescent="0.15">
      <c r="A841" t="s">
        <v>2159</v>
      </c>
      <c r="B841" t="s">
        <v>32</v>
      </c>
      <c r="C841">
        <v>64.2</v>
      </c>
      <c r="D841">
        <v>0.08</v>
      </c>
    </row>
    <row r="842" spans="1:6" x14ac:dyDescent="0.15">
      <c r="A842" t="s">
        <v>2160</v>
      </c>
      <c r="B842" t="s">
        <v>32</v>
      </c>
      <c r="C842">
        <v>258.2</v>
      </c>
      <c r="D842">
        <v>0.94</v>
      </c>
    </row>
    <row r="843" spans="1:6" x14ac:dyDescent="0.15">
      <c r="A843" t="s">
        <v>2161</v>
      </c>
      <c r="B843" t="s">
        <v>32</v>
      </c>
      <c r="C843">
        <v>116</v>
      </c>
      <c r="D843">
        <v>0.31215517241379309</v>
      </c>
    </row>
    <row r="844" spans="1:6" x14ac:dyDescent="0.15">
      <c r="A844" t="s">
        <v>2162</v>
      </c>
      <c r="B844" t="s">
        <v>32</v>
      </c>
      <c r="C844">
        <v>185.71428571428569</v>
      </c>
      <c r="D844">
        <v>0.13</v>
      </c>
    </row>
    <row r="845" spans="1:6" x14ac:dyDescent="0.15">
      <c r="A845" t="s">
        <v>2163</v>
      </c>
      <c r="B845" t="s">
        <v>32</v>
      </c>
      <c r="C845">
        <v>3.97</v>
      </c>
      <c r="D845">
        <v>1.92</v>
      </c>
    </row>
    <row r="846" spans="1:6" x14ac:dyDescent="0.15">
      <c r="A846" t="s">
        <v>2164</v>
      </c>
      <c r="B846" t="s">
        <v>32</v>
      </c>
      <c r="C846">
        <v>6.6</v>
      </c>
      <c r="D846">
        <v>0.5</v>
      </c>
    </row>
    <row r="847" spans="1:6" x14ac:dyDescent="0.15">
      <c r="A847" t="s">
        <v>2165</v>
      </c>
      <c r="B847" t="s">
        <v>32</v>
      </c>
      <c r="C847">
        <v>50</v>
      </c>
      <c r="D847">
        <v>1</v>
      </c>
    </row>
    <row r="848" spans="1:6" x14ac:dyDescent="0.15">
      <c r="A848" t="s">
        <v>2166</v>
      </c>
      <c r="B848" t="s">
        <v>32</v>
      </c>
      <c r="C848">
        <v>31</v>
      </c>
      <c r="D848">
        <v>2.52</v>
      </c>
    </row>
    <row r="849" spans="1:4" x14ac:dyDescent="0.15">
      <c r="A849" t="s">
        <v>2167</v>
      </c>
      <c r="B849" t="s">
        <v>32</v>
      </c>
      <c r="C849">
        <v>3.1126830816668929</v>
      </c>
      <c r="D849">
        <v>0.84171755725190844</v>
      </c>
    </row>
    <row r="850" spans="1:4" x14ac:dyDescent="0.15">
      <c r="A850" t="s">
        <v>2168</v>
      </c>
      <c r="B850" t="s">
        <v>32</v>
      </c>
      <c r="C850">
        <v>47.17</v>
      </c>
      <c r="D850">
        <v>0.3235255458978164</v>
      </c>
    </row>
    <row r="851" spans="1:4" x14ac:dyDescent="0.15">
      <c r="A851" t="s">
        <v>2169</v>
      </c>
      <c r="B851" t="s">
        <v>32</v>
      </c>
      <c r="C851">
        <v>487.20000000000005</v>
      </c>
      <c r="D851">
        <v>0.33885878489326765</v>
      </c>
    </row>
    <row r="852" spans="1:4" x14ac:dyDescent="0.15">
      <c r="A852" t="s">
        <v>2170</v>
      </c>
      <c r="B852" t="s">
        <v>32</v>
      </c>
      <c r="C852">
        <v>23.423423423423422</v>
      </c>
      <c r="D852">
        <v>1.1100000000000001</v>
      </c>
    </row>
    <row r="853" spans="1:4" x14ac:dyDescent="0.15">
      <c r="A853" t="s">
        <v>2171</v>
      </c>
      <c r="B853" t="s">
        <v>32</v>
      </c>
      <c r="C853">
        <v>62</v>
      </c>
      <c r="D853">
        <v>0.5</v>
      </c>
    </row>
    <row r="854" spans="1:4" x14ac:dyDescent="0.15">
      <c r="A854" t="s">
        <v>2172</v>
      </c>
      <c r="B854" t="s">
        <v>32</v>
      </c>
      <c r="C854">
        <v>338</v>
      </c>
      <c r="D854">
        <v>0.45</v>
      </c>
    </row>
    <row r="855" spans="1:4" x14ac:dyDescent="0.15">
      <c r="A855" t="s">
        <v>2173</v>
      </c>
      <c r="B855" t="s">
        <v>32</v>
      </c>
      <c r="C855">
        <v>135</v>
      </c>
      <c r="D855">
        <v>0.43</v>
      </c>
    </row>
    <row r="856" spans="1:4" x14ac:dyDescent="0.15">
      <c r="A856" t="s">
        <v>2174</v>
      </c>
      <c r="B856" t="s">
        <v>32</v>
      </c>
      <c r="C856">
        <v>2</v>
      </c>
      <c r="D856">
        <v>0.5</v>
      </c>
    </row>
    <row r="857" spans="1:4" x14ac:dyDescent="0.15">
      <c r="A857" t="s">
        <v>2175</v>
      </c>
      <c r="B857" t="s">
        <v>32</v>
      </c>
      <c r="C857">
        <v>91.135766129032248</v>
      </c>
      <c r="D857">
        <v>0.12484599589322382</v>
      </c>
    </row>
    <row r="858" spans="1:4" x14ac:dyDescent="0.15">
      <c r="A858" t="s">
        <v>2176</v>
      </c>
      <c r="B858" t="s">
        <v>32</v>
      </c>
      <c r="C858">
        <v>0.14000000000000001</v>
      </c>
      <c r="D858">
        <v>0.75</v>
      </c>
    </row>
    <row r="859" spans="1:4" x14ac:dyDescent="0.15">
      <c r="A859" t="s">
        <v>2177</v>
      </c>
      <c r="B859" t="s">
        <v>32</v>
      </c>
      <c r="C859">
        <v>24.242424242424242</v>
      </c>
      <c r="D859">
        <v>0.66</v>
      </c>
    </row>
    <row r="860" spans="1:4" x14ac:dyDescent="0.15">
      <c r="A860" t="s">
        <v>2178</v>
      </c>
      <c r="B860" t="s">
        <v>32</v>
      </c>
      <c r="C860">
        <v>289.85507246376812</v>
      </c>
      <c r="D860">
        <v>0.69</v>
      </c>
    </row>
    <row r="861" spans="1:4" x14ac:dyDescent="0.15">
      <c r="A861" t="s">
        <v>2179</v>
      </c>
      <c r="B861" t="s">
        <v>32</v>
      </c>
      <c r="C861">
        <v>865.38212499999997</v>
      </c>
      <c r="D861">
        <v>0.27246539363174388</v>
      </c>
    </row>
    <row r="862" spans="1:4" x14ac:dyDescent="0.15">
      <c r="A862" t="s">
        <v>2180</v>
      </c>
      <c r="B862" t="s">
        <v>32</v>
      </c>
      <c r="C862">
        <v>803.84615384615381</v>
      </c>
      <c r="D862">
        <v>0.52</v>
      </c>
    </row>
    <row r="863" spans="1:4" x14ac:dyDescent="0.15">
      <c r="A863" t="s">
        <v>2181</v>
      </c>
      <c r="B863" t="s">
        <v>32</v>
      </c>
      <c r="C863">
        <v>27.400000000000002</v>
      </c>
      <c r="D863">
        <v>1.1327007299270073</v>
      </c>
    </row>
    <row r="864" spans="1:4" x14ac:dyDescent="0.15">
      <c r="A864" t="s">
        <v>2182</v>
      </c>
      <c r="B864" t="s">
        <v>32</v>
      </c>
      <c r="C864">
        <v>62.5</v>
      </c>
      <c r="D864">
        <v>0.8</v>
      </c>
    </row>
    <row r="865" spans="1:6" x14ac:dyDescent="0.15">
      <c r="A865" t="s">
        <v>2183</v>
      </c>
      <c r="B865" t="s">
        <v>32</v>
      </c>
      <c r="C865">
        <v>1778</v>
      </c>
      <c r="D865">
        <v>0.45</v>
      </c>
    </row>
    <row r="866" spans="1:6" x14ac:dyDescent="0.15">
      <c r="A866" t="s">
        <v>2184</v>
      </c>
      <c r="B866" t="s">
        <v>32</v>
      </c>
      <c r="C866">
        <v>128</v>
      </c>
      <c r="D866">
        <v>1.1299999999999999</v>
      </c>
    </row>
    <row r="867" spans="1:6" x14ac:dyDescent="0.15">
      <c r="A867" t="s">
        <v>602</v>
      </c>
      <c r="B867" t="s">
        <v>32</v>
      </c>
      <c r="C867">
        <v>0.73599999999999999</v>
      </c>
      <c r="D867">
        <v>2.5794021739130435</v>
      </c>
      <c r="E867">
        <v>0.40699999999999997</v>
      </c>
      <c r="F867">
        <v>2.8204914004914006</v>
      </c>
    </row>
    <row r="868" spans="1:6" x14ac:dyDescent="0.15">
      <c r="A868" t="s">
        <v>603</v>
      </c>
      <c r="B868" t="s">
        <v>32</v>
      </c>
      <c r="C868">
        <v>20.479999999999997</v>
      </c>
      <c r="D868">
        <v>1.05587890625</v>
      </c>
      <c r="E868">
        <v>9.7010000000000005</v>
      </c>
      <c r="F868">
        <v>1.1200000000000001</v>
      </c>
    </row>
    <row r="869" spans="1:6" x14ac:dyDescent="0.15">
      <c r="A869" t="s">
        <v>2185</v>
      </c>
      <c r="B869" t="s">
        <v>32</v>
      </c>
      <c r="C869">
        <v>71</v>
      </c>
      <c r="D869">
        <v>4.7E-2</v>
      </c>
    </row>
    <row r="870" spans="1:6" x14ac:dyDescent="0.15">
      <c r="A870" t="s">
        <v>2186</v>
      </c>
      <c r="B870" t="s">
        <v>32</v>
      </c>
      <c r="C870">
        <v>49</v>
      </c>
      <c r="D870">
        <v>0.4</v>
      </c>
    </row>
    <row r="871" spans="1:6" x14ac:dyDescent="0.15">
      <c r="A871" t="s">
        <v>2187</v>
      </c>
      <c r="B871" t="s">
        <v>32</v>
      </c>
      <c r="C871">
        <v>3.2</v>
      </c>
      <c r="D871">
        <v>0.56999999999999995</v>
      </c>
    </row>
    <row r="872" spans="1:6" x14ac:dyDescent="0.15">
      <c r="A872" t="s">
        <v>2188</v>
      </c>
      <c r="B872" t="s">
        <v>32</v>
      </c>
      <c r="C872">
        <v>52</v>
      </c>
      <c r="D872">
        <v>1.0900000000000001</v>
      </c>
    </row>
    <row r="873" spans="1:6" x14ac:dyDescent="0.15">
      <c r="A873" t="s">
        <v>2189</v>
      </c>
      <c r="B873" t="s">
        <v>32</v>
      </c>
      <c r="C873">
        <v>15</v>
      </c>
      <c r="D873">
        <v>0.92</v>
      </c>
    </row>
    <row r="874" spans="1:6" x14ac:dyDescent="0.15">
      <c r="A874" t="s">
        <v>2190</v>
      </c>
      <c r="B874" t="s">
        <v>32</v>
      </c>
      <c r="C874">
        <v>72.423803910346948</v>
      </c>
      <c r="D874">
        <v>1.460187086470454</v>
      </c>
    </row>
    <row r="875" spans="1:6" x14ac:dyDescent="0.15">
      <c r="A875" t="s">
        <v>2191</v>
      </c>
      <c r="B875" t="s">
        <v>32</v>
      </c>
      <c r="C875">
        <v>10</v>
      </c>
      <c r="D875">
        <v>1.2</v>
      </c>
    </row>
    <row r="876" spans="1:6" x14ac:dyDescent="0.15">
      <c r="A876" t="s">
        <v>2192</v>
      </c>
      <c r="B876" t="s">
        <v>32</v>
      </c>
      <c r="C876">
        <v>529</v>
      </c>
      <c r="D876">
        <v>0.55000000000000004</v>
      </c>
    </row>
    <row r="877" spans="1:6" x14ac:dyDescent="0.15">
      <c r="A877" t="s">
        <v>2193</v>
      </c>
      <c r="B877" t="s">
        <v>32</v>
      </c>
      <c r="C877">
        <v>9.1666666666666661</v>
      </c>
      <c r="D877">
        <v>0.48</v>
      </c>
    </row>
    <row r="878" spans="1:6" x14ac:dyDescent="0.15">
      <c r="A878" t="s">
        <v>2194</v>
      </c>
      <c r="B878" t="s">
        <v>32</v>
      </c>
      <c r="C878">
        <v>1.5384615384615385</v>
      </c>
      <c r="D878">
        <v>0.52</v>
      </c>
    </row>
    <row r="879" spans="1:6" x14ac:dyDescent="0.15">
      <c r="A879" t="s">
        <v>2195</v>
      </c>
      <c r="B879" t="s">
        <v>32</v>
      </c>
      <c r="C879">
        <v>100</v>
      </c>
      <c r="D879">
        <v>1</v>
      </c>
    </row>
    <row r="880" spans="1:6" x14ac:dyDescent="0.15">
      <c r="A880" t="s">
        <v>2196</v>
      </c>
      <c r="B880" t="s">
        <v>32</v>
      </c>
      <c r="C880">
        <v>63.3</v>
      </c>
      <c r="D880">
        <v>0.74</v>
      </c>
    </row>
    <row r="881" spans="1:6" x14ac:dyDescent="0.15">
      <c r="A881" t="s">
        <v>2197</v>
      </c>
      <c r="B881" t="s">
        <v>32</v>
      </c>
      <c r="C881">
        <v>2089</v>
      </c>
      <c r="D881">
        <v>0.53</v>
      </c>
    </row>
    <row r="882" spans="1:6" x14ac:dyDescent="0.15">
      <c r="A882" t="s">
        <v>2198</v>
      </c>
      <c r="B882" t="s">
        <v>32</v>
      </c>
      <c r="C882">
        <v>8.93</v>
      </c>
      <c r="D882">
        <v>2.91</v>
      </c>
    </row>
    <row r="883" spans="1:6" x14ac:dyDescent="0.15">
      <c r="A883" t="s">
        <v>2199</v>
      </c>
      <c r="B883" t="s">
        <v>32</v>
      </c>
      <c r="C883">
        <v>45</v>
      </c>
      <c r="D883">
        <v>0.94</v>
      </c>
    </row>
    <row r="884" spans="1:6" x14ac:dyDescent="0.15">
      <c r="A884" t="s">
        <v>2200</v>
      </c>
      <c r="B884" t="s">
        <v>32</v>
      </c>
      <c r="C884">
        <v>0.6</v>
      </c>
      <c r="D884">
        <v>1.87</v>
      </c>
    </row>
    <row r="885" spans="1:6" x14ac:dyDescent="0.15">
      <c r="A885" t="s">
        <v>604</v>
      </c>
      <c r="B885" t="s">
        <v>32</v>
      </c>
      <c r="C885">
        <v>6.2219999999999995</v>
      </c>
      <c r="D885">
        <v>1.8718225650916103</v>
      </c>
      <c r="E885">
        <v>4.4009999999999998</v>
      </c>
      <c r="F885">
        <v>1.9287321063394685</v>
      </c>
    </row>
    <row r="886" spans="1:6" x14ac:dyDescent="0.15">
      <c r="A886" t="s">
        <v>2201</v>
      </c>
      <c r="B886" t="s">
        <v>32</v>
      </c>
      <c r="C886">
        <v>440</v>
      </c>
      <c r="D886">
        <v>0.69</v>
      </c>
    </row>
    <row r="887" spans="1:6" x14ac:dyDescent="0.15">
      <c r="A887" t="s">
        <v>605</v>
      </c>
      <c r="B887" t="s">
        <v>32</v>
      </c>
      <c r="C887">
        <v>27.229999999999997</v>
      </c>
      <c r="D887">
        <v>1.2</v>
      </c>
      <c r="E887">
        <v>11.4</v>
      </c>
      <c r="F887">
        <v>1.04</v>
      </c>
    </row>
    <row r="888" spans="1:6" x14ac:dyDescent="0.15">
      <c r="A888" t="s">
        <v>606</v>
      </c>
      <c r="B888" t="s">
        <v>32</v>
      </c>
      <c r="C888">
        <v>40.67</v>
      </c>
      <c r="D888">
        <v>0.7</v>
      </c>
      <c r="E888">
        <v>9.8000000000000007</v>
      </c>
      <c r="F888">
        <v>0.67</v>
      </c>
    </row>
    <row r="889" spans="1:6" x14ac:dyDescent="0.15">
      <c r="A889" t="s">
        <v>2202</v>
      </c>
      <c r="B889" t="s">
        <v>32</v>
      </c>
      <c r="C889">
        <v>10.5</v>
      </c>
      <c r="D889">
        <v>0.62</v>
      </c>
    </row>
    <row r="890" spans="1:6" x14ac:dyDescent="0.15">
      <c r="A890" t="s">
        <v>2203</v>
      </c>
      <c r="B890" t="s">
        <v>32</v>
      </c>
      <c r="C890">
        <v>40</v>
      </c>
      <c r="D890">
        <v>1.25</v>
      </c>
    </row>
    <row r="891" spans="1:6" x14ac:dyDescent="0.15">
      <c r="A891" t="s">
        <v>2204</v>
      </c>
      <c r="B891" t="s">
        <v>32</v>
      </c>
      <c r="C891">
        <v>280</v>
      </c>
      <c r="D891">
        <v>0.75</v>
      </c>
    </row>
    <row r="892" spans="1:6" x14ac:dyDescent="0.15">
      <c r="A892" t="s">
        <v>2205</v>
      </c>
      <c r="B892" t="s">
        <v>32</v>
      </c>
      <c r="C892">
        <v>4.5544554455445549</v>
      </c>
      <c r="D892">
        <v>1.01</v>
      </c>
    </row>
    <row r="893" spans="1:6" x14ac:dyDescent="0.15">
      <c r="A893" t="s">
        <v>2206</v>
      </c>
      <c r="B893" t="s">
        <v>32</v>
      </c>
      <c r="C893">
        <v>10</v>
      </c>
      <c r="D893">
        <v>1.2</v>
      </c>
    </row>
    <row r="894" spans="1:6" x14ac:dyDescent="0.15">
      <c r="A894" t="s">
        <v>2207</v>
      </c>
      <c r="B894" t="s">
        <v>32</v>
      </c>
      <c r="C894">
        <v>18</v>
      </c>
      <c r="D894">
        <v>0.45</v>
      </c>
    </row>
    <row r="895" spans="1:6" x14ac:dyDescent="0.15">
      <c r="A895" t="s">
        <v>2208</v>
      </c>
      <c r="B895" t="s">
        <v>32</v>
      </c>
      <c r="C895">
        <v>478.26086956521743</v>
      </c>
      <c r="D895">
        <v>0.46</v>
      </c>
    </row>
    <row r="896" spans="1:6" x14ac:dyDescent="0.15">
      <c r="A896" t="s">
        <v>2209</v>
      </c>
      <c r="B896" t="s">
        <v>32</v>
      </c>
      <c r="C896">
        <v>8.1999999999999993</v>
      </c>
      <c r="D896">
        <v>1.04</v>
      </c>
    </row>
    <row r="897" spans="1:6" x14ac:dyDescent="0.15">
      <c r="A897" t="s">
        <v>2210</v>
      </c>
      <c r="B897" t="s">
        <v>32</v>
      </c>
      <c r="C897">
        <v>2.4</v>
      </c>
      <c r="D897">
        <v>1.23</v>
      </c>
    </row>
    <row r="898" spans="1:6" x14ac:dyDescent="0.15">
      <c r="A898" t="s">
        <v>2211</v>
      </c>
      <c r="B898" t="s">
        <v>32</v>
      </c>
      <c r="C898">
        <v>5</v>
      </c>
      <c r="D898">
        <v>3</v>
      </c>
    </row>
    <row r="899" spans="1:6" x14ac:dyDescent="0.15">
      <c r="A899" t="s">
        <v>2212</v>
      </c>
      <c r="B899" t="s">
        <v>32</v>
      </c>
      <c r="C899">
        <v>18</v>
      </c>
      <c r="D899">
        <v>0.73</v>
      </c>
    </row>
    <row r="900" spans="1:6" x14ac:dyDescent="0.15">
      <c r="A900" t="s">
        <v>2213</v>
      </c>
      <c r="B900" t="s">
        <v>32</v>
      </c>
      <c r="C900">
        <v>26.3</v>
      </c>
      <c r="D900">
        <v>1.26</v>
      </c>
    </row>
    <row r="901" spans="1:6" x14ac:dyDescent="0.15">
      <c r="A901" t="s">
        <v>607</v>
      </c>
      <c r="B901" t="s">
        <v>32</v>
      </c>
      <c r="C901">
        <v>219.8</v>
      </c>
      <c r="D901">
        <v>0.43</v>
      </c>
      <c r="E901">
        <v>182.1</v>
      </c>
      <c r="F901">
        <v>0.45</v>
      </c>
    </row>
    <row r="902" spans="1:6" x14ac:dyDescent="0.15">
      <c r="A902" t="s">
        <v>2214</v>
      </c>
      <c r="B902" t="s">
        <v>32</v>
      </c>
      <c r="C902">
        <v>64.285714285714278</v>
      </c>
      <c r="D902">
        <v>0.28000000000000003</v>
      </c>
    </row>
    <row r="903" spans="1:6" x14ac:dyDescent="0.15">
      <c r="A903" t="s">
        <v>2215</v>
      </c>
      <c r="B903" t="s">
        <v>32</v>
      </c>
      <c r="C903">
        <v>10</v>
      </c>
      <c r="D903">
        <v>0.2</v>
      </c>
    </row>
    <row r="904" spans="1:6" x14ac:dyDescent="0.15">
      <c r="A904" t="s">
        <v>2216</v>
      </c>
      <c r="B904" t="s">
        <v>32</v>
      </c>
      <c r="C904">
        <v>235.77235772357722</v>
      </c>
      <c r="D904">
        <v>0.123</v>
      </c>
    </row>
    <row r="905" spans="1:6" x14ac:dyDescent="0.15">
      <c r="A905" t="s">
        <v>2217</v>
      </c>
      <c r="B905" t="s">
        <v>32</v>
      </c>
      <c r="C905">
        <v>70.422535211267615</v>
      </c>
      <c r="D905">
        <v>0.71</v>
      </c>
    </row>
    <row r="906" spans="1:6" x14ac:dyDescent="0.15">
      <c r="A906" t="s">
        <v>2218</v>
      </c>
      <c r="B906" t="s">
        <v>32</v>
      </c>
      <c r="C906">
        <v>14.6</v>
      </c>
      <c r="D906">
        <v>1.03</v>
      </c>
    </row>
    <row r="907" spans="1:6" x14ac:dyDescent="0.15">
      <c r="A907" t="s">
        <v>2219</v>
      </c>
      <c r="B907" t="s">
        <v>32</v>
      </c>
      <c r="C907">
        <v>60</v>
      </c>
      <c r="D907">
        <v>0.5</v>
      </c>
    </row>
    <row r="908" spans="1:6" x14ac:dyDescent="0.15">
      <c r="A908" t="s">
        <v>2220</v>
      </c>
      <c r="B908" t="s">
        <v>32</v>
      </c>
      <c r="C908">
        <v>372</v>
      </c>
      <c r="D908">
        <v>0.57999999999999996</v>
      </c>
    </row>
    <row r="909" spans="1:6" x14ac:dyDescent="0.15">
      <c r="A909" t="s">
        <v>2221</v>
      </c>
      <c r="B909" t="s">
        <v>32</v>
      </c>
      <c r="C909">
        <v>22.34</v>
      </c>
      <c r="D909">
        <v>0.73703222918531774</v>
      </c>
    </row>
    <row r="910" spans="1:6" x14ac:dyDescent="0.15">
      <c r="A910" t="s">
        <v>2222</v>
      </c>
      <c r="B910" t="s">
        <v>32</v>
      </c>
      <c r="C910">
        <v>10</v>
      </c>
      <c r="D910">
        <v>0.56000000000000005</v>
      </c>
    </row>
    <row r="911" spans="1:6" x14ac:dyDescent="0.15">
      <c r="A911" t="s">
        <v>2223</v>
      </c>
      <c r="B911" t="s">
        <v>32</v>
      </c>
      <c r="C911">
        <v>40</v>
      </c>
      <c r="D911">
        <v>1</v>
      </c>
    </row>
    <row r="912" spans="1:6" x14ac:dyDescent="0.15">
      <c r="A912" t="s">
        <v>2224</v>
      </c>
      <c r="B912" t="s">
        <v>32</v>
      </c>
      <c r="C912">
        <v>4.4000000000000004</v>
      </c>
      <c r="D912">
        <v>0.08</v>
      </c>
    </row>
    <row r="913" spans="1:6" x14ac:dyDescent="0.15">
      <c r="A913" t="s">
        <v>2225</v>
      </c>
      <c r="B913" t="s">
        <v>32</v>
      </c>
      <c r="C913">
        <v>83</v>
      </c>
      <c r="D913">
        <v>0.52</v>
      </c>
    </row>
    <row r="914" spans="1:6" x14ac:dyDescent="0.15">
      <c r="A914" t="s">
        <v>2226</v>
      </c>
      <c r="B914" t="s">
        <v>32</v>
      </c>
      <c r="C914">
        <v>600</v>
      </c>
      <c r="D914">
        <v>0.16333333333333333</v>
      </c>
    </row>
    <row r="915" spans="1:6" x14ac:dyDescent="0.15">
      <c r="A915" t="s">
        <v>2227</v>
      </c>
      <c r="B915" t="s">
        <v>32</v>
      </c>
      <c r="C915">
        <v>56.6</v>
      </c>
      <c r="D915">
        <v>0.18268551236749117</v>
      </c>
    </row>
    <row r="916" spans="1:6" x14ac:dyDescent="0.15">
      <c r="A916" t="s">
        <v>2228</v>
      </c>
      <c r="B916" t="s">
        <v>32</v>
      </c>
      <c r="C916">
        <v>850</v>
      </c>
      <c r="D916">
        <v>0.84</v>
      </c>
    </row>
    <row r="917" spans="1:6" x14ac:dyDescent="0.15">
      <c r="A917" t="s">
        <v>2229</v>
      </c>
      <c r="B917" t="s">
        <v>32</v>
      </c>
      <c r="C917">
        <v>99.5</v>
      </c>
      <c r="D917">
        <v>0.32</v>
      </c>
    </row>
    <row r="918" spans="1:6" x14ac:dyDescent="0.15">
      <c r="A918" t="s">
        <v>2230</v>
      </c>
      <c r="B918" t="s">
        <v>32</v>
      </c>
      <c r="C918">
        <v>95</v>
      </c>
      <c r="D918">
        <v>1.22</v>
      </c>
    </row>
    <row r="919" spans="1:6" x14ac:dyDescent="0.15">
      <c r="A919" t="s">
        <v>2231</v>
      </c>
      <c r="B919" t="s">
        <v>32</v>
      </c>
      <c r="C919">
        <v>120.48192771084337</v>
      </c>
      <c r="D919">
        <v>0.83</v>
      </c>
    </row>
    <row r="920" spans="1:6" x14ac:dyDescent="0.15">
      <c r="A920" t="s">
        <v>608</v>
      </c>
      <c r="B920" t="s">
        <v>32</v>
      </c>
      <c r="C920">
        <v>536</v>
      </c>
      <c r="D920">
        <v>0.4758208955223881</v>
      </c>
      <c r="E920">
        <v>417</v>
      </c>
      <c r="F920">
        <v>0.39</v>
      </c>
    </row>
    <row r="921" spans="1:6" x14ac:dyDescent="0.15">
      <c r="A921" t="s">
        <v>2232</v>
      </c>
      <c r="B921" t="s">
        <v>928</v>
      </c>
      <c r="C921">
        <v>625</v>
      </c>
      <c r="D921">
        <v>0.77</v>
      </c>
    </row>
    <row r="922" spans="1:6" x14ac:dyDescent="0.15">
      <c r="A922" t="s">
        <v>2233</v>
      </c>
      <c r="B922" t="s">
        <v>928</v>
      </c>
      <c r="C922">
        <v>148.5324</v>
      </c>
      <c r="D922">
        <v>5.7383407256598559E-2</v>
      </c>
    </row>
    <row r="923" spans="1:6" x14ac:dyDescent="0.15">
      <c r="A923" t="s">
        <v>2234</v>
      </c>
      <c r="B923" t="s">
        <v>928</v>
      </c>
      <c r="C923">
        <v>7.5238620000000003</v>
      </c>
      <c r="D923">
        <v>1.92</v>
      </c>
    </row>
    <row r="924" spans="1:6" x14ac:dyDescent="0.15">
      <c r="A924" t="s">
        <v>2235</v>
      </c>
      <c r="B924" t="s">
        <v>928</v>
      </c>
      <c r="C924">
        <v>2.194</v>
      </c>
      <c r="D924">
        <v>3.5061622607110303</v>
      </c>
    </row>
    <row r="925" spans="1:6" x14ac:dyDescent="0.15">
      <c r="A925" t="s">
        <v>2236</v>
      </c>
      <c r="B925" t="s">
        <v>928</v>
      </c>
      <c r="C925">
        <v>28</v>
      </c>
      <c r="D925">
        <v>1.8</v>
      </c>
    </row>
    <row r="926" spans="1:6" x14ac:dyDescent="0.15">
      <c r="A926" t="s">
        <v>2237</v>
      </c>
      <c r="B926" t="s">
        <v>928</v>
      </c>
      <c r="C926">
        <v>64.128</v>
      </c>
      <c r="D926">
        <v>0.09</v>
      </c>
    </row>
    <row r="927" spans="1:6" x14ac:dyDescent="0.15">
      <c r="A927" t="s">
        <v>2238</v>
      </c>
      <c r="B927" t="s">
        <v>928</v>
      </c>
      <c r="C927">
        <v>118.81240700000001</v>
      </c>
      <c r="D927">
        <v>0.15961391095291921</v>
      </c>
    </row>
    <row r="928" spans="1:6" x14ac:dyDescent="0.15">
      <c r="A928" t="s">
        <v>2239</v>
      </c>
      <c r="B928" t="s">
        <v>928</v>
      </c>
      <c r="C928">
        <v>565.66</v>
      </c>
      <c r="D928">
        <v>0.64</v>
      </c>
    </row>
    <row r="929" spans="1:6" x14ac:dyDescent="0.15">
      <c r="A929" t="s">
        <v>2240</v>
      </c>
      <c r="B929" t="s">
        <v>928</v>
      </c>
      <c r="C929">
        <v>165.2</v>
      </c>
      <c r="D929">
        <v>9.9860774818401943E-2</v>
      </c>
    </row>
    <row r="930" spans="1:6" x14ac:dyDescent="0.15">
      <c r="A930" t="s">
        <v>2241</v>
      </c>
      <c r="B930" t="s">
        <v>928</v>
      </c>
      <c r="C930">
        <v>57.793999999999997</v>
      </c>
      <c r="D930">
        <v>0.04</v>
      </c>
    </row>
    <row r="931" spans="1:6" x14ac:dyDescent="0.15">
      <c r="A931" t="s">
        <v>2242</v>
      </c>
      <c r="B931" t="s">
        <v>928</v>
      </c>
      <c r="C931">
        <v>347</v>
      </c>
      <c r="D931">
        <v>0.38951008645533142</v>
      </c>
    </row>
    <row r="932" spans="1:6" x14ac:dyDescent="0.15">
      <c r="A932" t="s">
        <v>2243</v>
      </c>
      <c r="B932" t="s">
        <v>928</v>
      </c>
      <c r="C932">
        <v>700</v>
      </c>
      <c r="D932">
        <v>0.73599999999999999</v>
      </c>
    </row>
    <row r="933" spans="1:6" x14ac:dyDescent="0.15">
      <c r="A933" t="s">
        <v>2244</v>
      </c>
      <c r="B933" t="s">
        <v>928</v>
      </c>
      <c r="C933">
        <v>0.1</v>
      </c>
      <c r="D933">
        <v>5</v>
      </c>
    </row>
    <row r="934" spans="1:6" x14ac:dyDescent="0.15">
      <c r="A934" t="s">
        <v>2245</v>
      </c>
      <c r="B934" t="s">
        <v>928</v>
      </c>
      <c r="C934">
        <v>0.5</v>
      </c>
      <c r="D934">
        <v>2.8</v>
      </c>
    </row>
    <row r="935" spans="1:6" x14ac:dyDescent="0.15">
      <c r="A935" t="s">
        <v>2246</v>
      </c>
      <c r="B935" t="s">
        <v>928</v>
      </c>
      <c r="C935">
        <v>503.70000000000005</v>
      </c>
      <c r="D935">
        <v>0.10447448878300575</v>
      </c>
    </row>
    <row r="936" spans="1:6" x14ac:dyDescent="0.15">
      <c r="A936" t="s">
        <v>2247</v>
      </c>
      <c r="B936" s="5" t="s">
        <v>33</v>
      </c>
      <c r="C936">
        <v>5.5</v>
      </c>
      <c r="D936">
        <v>1.87</v>
      </c>
    </row>
    <row r="937" spans="1:6" x14ac:dyDescent="0.15">
      <c r="A937" t="s">
        <v>2248</v>
      </c>
      <c r="B937" s="5" t="s">
        <v>33</v>
      </c>
      <c r="C937">
        <v>0.9</v>
      </c>
      <c r="D937">
        <v>2</v>
      </c>
    </row>
    <row r="938" spans="1:6" x14ac:dyDescent="0.15">
      <c r="A938" t="s">
        <v>2249</v>
      </c>
      <c r="B938" s="5" t="s">
        <v>33</v>
      </c>
      <c r="C938">
        <v>1.2</v>
      </c>
      <c r="D938">
        <v>1.9</v>
      </c>
    </row>
    <row r="939" spans="1:6" x14ac:dyDescent="0.15">
      <c r="A939" t="s">
        <v>2250</v>
      </c>
      <c r="B939" s="5" t="s">
        <v>33</v>
      </c>
      <c r="C939">
        <v>1.514</v>
      </c>
      <c r="D939">
        <v>6.5227212681638038</v>
      </c>
    </row>
    <row r="940" spans="1:6" x14ac:dyDescent="0.15">
      <c r="A940" t="s">
        <v>2251</v>
      </c>
      <c r="B940" s="5" t="s">
        <v>33</v>
      </c>
      <c r="C940">
        <v>5.8</v>
      </c>
      <c r="D940">
        <v>1.8</v>
      </c>
    </row>
    <row r="941" spans="1:6" x14ac:dyDescent="0.15">
      <c r="A941" t="s">
        <v>2252</v>
      </c>
      <c r="B941" s="5" t="s">
        <v>33</v>
      </c>
      <c r="C941">
        <v>23.487540000000003</v>
      </c>
      <c r="D941">
        <v>2.1448953104497104</v>
      </c>
    </row>
    <row r="942" spans="1:6" x14ac:dyDescent="0.15">
      <c r="A942" t="s">
        <v>609</v>
      </c>
      <c r="B942" s="5" t="s">
        <v>33</v>
      </c>
      <c r="C942">
        <v>273.89999999999998</v>
      </c>
      <c r="D942">
        <v>1.2</v>
      </c>
      <c r="E942">
        <v>99.8</v>
      </c>
      <c r="F942">
        <v>1.2</v>
      </c>
    </row>
    <row r="943" spans="1:6" x14ac:dyDescent="0.15">
      <c r="A943" t="s">
        <v>2253</v>
      </c>
      <c r="B943" s="5" t="s">
        <v>33</v>
      </c>
      <c r="C943">
        <v>4.8</v>
      </c>
      <c r="D943">
        <v>1.3</v>
      </c>
    </row>
    <row r="944" spans="1:6" x14ac:dyDescent="0.15">
      <c r="A944" t="s">
        <v>610</v>
      </c>
      <c r="B944" s="5" t="s">
        <v>33</v>
      </c>
      <c r="C944">
        <v>8.9</v>
      </c>
      <c r="D944">
        <v>1.3</v>
      </c>
      <c r="E944">
        <v>1.2</v>
      </c>
      <c r="F944">
        <v>1.8</v>
      </c>
    </row>
    <row r="945" spans="1:6" x14ac:dyDescent="0.15">
      <c r="A945" t="s">
        <v>2254</v>
      </c>
      <c r="B945" s="5" t="s">
        <v>33</v>
      </c>
      <c r="C945">
        <v>0.373</v>
      </c>
      <c r="D945">
        <v>1.5831099195710456</v>
      </c>
    </row>
    <row r="946" spans="1:6" x14ac:dyDescent="0.15">
      <c r="A946" t="s">
        <v>2255</v>
      </c>
      <c r="B946" s="5" t="s">
        <v>33</v>
      </c>
      <c r="C946">
        <v>94.4</v>
      </c>
      <c r="D946">
        <v>2.2999999999999998</v>
      </c>
    </row>
    <row r="947" spans="1:6" x14ac:dyDescent="0.15">
      <c r="A947" t="s">
        <v>2256</v>
      </c>
      <c r="B947" s="5" t="s">
        <v>33</v>
      </c>
      <c r="C947">
        <v>18.5</v>
      </c>
      <c r="D947">
        <v>1.2</v>
      </c>
    </row>
    <row r="948" spans="1:6" x14ac:dyDescent="0.15">
      <c r="A948" t="s">
        <v>2257</v>
      </c>
      <c r="B948" s="5" t="s">
        <v>33</v>
      </c>
      <c r="C948">
        <v>293</v>
      </c>
      <c r="D948">
        <v>3.205255972696246</v>
      </c>
    </row>
    <row r="949" spans="1:6" x14ac:dyDescent="0.15">
      <c r="A949" t="s">
        <v>2258</v>
      </c>
      <c r="B949" s="5" t="s">
        <v>33</v>
      </c>
      <c r="C949">
        <v>10.41</v>
      </c>
      <c r="D949">
        <v>2.6504707012487994</v>
      </c>
    </row>
    <row r="950" spans="1:6" x14ac:dyDescent="0.15">
      <c r="A950" t="s">
        <v>611</v>
      </c>
      <c r="B950" s="5" t="s">
        <v>33</v>
      </c>
      <c r="C950">
        <v>27.175082</v>
      </c>
      <c r="D950">
        <v>2.5360747754137414</v>
      </c>
      <c r="E950">
        <v>7.8</v>
      </c>
      <c r="F950">
        <v>2.37</v>
      </c>
    </row>
    <row r="951" spans="1:6" x14ac:dyDescent="0.15">
      <c r="A951" t="s">
        <v>2259</v>
      </c>
      <c r="B951" s="5" t="s">
        <v>33</v>
      </c>
      <c r="C951">
        <v>70.13900000000001</v>
      </c>
      <c r="D951">
        <v>1.9563958710560465</v>
      </c>
    </row>
    <row r="952" spans="1:6" x14ac:dyDescent="0.15">
      <c r="A952" t="s">
        <v>2260</v>
      </c>
      <c r="B952" s="5" t="s">
        <v>33</v>
      </c>
      <c r="C952">
        <v>1001</v>
      </c>
      <c r="D952">
        <v>2.449170829170829</v>
      </c>
    </row>
    <row r="953" spans="1:6" x14ac:dyDescent="0.15">
      <c r="A953" t="s">
        <v>612</v>
      </c>
      <c r="B953" s="5" t="s">
        <v>33</v>
      </c>
      <c r="C953">
        <v>407.6</v>
      </c>
      <c r="D953">
        <v>3.6675956820412163</v>
      </c>
      <c r="E953">
        <v>98.5</v>
      </c>
      <c r="F953">
        <v>3.91</v>
      </c>
    </row>
    <row r="954" spans="1:6" x14ac:dyDescent="0.15">
      <c r="A954" t="s">
        <v>2261</v>
      </c>
      <c r="B954" s="5" t="s">
        <v>33</v>
      </c>
      <c r="C954">
        <v>2.8</v>
      </c>
      <c r="D954">
        <v>2.4</v>
      </c>
    </row>
    <row r="955" spans="1:6" x14ac:dyDescent="0.15">
      <c r="A955" t="s">
        <v>613</v>
      </c>
      <c r="B955" s="5" t="s">
        <v>33</v>
      </c>
      <c r="C955">
        <v>9.097999999999999</v>
      </c>
      <c r="D955">
        <v>2.698236975159376</v>
      </c>
      <c r="E955">
        <v>3.04</v>
      </c>
      <c r="F955">
        <v>3.3653453947368424</v>
      </c>
    </row>
    <row r="956" spans="1:6" x14ac:dyDescent="0.15">
      <c r="A956" t="s">
        <v>2262</v>
      </c>
      <c r="B956" s="5" t="s">
        <v>33</v>
      </c>
      <c r="C956">
        <v>3.6</v>
      </c>
      <c r="D956">
        <v>3.1</v>
      </c>
    </row>
    <row r="957" spans="1:6" x14ac:dyDescent="0.15">
      <c r="A957" t="s">
        <v>2263</v>
      </c>
      <c r="B957" s="5" t="s">
        <v>33</v>
      </c>
      <c r="C957">
        <v>0.20200000000000001</v>
      </c>
      <c r="D957">
        <v>1.9570792079207919</v>
      </c>
    </row>
    <row r="958" spans="1:6" x14ac:dyDescent="0.15">
      <c r="A958" t="s">
        <v>2264</v>
      </c>
      <c r="B958" s="5" t="s">
        <v>33</v>
      </c>
      <c r="C958">
        <v>42.3</v>
      </c>
      <c r="D958">
        <v>1.3</v>
      </c>
    </row>
    <row r="959" spans="1:6" x14ac:dyDescent="0.15">
      <c r="A959" t="s">
        <v>614</v>
      </c>
      <c r="B959" s="5" t="s">
        <v>33</v>
      </c>
      <c r="C959">
        <v>53.300000000000004</v>
      </c>
      <c r="D959">
        <v>2.782926829268292</v>
      </c>
      <c r="E959">
        <v>14.2</v>
      </c>
      <c r="F959">
        <v>3.4239436619718311</v>
      </c>
    </row>
    <row r="960" spans="1:6" x14ac:dyDescent="0.15">
      <c r="A960" t="s">
        <v>615</v>
      </c>
      <c r="B960" s="5" t="s">
        <v>33</v>
      </c>
      <c r="C960">
        <v>71.099999999999994</v>
      </c>
      <c r="D960">
        <v>1.2292827004219411</v>
      </c>
      <c r="E960">
        <v>49.3</v>
      </c>
      <c r="F960">
        <v>1.3</v>
      </c>
    </row>
    <row r="961" spans="1:6" x14ac:dyDescent="0.15">
      <c r="A961" t="s">
        <v>2265</v>
      </c>
      <c r="B961" s="5" t="s">
        <v>33</v>
      </c>
      <c r="C961">
        <v>25.975458000000003</v>
      </c>
      <c r="D961">
        <v>2.1841765130763044</v>
      </c>
    </row>
    <row r="962" spans="1:6" x14ac:dyDescent="0.15">
      <c r="A962" t="s">
        <v>2266</v>
      </c>
      <c r="B962" s="5" t="s">
        <v>33</v>
      </c>
      <c r="C962">
        <v>96</v>
      </c>
      <c r="D962">
        <v>2.8129166666666667</v>
      </c>
    </row>
    <row r="963" spans="1:6" x14ac:dyDescent="0.15">
      <c r="A963" t="s">
        <v>2267</v>
      </c>
      <c r="B963" s="5" t="s">
        <v>33</v>
      </c>
      <c r="C963">
        <v>90.6</v>
      </c>
      <c r="D963">
        <v>2</v>
      </c>
    </row>
    <row r="964" spans="1:6" x14ac:dyDescent="0.15">
      <c r="A964" t="s">
        <v>2268</v>
      </c>
      <c r="B964" s="5" t="s">
        <v>33</v>
      </c>
      <c r="C964">
        <v>15.069999999999999</v>
      </c>
      <c r="D964">
        <v>1.0975447909754481</v>
      </c>
    </row>
    <row r="965" spans="1:6" x14ac:dyDescent="0.15">
      <c r="A965" t="s">
        <v>2269</v>
      </c>
      <c r="B965" s="5" t="s">
        <v>33</v>
      </c>
      <c r="C965">
        <v>2.2999999999999998</v>
      </c>
      <c r="D965">
        <v>2</v>
      </c>
    </row>
    <row r="966" spans="1:6" x14ac:dyDescent="0.15">
      <c r="A966" t="s">
        <v>2270</v>
      </c>
      <c r="B966" s="5" t="s">
        <v>33</v>
      </c>
      <c r="C966">
        <v>12.399999999999999</v>
      </c>
      <c r="D966">
        <v>1.1235483870967742</v>
      </c>
    </row>
    <row r="967" spans="1:6" x14ac:dyDescent="0.15">
      <c r="A967" t="s">
        <v>2271</v>
      </c>
      <c r="B967" s="5" t="s">
        <v>33</v>
      </c>
      <c r="C967">
        <v>59.9</v>
      </c>
      <c r="D967">
        <v>2.4</v>
      </c>
    </row>
    <row r="968" spans="1:6" x14ac:dyDescent="0.15">
      <c r="A968" t="s">
        <v>616</v>
      </c>
      <c r="B968" s="5" t="s">
        <v>33</v>
      </c>
      <c r="C968">
        <v>21.3</v>
      </c>
      <c r="D968">
        <v>2.0117370892018784</v>
      </c>
      <c r="E968">
        <v>7</v>
      </c>
      <c r="F968">
        <v>2</v>
      </c>
    </row>
    <row r="969" spans="1:6" x14ac:dyDescent="0.15">
      <c r="A969" t="s">
        <v>617</v>
      </c>
      <c r="B969" s="5" t="s">
        <v>33</v>
      </c>
      <c r="C969">
        <v>21</v>
      </c>
      <c r="D969">
        <v>5.5</v>
      </c>
      <c r="E969">
        <v>6.1</v>
      </c>
      <c r="F969">
        <v>4.8</v>
      </c>
    </row>
    <row r="970" spans="1:6" x14ac:dyDescent="0.15">
      <c r="A970" t="s">
        <v>2272</v>
      </c>
      <c r="B970" s="5" t="s">
        <v>33</v>
      </c>
      <c r="C970">
        <v>1.220817</v>
      </c>
      <c r="D970">
        <v>1.51</v>
      </c>
    </row>
    <row r="971" spans="1:6" x14ac:dyDescent="0.15">
      <c r="A971" t="s">
        <v>618</v>
      </c>
      <c r="B971" s="5" t="s">
        <v>33</v>
      </c>
      <c r="C971">
        <v>4.3</v>
      </c>
      <c r="D971">
        <v>1.3</v>
      </c>
      <c r="E971">
        <v>1.5</v>
      </c>
      <c r="F971">
        <v>1.5</v>
      </c>
    </row>
    <row r="972" spans="1:6" x14ac:dyDescent="0.15">
      <c r="A972" t="s">
        <v>2273</v>
      </c>
      <c r="B972" s="5" t="s">
        <v>33</v>
      </c>
      <c r="C972">
        <v>31.7</v>
      </c>
      <c r="D972">
        <v>2.8</v>
      </c>
    </row>
    <row r="973" spans="1:6" x14ac:dyDescent="0.15">
      <c r="A973" t="s">
        <v>2274</v>
      </c>
      <c r="B973" s="5" t="s">
        <v>33</v>
      </c>
      <c r="C973">
        <v>70.5</v>
      </c>
      <c r="D973">
        <v>1.6</v>
      </c>
    </row>
    <row r="974" spans="1:6" x14ac:dyDescent="0.15">
      <c r="A974" t="s">
        <v>619</v>
      </c>
      <c r="B974" s="5" t="s">
        <v>33</v>
      </c>
      <c r="C974">
        <v>660</v>
      </c>
      <c r="D974">
        <v>1.1565909090909092</v>
      </c>
      <c r="E974">
        <v>156.80000000000001</v>
      </c>
      <c r="F974">
        <v>2.0356122448979592</v>
      </c>
    </row>
    <row r="975" spans="1:6" x14ac:dyDescent="0.15">
      <c r="A975" t="s">
        <v>2275</v>
      </c>
      <c r="B975" s="5" t="s">
        <v>33</v>
      </c>
      <c r="C975">
        <v>9.4</v>
      </c>
      <c r="D975">
        <v>1.9531914893617019</v>
      </c>
    </row>
    <row r="976" spans="1:6" x14ac:dyDescent="0.15">
      <c r="A976" t="s">
        <v>620</v>
      </c>
      <c r="B976" s="5" t="s">
        <v>33</v>
      </c>
      <c r="C976">
        <v>26.9</v>
      </c>
      <c r="D976">
        <v>2.4</v>
      </c>
      <c r="E976">
        <v>8.9</v>
      </c>
      <c r="F976">
        <v>2.2999999999999998</v>
      </c>
    </row>
    <row r="977" spans="1:6" x14ac:dyDescent="0.15">
      <c r="A977" t="s">
        <v>2276</v>
      </c>
      <c r="B977" s="5" t="s">
        <v>33</v>
      </c>
      <c r="C977">
        <v>1.1000000000000001</v>
      </c>
      <c r="D977">
        <v>2.5</v>
      </c>
    </row>
    <row r="978" spans="1:6" x14ac:dyDescent="0.15">
      <c r="A978" t="s">
        <v>2277</v>
      </c>
      <c r="B978" s="5" t="s">
        <v>33</v>
      </c>
      <c r="C978">
        <v>0.6</v>
      </c>
      <c r="D978">
        <v>2.9</v>
      </c>
    </row>
    <row r="979" spans="1:6" x14ac:dyDescent="0.15">
      <c r="A979" t="s">
        <v>2278</v>
      </c>
      <c r="B979" s="5" t="s">
        <v>33</v>
      </c>
      <c r="C979">
        <v>2.4</v>
      </c>
      <c r="D979">
        <v>1.4</v>
      </c>
    </row>
    <row r="980" spans="1:6" x14ac:dyDescent="0.15">
      <c r="A980" t="s">
        <v>621</v>
      </c>
      <c r="B980" s="5" t="s">
        <v>33</v>
      </c>
      <c r="C980">
        <v>1256.9920000000002</v>
      </c>
      <c r="D980">
        <v>2.3211067373539365</v>
      </c>
      <c r="E980">
        <v>144.36199999999999</v>
      </c>
      <c r="F980">
        <v>2.5689495850708637</v>
      </c>
    </row>
    <row r="981" spans="1:6" x14ac:dyDescent="0.15">
      <c r="A981" t="s">
        <v>1222</v>
      </c>
      <c r="B981" t="s">
        <v>1220</v>
      </c>
      <c r="C981">
        <v>48.037999999999997</v>
      </c>
      <c r="D981">
        <v>0.18677921645364087</v>
      </c>
    </row>
    <row r="982" spans="1:6" x14ac:dyDescent="0.15">
      <c r="A982" t="s">
        <v>2279</v>
      </c>
      <c r="B982" t="s">
        <v>76</v>
      </c>
      <c r="C982">
        <v>88.8</v>
      </c>
      <c r="D982">
        <v>0.27</v>
      </c>
    </row>
    <row r="983" spans="1:6" x14ac:dyDescent="0.15">
      <c r="A983" t="s">
        <v>2280</v>
      </c>
      <c r="B983" t="s">
        <v>76</v>
      </c>
      <c r="C983">
        <v>0.14399999999999999</v>
      </c>
      <c r="D983">
        <v>2</v>
      </c>
    </row>
    <row r="984" spans="1:6" x14ac:dyDescent="0.15">
      <c r="A984" t="s">
        <v>2281</v>
      </c>
      <c r="B984" t="s">
        <v>76</v>
      </c>
      <c r="C984">
        <v>1</v>
      </c>
      <c r="D984">
        <v>1</v>
      </c>
    </row>
    <row r="985" spans="1:6" x14ac:dyDescent="0.15">
      <c r="A985" t="s">
        <v>2282</v>
      </c>
      <c r="B985" t="s">
        <v>76</v>
      </c>
      <c r="C985">
        <v>3.8499999999999996</v>
      </c>
      <c r="D985">
        <v>1.0096103896103896</v>
      </c>
    </row>
    <row r="986" spans="1:6" x14ac:dyDescent="0.15">
      <c r="A986" t="s">
        <v>2283</v>
      </c>
      <c r="B986" t="s">
        <v>76</v>
      </c>
      <c r="C986">
        <v>11.3</v>
      </c>
      <c r="D986">
        <v>1.1200000000000001</v>
      </c>
    </row>
    <row r="987" spans="1:6" x14ac:dyDescent="0.15">
      <c r="A987" t="s">
        <v>2284</v>
      </c>
      <c r="B987" t="s">
        <v>76</v>
      </c>
      <c r="C987">
        <v>5</v>
      </c>
      <c r="D987">
        <v>0.81</v>
      </c>
    </row>
    <row r="988" spans="1:6" x14ac:dyDescent="0.15">
      <c r="A988" t="s">
        <v>2285</v>
      </c>
      <c r="B988" t="s">
        <v>76</v>
      </c>
      <c r="C988">
        <v>11.39</v>
      </c>
      <c r="D988">
        <v>1.76</v>
      </c>
    </row>
    <row r="989" spans="1:6" x14ac:dyDescent="0.15">
      <c r="A989" t="s">
        <v>2286</v>
      </c>
      <c r="B989" t="s">
        <v>76</v>
      </c>
      <c r="C989">
        <v>0.57999999999999996</v>
      </c>
      <c r="D989">
        <v>1.38</v>
      </c>
    </row>
    <row r="990" spans="1:6" x14ac:dyDescent="0.15">
      <c r="A990" t="s">
        <v>2287</v>
      </c>
      <c r="B990" t="s">
        <v>76</v>
      </c>
      <c r="C990">
        <v>0.5</v>
      </c>
      <c r="D990">
        <v>1.5</v>
      </c>
    </row>
    <row r="991" spans="1:6" x14ac:dyDescent="0.15">
      <c r="A991" t="s">
        <v>2288</v>
      </c>
      <c r="B991" t="s">
        <v>76</v>
      </c>
      <c r="C991">
        <v>11.978999999999999</v>
      </c>
      <c r="D991">
        <v>2.0038016528925624</v>
      </c>
    </row>
    <row r="992" spans="1:6" x14ac:dyDescent="0.15">
      <c r="A992" t="s">
        <v>2289</v>
      </c>
      <c r="B992" t="s">
        <v>76</v>
      </c>
      <c r="C992">
        <v>0.8</v>
      </c>
      <c r="D992">
        <v>1.1499999999999999</v>
      </c>
    </row>
    <row r="993" spans="1:4" x14ac:dyDescent="0.15">
      <c r="A993" t="s">
        <v>2059</v>
      </c>
      <c r="B993" t="s">
        <v>76</v>
      </c>
      <c r="C993">
        <v>0.54</v>
      </c>
      <c r="D993">
        <v>0.86</v>
      </c>
    </row>
    <row r="994" spans="1:4" x14ac:dyDescent="0.15">
      <c r="A994" t="s">
        <v>2290</v>
      </c>
      <c r="B994" t="s">
        <v>1498</v>
      </c>
      <c r="C994">
        <v>5.5</v>
      </c>
      <c r="D994">
        <v>0.53963636363636358</v>
      </c>
    </row>
    <row r="995" spans="1:4" x14ac:dyDescent="0.15">
      <c r="A995" t="s">
        <v>2291</v>
      </c>
      <c r="B995" t="s">
        <v>1498</v>
      </c>
      <c r="C995">
        <v>1.7</v>
      </c>
      <c r="D995">
        <v>1.8</v>
      </c>
    </row>
    <row r="996" spans="1:4" x14ac:dyDescent="0.15">
      <c r="A996" t="s">
        <v>2292</v>
      </c>
      <c r="B996" t="s">
        <v>1498</v>
      </c>
      <c r="C996">
        <v>1.5</v>
      </c>
      <c r="D996">
        <v>2.2666666666666666</v>
      </c>
    </row>
    <row r="997" spans="1:4" x14ac:dyDescent="0.15">
      <c r="A997" t="s">
        <v>2293</v>
      </c>
      <c r="B997" t="s">
        <v>1498</v>
      </c>
      <c r="C997">
        <v>0.52</v>
      </c>
      <c r="D997">
        <v>2.2999999999999998</v>
      </c>
    </row>
    <row r="998" spans="1:4" x14ac:dyDescent="0.15">
      <c r="A998" t="s">
        <v>2294</v>
      </c>
      <c r="B998" t="s">
        <v>1498</v>
      </c>
      <c r="C998">
        <v>17</v>
      </c>
      <c r="D998">
        <v>1</v>
      </c>
    </row>
    <row r="999" spans="1:4" x14ac:dyDescent="0.15">
      <c r="A999" t="s">
        <v>2295</v>
      </c>
      <c r="B999" t="s">
        <v>1498</v>
      </c>
      <c r="C999">
        <v>2.8</v>
      </c>
      <c r="D999">
        <v>0.2</v>
      </c>
    </row>
    <row r="1000" spans="1:4" x14ac:dyDescent="0.15">
      <c r="A1000" t="s">
        <v>2296</v>
      </c>
      <c r="B1000" t="s">
        <v>1498</v>
      </c>
      <c r="C1000">
        <v>15</v>
      </c>
      <c r="D1000">
        <v>3.8</v>
      </c>
    </row>
    <row r="1001" spans="1:4" x14ac:dyDescent="0.15">
      <c r="A1001" t="s">
        <v>2297</v>
      </c>
      <c r="B1001" t="s">
        <v>1498</v>
      </c>
      <c r="C1001">
        <v>6.92</v>
      </c>
      <c r="D1001">
        <v>1</v>
      </c>
    </row>
    <row r="1002" spans="1:4" x14ac:dyDescent="0.15">
      <c r="A1002" t="s">
        <v>2298</v>
      </c>
      <c r="B1002" t="s">
        <v>1498</v>
      </c>
      <c r="C1002">
        <v>15</v>
      </c>
      <c r="D1002">
        <v>0.5</v>
      </c>
    </row>
    <row r="1003" spans="1:4" x14ac:dyDescent="0.15">
      <c r="A1003" t="s">
        <v>2299</v>
      </c>
      <c r="B1003" t="s">
        <v>1498</v>
      </c>
      <c r="C1003">
        <v>4.1246376811594203</v>
      </c>
      <c r="D1003">
        <v>2.2999999999999998</v>
      </c>
    </row>
    <row r="1004" spans="1:4" x14ac:dyDescent="0.15">
      <c r="A1004" t="s">
        <v>2300</v>
      </c>
      <c r="B1004" t="s">
        <v>2301</v>
      </c>
      <c r="C1004">
        <v>3.5529999999999999</v>
      </c>
      <c r="D1004">
        <v>1.04</v>
      </c>
    </row>
    <row r="1005" spans="1:4" x14ac:dyDescent="0.15">
      <c r="A1005" t="s">
        <v>2302</v>
      </c>
      <c r="B1005" t="s">
        <v>861</v>
      </c>
      <c r="C1005">
        <v>1.3480000000000001</v>
      </c>
      <c r="D1005">
        <v>0.54</v>
      </c>
    </row>
    <row r="1006" spans="1:4" x14ac:dyDescent="0.15">
      <c r="A1006" t="s">
        <v>2303</v>
      </c>
      <c r="B1006" t="s">
        <v>861</v>
      </c>
      <c r="C1006">
        <v>4.9250000000000007</v>
      </c>
      <c r="D1006">
        <v>0.9834416243654821</v>
      </c>
    </row>
    <row r="1007" spans="1:4" x14ac:dyDescent="0.15">
      <c r="A1007" t="s">
        <v>2304</v>
      </c>
      <c r="B1007" t="s">
        <v>861</v>
      </c>
      <c r="C1007">
        <v>0.51500000000000001</v>
      </c>
      <c r="D1007">
        <v>0.17</v>
      </c>
    </row>
    <row r="1008" spans="1:4" x14ac:dyDescent="0.15">
      <c r="A1008" t="s">
        <v>2305</v>
      </c>
      <c r="B1008" t="s">
        <v>861</v>
      </c>
      <c r="C1008">
        <v>127.8</v>
      </c>
      <c r="D1008">
        <v>0.31</v>
      </c>
    </row>
    <row r="1009" spans="1:6" x14ac:dyDescent="0.15">
      <c r="A1009" t="s">
        <v>2306</v>
      </c>
      <c r="B1009" t="s">
        <v>861</v>
      </c>
      <c r="C1009">
        <v>8.1999999999999993</v>
      </c>
      <c r="D1009">
        <v>0.5</v>
      </c>
    </row>
    <row r="1010" spans="1:6" x14ac:dyDescent="0.15">
      <c r="A1010" t="s">
        <v>2307</v>
      </c>
      <c r="B1010" t="s">
        <v>861</v>
      </c>
      <c r="C1010">
        <v>1.405</v>
      </c>
      <c r="D1010">
        <v>2.1309964412811393</v>
      </c>
    </row>
    <row r="1011" spans="1:6" x14ac:dyDescent="0.15">
      <c r="A1011" t="s">
        <v>2308</v>
      </c>
      <c r="B1011" t="s">
        <v>861</v>
      </c>
      <c r="C1011">
        <v>3.37</v>
      </c>
      <c r="D1011">
        <v>2.2000000000000002</v>
      </c>
    </row>
    <row r="1012" spans="1:6" x14ac:dyDescent="0.15">
      <c r="A1012" t="s">
        <v>2309</v>
      </c>
      <c r="B1012" t="s">
        <v>861</v>
      </c>
      <c r="C1012">
        <v>4.8628349999999996</v>
      </c>
      <c r="D1012">
        <v>0.156</v>
      </c>
    </row>
    <row r="1013" spans="1:6" x14ac:dyDescent="0.15">
      <c r="A1013" t="s">
        <v>2310</v>
      </c>
      <c r="B1013" t="s">
        <v>861</v>
      </c>
      <c r="C1013">
        <v>1.45</v>
      </c>
      <c r="D1013">
        <v>2.4478358620689651</v>
      </c>
    </row>
    <row r="1014" spans="1:6" x14ac:dyDescent="0.15">
      <c r="A1014" t="s">
        <v>622</v>
      </c>
      <c r="B1014" t="s">
        <v>861</v>
      </c>
      <c r="C1014">
        <v>323.48500000000001</v>
      </c>
      <c r="D1014">
        <v>8.7986526938394857E-2</v>
      </c>
      <c r="E1014">
        <v>156.4616666666667</v>
      </c>
      <c r="F1014">
        <v>9.4353430552744533E-2</v>
      </c>
    </row>
    <row r="1015" spans="1:6" x14ac:dyDescent="0.15">
      <c r="A1015" t="s">
        <v>2311</v>
      </c>
      <c r="B1015" t="s">
        <v>861</v>
      </c>
      <c r="C1015">
        <v>57.55</v>
      </c>
      <c r="D1015">
        <v>0.35856646394439617</v>
      </c>
    </row>
    <row r="1016" spans="1:6" x14ac:dyDescent="0.15">
      <c r="A1016" t="s">
        <v>2312</v>
      </c>
      <c r="B1016" t="s">
        <v>862</v>
      </c>
      <c r="C1016">
        <v>400</v>
      </c>
      <c r="D1016">
        <v>0.4</v>
      </c>
    </row>
    <row r="1017" spans="1:6" x14ac:dyDescent="0.15">
      <c r="A1017" t="s">
        <v>2313</v>
      </c>
      <c r="B1017" t="s">
        <v>862</v>
      </c>
      <c r="C1017">
        <v>161</v>
      </c>
      <c r="D1017">
        <v>0.31</v>
      </c>
    </row>
    <row r="1018" spans="1:6" x14ac:dyDescent="0.15">
      <c r="A1018" t="s">
        <v>2314</v>
      </c>
      <c r="B1018" t="s">
        <v>862</v>
      </c>
      <c r="C1018">
        <v>46.8</v>
      </c>
      <c r="D1018">
        <v>0.02</v>
      </c>
    </row>
    <row r="1019" spans="1:6" x14ac:dyDescent="0.15">
      <c r="A1019" t="s">
        <v>2315</v>
      </c>
      <c r="B1019" t="s">
        <v>862</v>
      </c>
      <c r="C1019">
        <v>542.173</v>
      </c>
      <c r="D1019">
        <v>0.1</v>
      </c>
    </row>
    <row r="1020" spans="1:6" x14ac:dyDescent="0.15">
      <c r="A1020" t="s">
        <v>2316</v>
      </c>
      <c r="B1020" t="s">
        <v>862</v>
      </c>
      <c r="C1020">
        <v>54.9</v>
      </c>
      <c r="D1020">
        <v>1.9999999999999997E-2</v>
      </c>
    </row>
    <row r="1021" spans="1:6" x14ac:dyDescent="0.15">
      <c r="A1021" t="s">
        <v>2317</v>
      </c>
      <c r="B1021" t="s">
        <v>862</v>
      </c>
      <c r="C1021">
        <v>9.9619999999999997</v>
      </c>
      <c r="D1021">
        <v>2.0299457940172658</v>
      </c>
    </row>
    <row r="1022" spans="1:6" x14ac:dyDescent="0.15">
      <c r="A1022" t="s">
        <v>2318</v>
      </c>
      <c r="B1022" t="s">
        <v>862</v>
      </c>
      <c r="C1022">
        <v>53.5</v>
      </c>
      <c r="D1022">
        <v>0.2</v>
      </c>
    </row>
    <row r="1023" spans="1:6" x14ac:dyDescent="0.15">
      <c r="A1023" t="s">
        <v>2319</v>
      </c>
      <c r="B1023" t="s">
        <v>862</v>
      </c>
      <c r="C1023">
        <v>675.09999999999991</v>
      </c>
      <c r="D1023">
        <v>8.2230336246482016E-2</v>
      </c>
    </row>
    <row r="1024" spans="1:6" x14ac:dyDescent="0.15">
      <c r="A1024" t="s">
        <v>2320</v>
      </c>
      <c r="B1024" t="s">
        <v>862</v>
      </c>
      <c r="C1024">
        <v>0.84</v>
      </c>
      <c r="D1024">
        <v>4.0599999999999996</v>
      </c>
    </row>
    <row r="1025" spans="1:6" x14ac:dyDescent="0.15">
      <c r="A1025" t="s">
        <v>2321</v>
      </c>
      <c r="B1025" t="s">
        <v>862</v>
      </c>
      <c r="C1025">
        <v>982</v>
      </c>
      <c r="D1025">
        <v>0.89</v>
      </c>
    </row>
    <row r="1026" spans="1:6" x14ac:dyDescent="0.15">
      <c r="A1026" t="s">
        <v>623</v>
      </c>
      <c r="B1026" t="s">
        <v>862</v>
      </c>
      <c r="C1026">
        <v>25.2</v>
      </c>
      <c r="D1026">
        <v>0.22234126984126984</v>
      </c>
      <c r="E1026">
        <v>11.638</v>
      </c>
      <c r="F1026">
        <v>0.28999999999999998</v>
      </c>
    </row>
    <row r="1027" spans="1:6" x14ac:dyDescent="0.15">
      <c r="A1027" t="s">
        <v>2322</v>
      </c>
      <c r="B1027" t="s">
        <v>862</v>
      </c>
      <c r="C1027">
        <v>1188.49</v>
      </c>
      <c r="D1027">
        <v>0.5102217940411784</v>
      </c>
    </row>
    <row r="1028" spans="1:6" x14ac:dyDescent="0.15">
      <c r="A1028" t="s">
        <v>2323</v>
      </c>
      <c r="B1028" t="s">
        <v>862</v>
      </c>
      <c r="C1028">
        <v>547</v>
      </c>
      <c r="D1028">
        <v>0.6</v>
      </c>
    </row>
    <row r="1029" spans="1:6" x14ac:dyDescent="0.15">
      <c r="A1029" t="s">
        <v>2324</v>
      </c>
      <c r="B1029" t="s">
        <v>862</v>
      </c>
      <c r="C1029">
        <v>764</v>
      </c>
      <c r="D1029">
        <v>0.52</v>
      </c>
    </row>
    <row r="1030" spans="1:6" x14ac:dyDescent="0.15">
      <c r="A1030" t="s">
        <v>2325</v>
      </c>
      <c r="B1030" t="s">
        <v>862</v>
      </c>
      <c r="C1030">
        <v>47.692000000000007</v>
      </c>
      <c r="D1030">
        <v>0.12761825882747629</v>
      </c>
    </row>
    <row r="1031" spans="1:6" x14ac:dyDescent="0.15">
      <c r="A1031" t="s">
        <v>2326</v>
      </c>
      <c r="B1031" t="s">
        <v>862</v>
      </c>
      <c r="C1031">
        <v>206.63499999999999</v>
      </c>
      <c r="D1031">
        <v>0.41</v>
      </c>
    </row>
    <row r="1032" spans="1:6" x14ac:dyDescent="0.15">
      <c r="A1032" t="s">
        <v>2327</v>
      </c>
      <c r="B1032" t="s">
        <v>2328</v>
      </c>
      <c r="C1032">
        <v>2.879</v>
      </c>
      <c r="D1032">
        <v>0.77</v>
      </c>
    </row>
    <row r="1033" spans="1:6" x14ac:dyDescent="0.15">
      <c r="A1033" t="s">
        <v>2329</v>
      </c>
      <c r="B1033" t="s">
        <v>2328</v>
      </c>
      <c r="C1033">
        <v>0.3</v>
      </c>
      <c r="D1033">
        <v>1.1499999999999999</v>
      </c>
    </row>
    <row r="1034" spans="1:6" x14ac:dyDescent="0.15">
      <c r="A1034" t="s">
        <v>624</v>
      </c>
      <c r="B1034" t="s">
        <v>863</v>
      </c>
      <c r="C1034">
        <v>1.841</v>
      </c>
      <c r="D1034">
        <v>1.78</v>
      </c>
      <c r="E1034">
        <v>1.6819999999999999</v>
      </c>
      <c r="F1034">
        <v>1.6</v>
      </c>
    </row>
    <row r="1035" spans="1:6" x14ac:dyDescent="0.15">
      <c r="A1035" t="s">
        <v>2330</v>
      </c>
      <c r="B1035" t="s">
        <v>863</v>
      </c>
      <c r="C1035">
        <v>15.77</v>
      </c>
      <c r="D1035">
        <v>0.54</v>
      </c>
    </row>
    <row r="1036" spans="1:6" x14ac:dyDescent="0.15">
      <c r="A1036" t="s">
        <v>625</v>
      </c>
      <c r="B1036" t="s">
        <v>863</v>
      </c>
      <c r="C1036">
        <v>3.9929999999999994</v>
      </c>
      <c r="D1036">
        <v>2.4258151765589782</v>
      </c>
      <c r="E1036">
        <v>1.831</v>
      </c>
      <c r="F1036">
        <v>3.8071545603495358</v>
      </c>
    </row>
    <row r="1037" spans="1:6" x14ac:dyDescent="0.15">
      <c r="A1037" t="s">
        <v>626</v>
      </c>
      <c r="B1037" t="s">
        <v>863</v>
      </c>
      <c r="C1037">
        <v>85.009999999999991</v>
      </c>
      <c r="D1037">
        <v>0.66932949064815905</v>
      </c>
      <c r="E1037">
        <v>50.033999999999999</v>
      </c>
      <c r="F1037">
        <v>0.72453131870328169</v>
      </c>
    </row>
    <row r="1038" spans="1:6" x14ac:dyDescent="0.15">
      <c r="A1038" t="s">
        <v>627</v>
      </c>
      <c r="B1038" t="s">
        <v>863</v>
      </c>
      <c r="C1038">
        <v>28.500000000000004</v>
      </c>
      <c r="D1038">
        <v>1.1135473684210524</v>
      </c>
      <c r="E1038">
        <v>20.876000000000001</v>
      </c>
      <c r="F1038">
        <v>1.1545406208085842</v>
      </c>
    </row>
    <row r="1039" spans="1:6" x14ac:dyDescent="0.15">
      <c r="A1039" t="s">
        <v>628</v>
      </c>
      <c r="B1039" t="s">
        <v>863</v>
      </c>
      <c r="C1039">
        <v>14.59</v>
      </c>
      <c r="D1039">
        <v>1.2995681973954762</v>
      </c>
      <c r="E1039">
        <v>1.0249999999999999</v>
      </c>
      <c r="F1039">
        <v>0.89</v>
      </c>
    </row>
    <row r="1040" spans="1:6" x14ac:dyDescent="0.15">
      <c r="A1040" t="s">
        <v>2331</v>
      </c>
      <c r="B1040" t="s">
        <v>863</v>
      </c>
      <c r="C1040">
        <v>6.8620000000000001</v>
      </c>
      <c r="D1040">
        <v>1.1399300495482365</v>
      </c>
    </row>
    <row r="1041" spans="1:6" x14ac:dyDescent="0.15">
      <c r="A1041" t="s">
        <v>2332</v>
      </c>
      <c r="B1041" t="s">
        <v>863</v>
      </c>
      <c r="C1041">
        <v>3.75</v>
      </c>
      <c r="D1041">
        <v>1.1468266666666664</v>
      </c>
    </row>
    <row r="1042" spans="1:6" x14ac:dyDescent="0.15">
      <c r="A1042" t="s">
        <v>2333</v>
      </c>
      <c r="B1042" t="s">
        <v>1230</v>
      </c>
      <c r="C1042">
        <v>9.3149999999999995</v>
      </c>
      <c r="D1042">
        <v>0.4</v>
      </c>
    </row>
    <row r="1043" spans="1:6" x14ac:dyDescent="0.15">
      <c r="A1043" t="s">
        <v>2334</v>
      </c>
      <c r="B1043" t="s">
        <v>1230</v>
      </c>
      <c r="C1043">
        <v>6.0510000000000002</v>
      </c>
      <c r="D1043">
        <v>1.2531350190051231</v>
      </c>
    </row>
    <row r="1044" spans="1:6" x14ac:dyDescent="0.15">
      <c r="A1044" t="s">
        <v>629</v>
      </c>
      <c r="B1044" t="s">
        <v>864</v>
      </c>
      <c r="C1044">
        <v>2150.8419414178575</v>
      </c>
      <c r="D1044">
        <v>0.35013157894736846</v>
      </c>
      <c r="E1044">
        <v>1330.1259374557803</v>
      </c>
      <c r="F1044">
        <v>0.37</v>
      </c>
    </row>
    <row r="1045" spans="1:6" x14ac:dyDescent="0.15">
      <c r="A1045" t="s">
        <v>2335</v>
      </c>
      <c r="B1045" t="s">
        <v>864</v>
      </c>
      <c r="C1045">
        <v>26</v>
      </c>
      <c r="D1045">
        <v>0.12</v>
      </c>
    </row>
    <row r="1046" spans="1:6" x14ac:dyDescent="0.15">
      <c r="A1046" t="s">
        <v>2336</v>
      </c>
      <c r="B1046" t="s">
        <v>864</v>
      </c>
      <c r="C1046">
        <v>0.01</v>
      </c>
      <c r="D1046">
        <v>1.5</v>
      </c>
    </row>
    <row r="1047" spans="1:6" x14ac:dyDescent="0.15">
      <c r="A1047" t="s">
        <v>2337</v>
      </c>
      <c r="B1047" t="s">
        <v>865</v>
      </c>
      <c r="C1047">
        <v>3.5</v>
      </c>
      <c r="D1047">
        <v>0.21</v>
      </c>
    </row>
    <row r="1048" spans="1:6" x14ac:dyDescent="0.15">
      <c r="A1048" t="s">
        <v>1255</v>
      </c>
      <c r="B1048" t="s">
        <v>865</v>
      </c>
      <c r="C1048">
        <v>208.5</v>
      </c>
      <c r="D1048">
        <v>0.22449880095923261</v>
      </c>
    </row>
    <row r="1049" spans="1:6" x14ac:dyDescent="0.15">
      <c r="A1049" t="s">
        <v>2338</v>
      </c>
      <c r="B1049" t="s">
        <v>865</v>
      </c>
      <c r="C1049">
        <v>27.5</v>
      </c>
      <c r="D1049">
        <v>0.77</v>
      </c>
    </row>
    <row r="1050" spans="1:6" x14ac:dyDescent="0.15">
      <c r="A1050" t="s">
        <v>2339</v>
      </c>
      <c r="B1050" t="s">
        <v>865</v>
      </c>
      <c r="C1050">
        <v>4.68</v>
      </c>
      <c r="D1050">
        <v>0.34</v>
      </c>
    </row>
    <row r="1051" spans="1:6" x14ac:dyDescent="0.15">
      <c r="A1051" t="s">
        <v>630</v>
      </c>
      <c r="B1051" t="s">
        <v>865</v>
      </c>
      <c r="C1051">
        <v>250</v>
      </c>
      <c r="D1051">
        <v>0.17244000000000001</v>
      </c>
      <c r="E1051">
        <v>114.8</v>
      </c>
      <c r="F1051">
        <v>0.185</v>
      </c>
    </row>
    <row r="1052" spans="1:6" x14ac:dyDescent="0.15">
      <c r="A1052" t="s">
        <v>1258</v>
      </c>
      <c r="B1052" t="s">
        <v>865</v>
      </c>
      <c r="C1052">
        <v>32.975000000000001</v>
      </c>
      <c r="D1052">
        <v>0.21751953904473084</v>
      </c>
    </row>
    <row r="1053" spans="1:6" x14ac:dyDescent="0.15">
      <c r="A1053" t="s">
        <v>2340</v>
      </c>
      <c r="B1053" t="s">
        <v>865</v>
      </c>
      <c r="C1053">
        <v>24.7</v>
      </c>
      <c r="D1053">
        <v>0.12714285714285714</v>
      </c>
    </row>
    <row r="1054" spans="1:6" x14ac:dyDescent="0.15">
      <c r="A1054" t="s">
        <v>631</v>
      </c>
      <c r="B1054" t="s">
        <v>865</v>
      </c>
      <c r="C1054">
        <v>4.72</v>
      </c>
      <c r="D1054">
        <v>0.19065042372881355</v>
      </c>
      <c r="E1054">
        <v>1.6559999999999999</v>
      </c>
      <c r="F1054">
        <v>0.18</v>
      </c>
    </row>
    <row r="1055" spans="1:6" x14ac:dyDescent="0.15">
      <c r="A1055" t="s">
        <v>2341</v>
      </c>
      <c r="B1055" t="s">
        <v>865</v>
      </c>
      <c r="C1055">
        <v>0.2</v>
      </c>
      <c r="D1055">
        <v>0.5</v>
      </c>
    </row>
    <row r="1056" spans="1:6" x14ac:dyDescent="0.15">
      <c r="A1056" t="s">
        <v>2342</v>
      </c>
      <c r="B1056" t="s">
        <v>865</v>
      </c>
      <c r="C1056">
        <v>0.37</v>
      </c>
      <c r="D1056">
        <v>1.02</v>
      </c>
    </row>
    <row r="1057" spans="1:6" x14ac:dyDescent="0.15">
      <c r="A1057" t="s">
        <v>2343</v>
      </c>
      <c r="B1057" t="s">
        <v>865</v>
      </c>
      <c r="C1057">
        <v>5.2</v>
      </c>
      <c r="D1057">
        <v>0.03</v>
      </c>
    </row>
    <row r="1058" spans="1:6" x14ac:dyDescent="0.15">
      <c r="A1058" t="s">
        <v>1256</v>
      </c>
      <c r="B1058" t="s">
        <v>865</v>
      </c>
      <c r="C1058">
        <v>15.34</v>
      </c>
      <c r="D1058">
        <v>0.14621172750977834</v>
      </c>
    </row>
    <row r="1059" spans="1:6" x14ac:dyDescent="0.15">
      <c r="A1059" t="s">
        <v>2344</v>
      </c>
      <c r="B1059" t="s">
        <v>865</v>
      </c>
      <c r="C1059">
        <v>0.4</v>
      </c>
      <c r="D1059">
        <v>0.44</v>
      </c>
    </row>
    <row r="1060" spans="1:6" x14ac:dyDescent="0.15">
      <c r="A1060" t="s">
        <v>632</v>
      </c>
      <c r="B1060" t="s">
        <v>865</v>
      </c>
      <c r="C1060">
        <v>332.90000000000003</v>
      </c>
      <c r="D1060">
        <v>0.33482727545809549</v>
      </c>
      <c r="E1060">
        <v>154.5</v>
      </c>
      <c r="F1060">
        <v>0.36</v>
      </c>
    </row>
    <row r="1061" spans="1:6" x14ac:dyDescent="0.15">
      <c r="A1061" t="s">
        <v>2345</v>
      </c>
      <c r="B1061" t="s">
        <v>865</v>
      </c>
      <c r="C1061">
        <v>0.17499999999999999</v>
      </c>
      <c r="D1061">
        <v>6.11</v>
      </c>
    </row>
    <row r="1062" spans="1:6" x14ac:dyDescent="0.15">
      <c r="A1062" t="s">
        <v>2346</v>
      </c>
      <c r="B1062" t="s">
        <v>865</v>
      </c>
      <c r="C1062">
        <v>3.2</v>
      </c>
      <c r="D1062">
        <v>0.5</v>
      </c>
    </row>
    <row r="1063" spans="1:6" x14ac:dyDescent="0.15">
      <c r="A1063" t="s">
        <v>2347</v>
      </c>
      <c r="B1063" t="s">
        <v>865</v>
      </c>
      <c r="C1063">
        <v>0.84</v>
      </c>
      <c r="D1063">
        <v>0.1</v>
      </c>
    </row>
    <row r="1064" spans="1:6" x14ac:dyDescent="0.15">
      <c r="A1064" t="s">
        <v>2348</v>
      </c>
      <c r="B1064" t="s">
        <v>865</v>
      </c>
      <c r="C1064">
        <v>16.399999999999999</v>
      </c>
      <c r="D1064">
        <v>0.15823170731707317</v>
      </c>
    </row>
    <row r="1065" spans="1:6" x14ac:dyDescent="0.15">
      <c r="A1065" t="s">
        <v>2349</v>
      </c>
      <c r="B1065" t="s">
        <v>865</v>
      </c>
      <c r="C1065">
        <v>0.14299999999999999</v>
      </c>
      <c r="D1065">
        <v>0.2</v>
      </c>
    </row>
    <row r="1066" spans="1:6" x14ac:dyDescent="0.15">
      <c r="A1066" t="s">
        <v>2350</v>
      </c>
      <c r="B1066" t="s">
        <v>865</v>
      </c>
      <c r="C1066">
        <v>0.14000000000000001</v>
      </c>
      <c r="D1066">
        <v>0.2</v>
      </c>
    </row>
    <row r="1067" spans="1:6" x14ac:dyDescent="0.15">
      <c r="A1067" t="s">
        <v>2351</v>
      </c>
      <c r="B1067" t="s">
        <v>865</v>
      </c>
      <c r="C1067">
        <v>2.4699999999999998</v>
      </c>
      <c r="D1067">
        <v>0.01</v>
      </c>
    </row>
    <row r="1068" spans="1:6" x14ac:dyDescent="0.15">
      <c r="A1068" t="s">
        <v>2352</v>
      </c>
      <c r="B1068" t="s">
        <v>865</v>
      </c>
      <c r="C1068">
        <v>2.7</v>
      </c>
      <c r="D1068">
        <v>0.14000000000000001</v>
      </c>
    </row>
    <row r="1069" spans="1:6" x14ac:dyDescent="0.15">
      <c r="A1069" t="s">
        <v>2353</v>
      </c>
      <c r="B1069" t="s">
        <v>865</v>
      </c>
      <c r="C1069">
        <v>0.7</v>
      </c>
      <c r="D1069">
        <v>0.3</v>
      </c>
    </row>
    <row r="1070" spans="1:6" x14ac:dyDescent="0.15">
      <c r="A1070" t="s">
        <v>2354</v>
      </c>
      <c r="B1070" t="s">
        <v>865</v>
      </c>
      <c r="C1070">
        <v>0.19</v>
      </c>
      <c r="D1070">
        <v>0.33</v>
      </c>
    </row>
    <row r="1071" spans="1:6" x14ac:dyDescent="0.15">
      <c r="A1071" t="s">
        <v>2355</v>
      </c>
      <c r="B1071" t="s">
        <v>865</v>
      </c>
      <c r="C1071">
        <v>1.54</v>
      </c>
      <c r="D1071">
        <v>0.28999999999999998</v>
      </c>
    </row>
    <row r="1072" spans="1:6" x14ac:dyDescent="0.15">
      <c r="A1072" t="s">
        <v>2356</v>
      </c>
      <c r="B1072" t="s">
        <v>865</v>
      </c>
      <c r="C1072">
        <v>3.6546000000000002E-2</v>
      </c>
      <c r="D1072">
        <v>0.69</v>
      </c>
    </row>
    <row r="1073" spans="1:6" x14ac:dyDescent="0.15">
      <c r="A1073" t="s">
        <v>2357</v>
      </c>
      <c r="B1073" t="s">
        <v>865</v>
      </c>
      <c r="C1073">
        <v>4.34</v>
      </c>
      <c r="D1073">
        <v>0.15804147465437787</v>
      </c>
    </row>
    <row r="1074" spans="1:6" x14ac:dyDescent="0.15">
      <c r="A1074" t="s">
        <v>1275</v>
      </c>
      <c r="B1074" t="s">
        <v>865</v>
      </c>
      <c r="C1074">
        <v>6.9749999999999996</v>
      </c>
      <c r="D1074">
        <v>0.38</v>
      </c>
    </row>
    <row r="1075" spans="1:6" x14ac:dyDescent="0.15">
      <c r="A1075" t="s">
        <v>633</v>
      </c>
      <c r="B1075" t="s">
        <v>865</v>
      </c>
      <c r="C1075">
        <v>6.7</v>
      </c>
      <c r="D1075">
        <v>0.89343283582089561</v>
      </c>
      <c r="E1075">
        <v>2.9000000000000004</v>
      </c>
      <c r="F1075">
        <v>1.3724137931034484</v>
      </c>
    </row>
    <row r="1076" spans="1:6" x14ac:dyDescent="0.15">
      <c r="A1076" t="s">
        <v>2358</v>
      </c>
      <c r="B1076" t="s">
        <v>865</v>
      </c>
      <c r="C1076">
        <v>3</v>
      </c>
      <c r="D1076">
        <v>0.26</v>
      </c>
    </row>
    <row r="1077" spans="1:6" x14ac:dyDescent="0.15">
      <c r="A1077" t="s">
        <v>2359</v>
      </c>
      <c r="B1077" t="s">
        <v>865</v>
      </c>
      <c r="C1077">
        <v>0.25</v>
      </c>
      <c r="D1077">
        <v>0.78</v>
      </c>
    </row>
    <row r="1078" spans="1:6" x14ac:dyDescent="0.15">
      <c r="A1078" t="s">
        <v>2360</v>
      </c>
      <c r="B1078" t="s">
        <v>865</v>
      </c>
      <c r="C1078">
        <v>1.0369999999999999</v>
      </c>
      <c r="D1078">
        <v>0.49</v>
      </c>
    </row>
    <row r="1079" spans="1:6" x14ac:dyDescent="0.15">
      <c r="A1079" t="s">
        <v>2361</v>
      </c>
      <c r="B1079" t="s">
        <v>865</v>
      </c>
      <c r="C1079">
        <v>0.4</v>
      </c>
      <c r="D1079">
        <v>0.09</v>
      </c>
    </row>
    <row r="1080" spans="1:6" x14ac:dyDescent="0.15">
      <c r="A1080" t="s">
        <v>1265</v>
      </c>
      <c r="B1080" t="s">
        <v>865</v>
      </c>
      <c r="C1080">
        <v>1.3</v>
      </c>
      <c r="D1080">
        <v>0.16</v>
      </c>
    </row>
    <row r="1081" spans="1:6" x14ac:dyDescent="0.15">
      <c r="A1081" t="s">
        <v>2362</v>
      </c>
      <c r="B1081" t="s">
        <v>865</v>
      </c>
      <c r="C1081">
        <v>3.1599999999999997</v>
      </c>
      <c r="D1081">
        <v>0.36</v>
      </c>
    </row>
    <row r="1082" spans="1:6" x14ac:dyDescent="0.15">
      <c r="A1082" t="s">
        <v>1247</v>
      </c>
      <c r="B1082" t="s">
        <v>865</v>
      </c>
      <c r="C1082">
        <v>0.1</v>
      </c>
      <c r="D1082">
        <v>0.35</v>
      </c>
    </row>
    <row r="1083" spans="1:6" x14ac:dyDescent="0.15">
      <c r="A1083" t="s">
        <v>2363</v>
      </c>
      <c r="B1083" t="s">
        <v>865</v>
      </c>
      <c r="C1083">
        <v>5</v>
      </c>
      <c r="D1083">
        <v>0.28000000000000003</v>
      </c>
    </row>
    <row r="1084" spans="1:6" x14ac:dyDescent="0.15">
      <c r="A1084" t="s">
        <v>2364</v>
      </c>
      <c r="B1084" t="s">
        <v>865</v>
      </c>
      <c r="C1084">
        <v>21.1</v>
      </c>
      <c r="D1084">
        <v>0.3</v>
      </c>
    </row>
    <row r="1085" spans="1:6" x14ac:dyDescent="0.15">
      <c r="A1085" t="s">
        <v>1250</v>
      </c>
      <c r="B1085" t="s">
        <v>865</v>
      </c>
      <c r="C1085">
        <v>1.3240000000000001</v>
      </c>
      <c r="D1085">
        <v>2.15</v>
      </c>
    </row>
    <row r="1086" spans="1:6" x14ac:dyDescent="0.15">
      <c r="A1086" t="s">
        <v>2365</v>
      </c>
      <c r="B1086" t="s">
        <v>865</v>
      </c>
      <c r="C1086">
        <v>0.14899999999999999</v>
      </c>
      <c r="D1086">
        <v>1.31</v>
      </c>
    </row>
    <row r="1087" spans="1:6" x14ac:dyDescent="0.15">
      <c r="A1087" t="s">
        <v>634</v>
      </c>
      <c r="B1087" t="s">
        <v>865</v>
      </c>
      <c r="C1087">
        <v>11.375</v>
      </c>
      <c r="D1087">
        <v>0.78</v>
      </c>
      <c r="E1087">
        <v>4.7960000000000003</v>
      </c>
      <c r="F1087">
        <v>1.04</v>
      </c>
    </row>
    <row r="1088" spans="1:6" x14ac:dyDescent="0.15">
      <c r="A1088" t="s">
        <v>2366</v>
      </c>
      <c r="B1088" t="s">
        <v>865</v>
      </c>
      <c r="C1088">
        <v>1.7</v>
      </c>
      <c r="D1088">
        <v>1.33</v>
      </c>
    </row>
    <row r="1089" spans="1:4" x14ac:dyDescent="0.15">
      <c r="A1089" t="s">
        <v>2367</v>
      </c>
      <c r="B1089" t="s">
        <v>865</v>
      </c>
      <c r="C1089">
        <v>6.2359999999999998</v>
      </c>
      <c r="D1089">
        <v>0.16391917896087235</v>
      </c>
    </row>
    <row r="1090" spans="1:4" x14ac:dyDescent="0.15">
      <c r="A1090" t="s">
        <v>2368</v>
      </c>
      <c r="B1090" t="s">
        <v>865</v>
      </c>
      <c r="C1090">
        <v>34.261699999999998</v>
      </c>
      <c r="D1090">
        <v>0.10199999999999999</v>
      </c>
    </row>
    <row r="1091" spans="1:4" x14ac:dyDescent="0.15">
      <c r="A1091" t="s">
        <v>2369</v>
      </c>
      <c r="B1091" t="s">
        <v>865</v>
      </c>
      <c r="C1091">
        <v>9.4499999999999993</v>
      </c>
      <c r="D1091">
        <v>0.45</v>
      </c>
    </row>
    <row r="1092" spans="1:4" x14ac:dyDescent="0.15">
      <c r="A1092" t="s">
        <v>2370</v>
      </c>
      <c r="B1092" t="s">
        <v>865</v>
      </c>
      <c r="C1092">
        <v>1.5</v>
      </c>
      <c r="D1092">
        <v>0.36</v>
      </c>
    </row>
    <row r="1093" spans="1:4" x14ac:dyDescent="0.15">
      <c r="A1093" t="s">
        <v>2371</v>
      </c>
      <c r="B1093" t="s">
        <v>865</v>
      </c>
      <c r="C1093">
        <v>1.54</v>
      </c>
      <c r="D1093">
        <v>0.3</v>
      </c>
    </row>
    <row r="1094" spans="1:4" x14ac:dyDescent="0.15">
      <c r="A1094" t="s">
        <v>2372</v>
      </c>
      <c r="B1094" t="s">
        <v>865</v>
      </c>
      <c r="C1094">
        <v>11.6</v>
      </c>
      <c r="D1094">
        <v>0.62</v>
      </c>
    </row>
    <row r="1095" spans="1:4" x14ac:dyDescent="0.15">
      <c r="A1095" t="s">
        <v>2373</v>
      </c>
      <c r="B1095" t="s">
        <v>865</v>
      </c>
      <c r="C1095">
        <v>1.6</v>
      </c>
      <c r="D1095">
        <v>0.19</v>
      </c>
    </row>
    <row r="1096" spans="1:4" x14ac:dyDescent="0.15">
      <c r="A1096" t="s">
        <v>2374</v>
      </c>
      <c r="B1096" t="s">
        <v>865</v>
      </c>
      <c r="C1096">
        <v>144.69999999999999</v>
      </c>
      <c r="D1096">
        <v>0.5</v>
      </c>
    </row>
    <row r="1097" spans="1:4" x14ac:dyDescent="0.15">
      <c r="A1097" t="s">
        <v>2375</v>
      </c>
      <c r="B1097" t="s">
        <v>865</v>
      </c>
      <c r="C1097">
        <v>3.4</v>
      </c>
      <c r="D1097">
        <v>0.71</v>
      </c>
    </row>
    <row r="1098" spans="1:4" x14ac:dyDescent="0.15">
      <c r="A1098" t="s">
        <v>2372</v>
      </c>
      <c r="B1098" t="s">
        <v>865</v>
      </c>
      <c r="C1098">
        <v>11.6</v>
      </c>
      <c r="D1098">
        <v>0.62</v>
      </c>
    </row>
    <row r="1099" spans="1:4" x14ac:dyDescent="0.15">
      <c r="A1099" t="s">
        <v>2376</v>
      </c>
      <c r="B1099" t="s">
        <v>865</v>
      </c>
      <c r="C1099">
        <v>1.8</v>
      </c>
      <c r="D1099">
        <v>0.33</v>
      </c>
    </row>
    <row r="1100" spans="1:4" x14ac:dyDescent="0.15">
      <c r="A1100" t="s">
        <v>2377</v>
      </c>
      <c r="B1100" t="s">
        <v>865</v>
      </c>
      <c r="C1100">
        <v>1</v>
      </c>
      <c r="D1100">
        <v>0.23</v>
      </c>
    </row>
    <row r="1101" spans="1:4" x14ac:dyDescent="0.15">
      <c r="A1101" t="s">
        <v>2378</v>
      </c>
      <c r="B1101" t="s">
        <v>865</v>
      </c>
      <c r="C1101">
        <v>0.19500000000000001</v>
      </c>
      <c r="D1101">
        <v>1.95</v>
      </c>
    </row>
    <row r="1102" spans="1:4" x14ac:dyDescent="0.15">
      <c r="A1102" t="s">
        <v>2379</v>
      </c>
      <c r="B1102" t="s">
        <v>865</v>
      </c>
      <c r="C1102">
        <v>7.3470789999999999</v>
      </c>
      <c r="D1102">
        <v>1.1221023691183938E-2</v>
      </c>
    </row>
    <row r="1103" spans="1:4" x14ac:dyDescent="0.15">
      <c r="A1103" t="s">
        <v>1241</v>
      </c>
      <c r="B1103" t="s">
        <v>865</v>
      </c>
      <c r="C1103">
        <v>2053</v>
      </c>
      <c r="D1103">
        <v>0.13</v>
      </c>
    </row>
    <row r="1104" spans="1:4" x14ac:dyDescent="0.15">
      <c r="A1104" t="s">
        <v>2380</v>
      </c>
      <c r="B1104" t="s">
        <v>865</v>
      </c>
      <c r="C1104">
        <v>52.6</v>
      </c>
      <c r="D1104">
        <v>0.06</v>
      </c>
    </row>
    <row r="1105" spans="1:4" x14ac:dyDescent="0.15">
      <c r="A1105" t="s">
        <v>2381</v>
      </c>
      <c r="B1105" t="s">
        <v>865</v>
      </c>
      <c r="C1105">
        <v>0.2</v>
      </c>
      <c r="D1105">
        <v>0.2</v>
      </c>
    </row>
    <row r="1106" spans="1:4" x14ac:dyDescent="0.15">
      <c r="A1106" t="s">
        <v>2382</v>
      </c>
      <c r="B1106" t="s">
        <v>865</v>
      </c>
      <c r="C1106">
        <v>32</v>
      </c>
      <c r="D1106">
        <v>0.2</v>
      </c>
    </row>
    <row r="1107" spans="1:4" x14ac:dyDescent="0.15">
      <c r="A1107" t="s">
        <v>2383</v>
      </c>
      <c r="B1107" t="s">
        <v>865</v>
      </c>
      <c r="C1107">
        <v>2.6520000000000001</v>
      </c>
      <c r="D1107">
        <v>0.34156862745098038</v>
      </c>
    </row>
    <row r="1108" spans="1:4" x14ac:dyDescent="0.15">
      <c r="A1108" t="s">
        <v>2384</v>
      </c>
      <c r="B1108" t="s">
        <v>865</v>
      </c>
      <c r="C1108">
        <v>2.8730000000000002</v>
      </c>
      <c r="D1108">
        <v>0.2337556561085973</v>
      </c>
    </row>
    <row r="1109" spans="1:4" x14ac:dyDescent="0.15">
      <c r="A1109" t="s">
        <v>2385</v>
      </c>
      <c r="B1109" t="s">
        <v>2386</v>
      </c>
      <c r="C1109">
        <v>7</v>
      </c>
      <c r="D1109">
        <v>0.57999999999999996</v>
      </c>
    </row>
    <row r="1110" spans="1:4" x14ac:dyDescent="0.15">
      <c r="A1110" t="s">
        <v>2387</v>
      </c>
      <c r="B1110" t="s">
        <v>2386</v>
      </c>
      <c r="C1110">
        <v>5.4</v>
      </c>
      <c r="D1110">
        <v>2.2999999999999998</v>
      </c>
    </row>
    <row r="1111" spans="1:4" x14ac:dyDescent="0.15">
      <c r="A1111" t="s">
        <v>2388</v>
      </c>
      <c r="B1111" t="s">
        <v>2386</v>
      </c>
      <c r="C1111">
        <v>2.2010000000000001</v>
      </c>
      <c r="D1111">
        <v>0.8</v>
      </c>
    </row>
    <row r="1112" spans="1:4" x14ac:dyDescent="0.15">
      <c r="A1112" t="s">
        <v>2389</v>
      </c>
      <c r="B1112" t="s">
        <v>2386</v>
      </c>
      <c r="C1112">
        <v>20</v>
      </c>
      <c r="D1112">
        <v>0.3</v>
      </c>
    </row>
    <row r="1113" spans="1:4" x14ac:dyDescent="0.15">
      <c r="A1113" t="s">
        <v>2390</v>
      </c>
      <c r="B1113" t="s">
        <v>2386</v>
      </c>
      <c r="C1113">
        <v>100</v>
      </c>
      <c r="D1113">
        <v>0.6</v>
      </c>
    </row>
    <row r="1114" spans="1:4" x14ac:dyDescent="0.15">
      <c r="A1114" t="s">
        <v>2391</v>
      </c>
      <c r="B1114" t="s">
        <v>84</v>
      </c>
      <c r="C1114">
        <v>8.6199999999999992</v>
      </c>
      <c r="D1114">
        <v>2.9</v>
      </c>
    </row>
    <row r="1115" spans="1:4" x14ac:dyDescent="0.15">
      <c r="A1115" t="s">
        <v>2392</v>
      </c>
      <c r="B1115" t="s">
        <v>84</v>
      </c>
      <c r="C1115">
        <v>9.0500000000000007</v>
      </c>
      <c r="D1115">
        <v>3.87</v>
      </c>
    </row>
    <row r="1116" spans="1:4" x14ac:dyDescent="0.15">
      <c r="A1116" t="s">
        <v>2393</v>
      </c>
      <c r="B1116" t="s">
        <v>84</v>
      </c>
      <c r="C1116">
        <v>1.869</v>
      </c>
      <c r="D1116">
        <v>0.76</v>
      </c>
    </row>
    <row r="1117" spans="1:4" x14ac:dyDescent="0.15">
      <c r="A1117" t="s">
        <v>2394</v>
      </c>
      <c r="B1117" t="s">
        <v>84</v>
      </c>
      <c r="C1117">
        <v>2</v>
      </c>
      <c r="D1117">
        <v>0.8</v>
      </c>
    </row>
    <row r="1118" spans="1:4" x14ac:dyDescent="0.15">
      <c r="A1118" t="s">
        <v>2395</v>
      </c>
      <c r="B1118" t="s">
        <v>84</v>
      </c>
      <c r="C1118">
        <v>5.4790000000000001</v>
      </c>
      <c r="D1118">
        <v>1.46</v>
      </c>
    </row>
    <row r="1119" spans="1:4" x14ac:dyDescent="0.15">
      <c r="A1119" t="s">
        <v>2396</v>
      </c>
      <c r="B1119" t="s">
        <v>84</v>
      </c>
      <c r="C1119">
        <v>93.07</v>
      </c>
      <c r="D1119">
        <v>1.28</v>
      </c>
    </row>
    <row r="1120" spans="1:4" x14ac:dyDescent="0.15">
      <c r="A1120" t="s">
        <v>2397</v>
      </c>
      <c r="B1120" t="s">
        <v>84</v>
      </c>
      <c r="C1120">
        <v>3.2679999999999998</v>
      </c>
      <c r="D1120">
        <v>2.84</v>
      </c>
    </row>
    <row r="1121" spans="1:6" x14ac:dyDescent="0.15">
      <c r="A1121" t="s">
        <v>2398</v>
      </c>
      <c r="B1121" t="s">
        <v>84</v>
      </c>
      <c r="C1121">
        <v>75.599999999999994</v>
      </c>
      <c r="D1121">
        <v>1.03</v>
      </c>
    </row>
    <row r="1122" spans="1:6" x14ac:dyDescent="0.15">
      <c r="A1122" t="s">
        <v>2399</v>
      </c>
      <c r="B1122" t="s">
        <v>84</v>
      </c>
      <c r="C1122">
        <v>12.84</v>
      </c>
      <c r="D1122">
        <v>1.58</v>
      </c>
    </row>
    <row r="1123" spans="1:6" x14ac:dyDescent="0.15">
      <c r="A1123" t="s">
        <v>2400</v>
      </c>
      <c r="B1123" t="s">
        <v>84</v>
      </c>
      <c r="C1123">
        <v>22.88</v>
      </c>
      <c r="D1123">
        <v>3.5</v>
      </c>
    </row>
    <row r="1124" spans="1:6" x14ac:dyDescent="0.15">
      <c r="A1124" t="s">
        <v>2401</v>
      </c>
      <c r="B1124" t="s">
        <v>34</v>
      </c>
      <c r="C1124">
        <v>129.66200000000001</v>
      </c>
      <c r="D1124">
        <v>1.4695962579630113</v>
      </c>
    </row>
    <row r="1125" spans="1:6" x14ac:dyDescent="0.15">
      <c r="A1125" t="s">
        <v>2402</v>
      </c>
      <c r="B1125" t="s">
        <v>34</v>
      </c>
      <c r="C1125">
        <v>100</v>
      </c>
      <c r="D1125">
        <v>0.05</v>
      </c>
    </row>
    <row r="1126" spans="1:6" x14ac:dyDescent="0.15">
      <c r="A1126" t="s">
        <v>2403</v>
      </c>
      <c r="B1126" t="s">
        <v>34</v>
      </c>
      <c r="C1126">
        <v>40</v>
      </c>
      <c r="D1126">
        <v>0.77</v>
      </c>
    </row>
    <row r="1127" spans="1:6" x14ac:dyDescent="0.15">
      <c r="A1127" t="s">
        <v>2404</v>
      </c>
      <c r="B1127" t="s">
        <v>34</v>
      </c>
      <c r="C1127">
        <v>35.4</v>
      </c>
      <c r="D1127">
        <v>2.4293785310734464</v>
      </c>
    </row>
    <row r="1128" spans="1:6" x14ac:dyDescent="0.15">
      <c r="A1128" t="s">
        <v>2405</v>
      </c>
      <c r="B1128" t="s">
        <v>866</v>
      </c>
      <c r="C1128">
        <v>20</v>
      </c>
      <c r="D1128">
        <v>0.47</v>
      </c>
    </row>
    <row r="1129" spans="1:6" x14ac:dyDescent="0.15">
      <c r="A1129" t="s">
        <v>2406</v>
      </c>
      <c r="B1129" t="s">
        <v>866</v>
      </c>
      <c r="C1129">
        <v>0.5</v>
      </c>
      <c r="D1129">
        <v>0.35</v>
      </c>
    </row>
    <row r="1130" spans="1:6" x14ac:dyDescent="0.15">
      <c r="A1130" t="s">
        <v>2407</v>
      </c>
      <c r="B1130" t="s">
        <v>866</v>
      </c>
      <c r="C1130">
        <v>3.4340000000000002</v>
      </c>
      <c r="D1130">
        <v>0.1</v>
      </c>
    </row>
    <row r="1131" spans="1:6" x14ac:dyDescent="0.15">
      <c r="A1131" t="s">
        <v>635</v>
      </c>
      <c r="B1131" t="s">
        <v>866</v>
      </c>
      <c r="C1131">
        <v>459.41700000000003</v>
      </c>
      <c r="D1131">
        <v>0.39519669494163251</v>
      </c>
      <c r="E1131">
        <v>152.73599999999999</v>
      </c>
      <c r="F1131">
        <v>0.51</v>
      </c>
    </row>
    <row r="1132" spans="1:6" x14ac:dyDescent="0.15">
      <c r="A1132" t="s">
        <v>2408</v>
      </c>
      <c r="B1132" t="s">
        <v>2409</v>
      </c>
      <c r="C1132">
        <v>0.22</v>
      </c>
      <c r="D1132">
        <v>0.7</v>
      </c>
    </row>
    <row r="1133" spans="1:6" x14ac:dyDescent="0.15">
      <c r="A1133" t="s">
        <v>2410</v>
      </c>
      <c r="B1133" t="s">
        <v>2409</v>
      </c>
      <c r="C1133">
        <v>2.5</v>
      </c>
      <c r="D1133">
        <v>0.15</v>
      </c>
    </row>
    <row r="1134" spans="1:6" x14ac:dyDescent="0.15">
      <c r="A1134" t="s">
        <v>2411</v>
      </c>
      <c r="B1134" t="s">
        <v>2409</v>
      </c>
      <c r="C1134">
        <v>12</v>
      </c>
      <c r="D1134">
        <v>0.3</v>
      </c>
    </row>
    <row r="1135" spans="1:6" x14ac:dyDescent="0.15">
      <c r="A1135" t="s">
        <v>2412</v>
      </c>
      <c r="B1135" t="s">
        <v>2413</v>
      </c>
      <c r="C1135">
        <v>2.4</v>
      </c>
      <c r="D1135">
        <v>0.45</v>
      </c>
    </row>
    <row r="1136" spans="1:6" x14ac:dyDescent="0.15">
      <c r="A1136" t="s">
        <v>2414</v>
      </c>
      <c r="B1136" t="s">
        <v>2413</v>
      </c>
      <c r="C1136">
        <v>98.2</v>
      </c>
      <c r="D1136">
        <v>0.11</v>
      </c>
    </row>
    <row r="1137" spans="1:4" x14ac:dyDescent="0.15">
      <c r="A1137" t="s">
        <v>2415</v>
      </c>
      <c r="B1137" t="s">
        <v>2413</v>
      </c>
      <c r="C1137">
        <v>425.96299999999997</v>
      </c>
      <c r="D1137">
        <v>6.4940743679615373E-2</v>
      </c>
    </row>
    <row r="1138" spans="1:4" x14ac:dyDescent="0.15">
      <c r="A1138" t="s">
        <v>2416</v>
      </c>
      <c r="B1138" t="s">
        <v>2417</v>
      </c>
      <c r="C1138">
        <v>45.36</v>
      </c>
      <c r="D1138">
        <v>0.56000000000000005</v>
      </c>
    </row>
    <row r="1139" spans="1:4" x14ac:dyDescent="0.15">
      <c r="A1139" t="s">
        <v>2418</v>
      </c>
      <c r="B1139" t="s">
        <v>2417</v>
      </c>
      <c r="C1139">
        <v>8.5</v>
      </c>
      <c r="D1139">
        <v>0.97635294117647053</v>
      </c>
    </row>
    <row r="1140" spans="1:4" x14ac:dyDescent="0.15">
      <c r="A1140" t="s">
        <v>2419</v>
      </c>
      <c r="B1140" t="s">
        <v>2417</v>
      </c>
      <c r="C1140">
        <v>189.490622</v>
      </c>
      <c r="D1140">
        <v>0.3</v>
      </c>
    </row>
    <row r="1141" spans="1:4" x14ac:dyDescent="0.15">
      <c r="A1141" t="s">
        <v>2420</v>
      </c>
      <c r="B1141" t="s">
        <v>2421</v>
      </c>
      <c r="C1141">
        <v>1.52</v>
      </c>
      <c r="D1141">
        <v>2.17</v>
      </c>
    </row>
    <row r="1142" spans="1:4" x14ac:dyDescent="0.15">
      <c r="A1142" t="s">
        <v>2422</v>
      </c>
      <c r="B1142" t="s">
        <v>2421</v>
      </c>
      <c r="C1142">
        <v>11.9</v>
      </c>
      <c r="D1142">
        <v>0.81092436974789917</v>
      </c>
    </row>
    <row r="1143" spans="1:4" x14ac:dyDescent="0.15">
      <c r="A1143" t="s">
        <v>2423</v>
      </c>
      <c r="B1143" t="s">
        <v>2424</v>
      </c>
      <c r="C1143">
        <v>159</v>
      </c>
      <c r="D1143">
        <v>1.1399999999999999</v>
      </c>
    </row>
    <row r="1144" spans="1:4" x14ac:dyDescent="0.15">
      <c r="A1144" t="s">
        <v>2425</v>
      </c>
      <c r="B1144" t="s">
        <v>71</v>
      </c>
      <c r="C1144">
        <v>0.1</v>
      </c>
      <c r="D1144">
        <v>0.8</v>
      </c>
    </row>
    <row r="1145" spans="1:4" x14ac:dyDescent="0.15">
      <c r="A1145" t="s">
        <v>2426</v>
      </c>
      <c r="B1145" t="s">
        <v>71</v>
      </c>
      <c r="C1145">
        <v>8.8000000000000007</v>
      </c>
      <c r="D1145">
        <v>1.6</v>
      </c>
    </row>
    <row r="1146" spans="1:4" x14ac:dyDescent="0.15">
      <c r="A1146" t="s">
        <v>2427</v>
      </c>
      <c r="B1146" t="s">
        <v>71</v>
      </c>
      <c r="C1146">
        <v>8.3000000000000007</v>
      </c>
      <c r="D1146">
        <v>2</v>
      </c>
    </row>
    <row r="1147" spans="1:4" x14ac:dyDescent="0.15">
      <c r="A1147" t="s">
        <v>2428</v>
      </c>
      <c r="B1147" t="s">
        <v>71</v>
      </c>
      <c r="C1147">
        <v>2.08</v>
      </c>
      <c r="D1147">
        <v>2.5008653846153841</v>
      </c>
    </row>
    <row r="1148" spans="1:4" x14ac:dyDescent="0.15">
      <c r="A1148" t="s">
        <v>2429</v>
      </c>
      <c r="B1148" t="s">
        <v>71</v>
      </c>
      <c r="C1148">
        <v>25.02</v>
      </c>
      <c r="D1148">
        <v>1.69</v>
      </c>
    </row>
    <row r="1149" spans="1:4" x14ac:dyDescent="0.15">
      <c r="A1149" t="s">
        <v>2430</v>
      </c>
      <c r="B1149" t="s">
        <v>71</v>
      </c>
      <c r="C1149">
        <v>3.5</v>
      </c>
      <c r="D1149">
        <v>1.7</v>
      </c>
    </row>
    <row r="1150" spans="1:4" x14ac:dyDescent="0.15">
      <c r="A1150" t="s">
        <v>2431</v>
      </c>
      <c r="B1150" t="s">
        <v>71</v>
      </c>
      <c r="C1150">
        <v>0.7</v>
      </c>
      <c r="D1150">
        <v>1.2</v>
      </c>
    </row>
    <row r="1151" spans="1:4" x14ac:dyDescent="0.15">
      <c r="A1151" t="s">
        <v>2432</v>
      </c>
      <c r="B1151" t="s">
        <v>71</v>
      </c>
      <c r="C1151">
        <v>105.8</v>
      </c>
      <c r="D1151">
        <v>0.15</v>
      </c>
    </row>
    <row r="1152" spans="1:4" x14ac:dyDescent="0.15">
      <c r="A1152" t="s">
        <v>2433</v>
      </c>
      <c r="B1152" t="s">
        <v>71</v>
      </c>
      <c r="C1152">
        <v>12.1</v>
      </c>
      <c r="D1152">
        <v>1.03</v>
      </c>
    </row>
    <row r="1153" spans="1:6" x14ac:dyDescent="0.15">
      <c r="A1153" t="s">
        <v>2434</v>
      </c>
      <c r="B1153" t="s">
        <v>71</v>
      </c>
      <c r="C1153">
        <v>0.3</v>
      </c>
      <c r="D1153">
        <v>1.4</v>
      </c>
    </row>
    <row r="1154" spans="1:6" x14ac:dyDescent="0.15">
      <c r="A1154" t="s">
        <v>2435</v>
      </c>
      <c r="B1154" t="s">
        <v>71</v>
      </c>
      <c r="C1154">
        <v>1</v>
      </c>
      <c r="D1154">
        <v>2</v>
      </c>
    </row>
    <row r="1155" spans="1:6" x14ac:dyDescent="0.15">
      <c r="A1155" t="s">
        <v>2436</v>
      </c>
      <c r="B1155" t="s">
        <v>71</v>
      </c>
      <c r="C1155">
        <v>1</v>
      </c>
      <c r="D1155">
        <v>0.8</v>
      </c>
    </row>
    <row r="1156" spans="1:6" x14ac:dyDescent="0.15">
      <c r="A1156" t="s">
        <v>2437</v>
      </c>
      <c r="B1156" t="s">
        <v>71</v>
      </c>
      <c r="C1156">
        <v>2.79</v>
      </c>
      <c r="D1156">
        <v>0.1</v>
      </c>
    </row>
    <row r="1157" spans="1:6" x14ac:dyDescent="0.15">
      <c r="A1157" t="s">
        <v>636</v>
      </c>
      <c r="B1157" t="s">
        <v>71</v>
      </c>
      <c r="C1157">
        <v>316.47000000000003</v>
      </c>
      <c r="D1157">
        <v>1.13425158782823</v>
      </c>
      <c r="E1157">
        <v>119.61</v>
      </c>
      <c r="F1157">
        <v>1.24</v>
      </c>
    </row>
    <row r="1158" spans="1:6" x14ac:dyDescent="0.15">
      <c r="A1158" t="s">
        <v>2438</v>
      </c>
      <c r="B1158" t="s">
        <v>71</v>
      </c>
      <c r="C1158">
        <v>1</v>
      </c>
      <c r="D1158">
        <v>0.4</v>
      </c>
    </row>
    <row r="1159" spans="1:6" x14ac:dyDescent="0.15">
      <c r="A1159" t="s">
        <v>637</v>
      </c>
      <c r="B1159" t="s">
        <v>71</v>
      </c>
      <c r="C1159">
        <v>134.12</v>
      </c>
      <c r="D1159">
        <v>1.2502497763197138</v>
      </c>
      <c r="E1159">
        <v>39.25</v>
      </c>
      <c r="F1159">
        <v>1.1299999999999999</v>
      </c>
    </row>
    <row r="1160" spans="1:6" x14ac:dyDescent="0.15">
      <c r="A1160" t="s">
        <v>2439</v>
      </c>
      <c r="B1160" t="s">
        <v>71</v>
      </c>
      <c r="C1160">
        <v>66</v>
      </c>
      <c r="D1160">
        <v>1.415</v>
      </c>
    </row>
    <row r="1161" spans="1:6" x14ac:dyDescent="0.15">
      <c r="A1161" t="s">
        <v>638</v>
      </c>
      <c r="B1161" t="s">
        <v>71</v>
      </c>
      <c r="C1161">
        <v>566.25</v>
      </c>
      <c r="D1161">
        <v>0.96171178807947022</v>
      </c>
      <c r="E1161">
        <v>234.66</v>
      </c>
      <c r="F1161">
        <v>0.95</v>
      </c>
    </row>
    <row r="1162" spans="1:6" x14ac:dyDescent="0.15">
      <c r="A1162" t="s">
        <v>2440</v>
      </c>
      <c r="B1162" t="s">
        <v>71</v>
      </c>
      <c r="C1162">
        <v>0.6</v>
      </c>
      <c r="D1162">
        <v>1.8</v>
      </c>
    </row>
    <row r="1163" spans="1:6" x14ac:dyDescent="0.15">
      <c r="A1163" t="s">
        <v>2441</v>
      </c>
      <c r="B1163" t="s">
        <v>71</v>
      </c>
      <c r="C1163">
        <v>1.2</v>
      </c>
      <c r="D1163">
        <v>0.7</v>
      </c>
    </row>
    <row r="1164" spans="1:6" x14ac:dyDescent="0.15">
      <c r="A1164" t="s">
        <v>2442</v>
      </c>
      <c r="B1164" t="s">
        <v>71</v>
      </c>
      <c r="C1164">
        <v>10.938353000000001</v>
      </c>
      <c r="D1164">
        <v>1.1096102255979488</v>
      </c>
    </row>
    <row r="1165" spans="1:6" x14ac:dyDescent="0.15">
      <c r="A1165" t="s">
        <v>639</v>
      </c>
      <c r="B1165" t="s">
        <v>35</v>
      </c>
      <c r="C1165">
        <v>1036.9072164948454</v>
      </c>
      <c r="D1165">
        <v>0.38852256909922456</v>
      </c>
      <c r="E1165">
        <v>657.52577319587624</v>
      </c>
      <c r="F1165">
        <v>0.40684540608341185</v>
      </c>
    </row>
    <row r="1166" spans="1:6" x14ac:dyDescent="0.15">
      <c r="A1166" t="s">
        <v>2443</v>
      </c>
      <c r="B1166" t="s">
        <v>35</v>
      </c>
      <c r="C1166">
        <v>64.7</v>
      </c>
      <c r="D1166">
        <v>0.62318392581143733</v>
      </c>
    </row>
    <row r="1167" spans="1:6" x14ac:dyDescent="0.15">
      <c r="A1167" t="s">
        <v>2444</v>
      </c>
      <c r="B1167" t="s">
        <v>35</v>
      </c>
      <c r="C1167">
        <v>511</v>
      </c>
      <c r="D1167">
        <v>0.479119373776908</v>
      </c>
    </row>
    <row r="1168" spans="1:6" x14ac:dyDescent="0.15">
      <c r="A1168" t="s">
        <v>2445</v>
      </c>
      <c r="B1168" t="s">
        <v>35</v>
      </c>
      <c r="C1168">
        <v>4.5</v>
      </c>
      <c r="D1168">
        <v>0.28999999999999998</v>
      </c>
    </row>
    <row r="1169" spans="1:6" x14ac:dyDescent="0.15">
      <c r="A1169" t="s">
        <v>2446</v>
      </c>
      <c r="B1169" t="s">
        <v>35</v>
      </c>
      <c r="C1169">
        <v>14.4</v>
      </c>
      <c r="D1169">
        <v>0.61</v>
      </c>
    </row>
    <row r="1170" spans="1:6" x14ac:dyDescent="0.15">
      <c r="A1170" t="s">
        <v>2447</v>
      </c>
      <c r="B1170" t="s">
        <v>35</v>
      </c>
      <c r="C1170">
        <v>1851.340206185567</v>
      </c>
      <c r="D1170">
        <v>0.31973048223632922</v>
      </c>
    </row>
    <row r="1171" spans="1:6" x14ac:dyDescent="0.15">
      <c r="A1171" t="s">
        <v>640</v>
      </c>
      <c r="B1171" t="s">
        <v>35</v>
      </c>
      <c r="C1171">
        <v>4337</v>
      </c>
      <c r="D1171">
        <v>0.88125432326492958</v>
      </c>
      <c r="E1171">
        <v>2116</v>
      </c>
      <c r="F1171">
        <v>1.0523629489603024</v>
      </c>
    </row>
    <row r="1172" spans="1:6" x14ac:dyDescent="0.15">
      <c r="A1172" t="s">
        <v>2448</v>
      </c>
      <c r="B1172" t="s">
        <v>35</v>
      </c>
      <c r="C1172">
        <v>2.79358</v>
      </c>
      <c r="D1172">
        <v>0.30212129239184127</v>
      </c>
    </row>
    <row r="1173" spans="1:6" x14ac:dyDescent="0.15">
      <c r="A1173" t="s">
        <v>2449</v>
      </c>
      <c r="B1173" t="s">
        <v>35</v>
      </c>
      <c r="C1173">
        <v>70</v>
      </c>
      <c r="D1173">
        <v>0.3</v>
      </c>
    </row>
    <row r="1174" spans="1:6" x14ac:dyDescent="0.15">
      <c r="A1174" t="s">
        <v>2450</v>
      </c>
      <c r="B1174" t="s">
        <v>35</v>
      </c>
      <c r="C1174">
        <v>81.716999999999999</v>
      </c>
      <c r="D1174">
        <v>7.0000000000000007E-2</v>
      </c>
    </row>
    <row r="1175" spans="1:6" x14ac:dyDescent="0.15">
      <c r="A1175" t="s">
        <v>2451</v>
      </c>
      <c r="B1175" t="s">
        <v>35</v>
      </c>
      <c r="C1175">
        <v>90.9</v>
      </c>
      <c r="D1175">
        <v>0.1</v>
      </c>
    </row>
    <row r="1176" spans="1:6" x14ac:dyDescent="0.15">
      <c r="A1176" t="s">
        <v>2452</v>
      </c>
      <c r="B1176" t="s">
        <v>35</v>
      </c>
      <c r="C1176">
        <v>600</v>
      </c>
      <c r="D1176">
        <v>0.15</v>
      </c>
    </row>
    <row r="1177" spans="1:6" x14ac:dyDescent="0.15">
      <c r="A1177" t="s">
        <v>2453</v>
      </c>
      <c r="B1177" t="s">
        <v>35</v>
      </c>
      <c r="C1177">
        <v>43</v>
      </c>
      <c r="D1177">
        <v>0.54</v>
      </c>
    </row>
    <row r="1178" spans="1:6" x14ac:dyDescent="0.15">
      <c r="A1178" t="s">
        <v>2454</v>
      </c>
      <c r="B1178" t="s">
        <v>35</v>
      </c>
      <c r="C1178">
        <v>400.6</v>
      </c>
      <c r="D1178">
        <v>0.48</v>
      </c>
    </row>
    <row r="1179" spans="1:6" x14ac:dyDescent="0.15">
      <c r="A1179" t="s">
        <v>2455</v>
      </c>
      <c r="B1179" t="s">
        <v>35</v>
      </c>
      <c r="C1179">
        <v>1942</v>
      </c>
      <c r="D1179">
        <v>0.5</v>
      </c>
    </row>
    <row r="1180" spans="1:6" x14ac:dyDescent="0.15">
      <c r="A1180" t="s">
        <v>2456</v>
      </c>
      <c r="B1180" t="s">
        <v>35</v>
      </c>
      <c r="C1180">
        <v>81.855000000000004</v>
      </c>
      <c r="D1180">
        <v>0.24</v>
      </c>
    </row>
    <row r="1181" spans="1:6" x14ac:dyDescent="0.15">
      <c r="A1181" t="s">
        <v>641</v>
      </c>
      <c r="B1181" t="s">
        <v>35</v>
      </c>
      <c r="C1181">
        <v>9.1999999999999993</v>
      </c>
      <c r="D1181">
        <v>2.4</v>
      </c>
      <c r="E1181">
        <v>8.9</v>
      </c>
      <c r="F1181">
        <v>2.4</v>
      </c>
    </row>
    <row r="1182" spans="1:6" x14ac:dyDescent="0.15">
      <c r="A1182" t="s">
        <v>2457</v>
      </c>
      <c r="B1182" t="s">
        <v>1499</v>
      </c>
      <c r="C1182">
        <v>40</v>
      </c>
      <c r="D1182">
        <v>0.73</v>
      </c>
    </row>
    <row r="1183" spans="1:6" x14ac:dyDescent="0.15">
      <c r="A1183" t="s">
        <v>2458</v>
      </c>
      <c r="B1183" t="s">
        <v>1499</v>
      </c>
      <c r="C1183">
        <v>24</v>
      </c>
      <c r="D1183">
        <v>0.27</v>
      </c>
    </row>
    <row r="1184" spans="1:6" x14ac:dyDescent="0.15">
      <c r="A1184" t="s">
        <v>2459</v>
      </c>
      <c r="B1184" t="s">
        <v>1499</v>
      </c>
      <c r="C1184">
        <v>149.1</v>
      </c>
      <c r="D1184">
        <v>0.41</v>
      </c>
    </row>
    <row r="1185" spans="1:4" x14ac:dyDescent="0.15">
      <c r="A1185" t="s">
        <v>2460</v>
      </c>
      <c r="B1185" t="s">
        <v>1499</v>
      </c>
      <c r="C1185">
        <v>8</v>
      </c>
      <c r="D1185">
        <v>0.5</v>
      </c>
    </row>
    <row r="1186" spans="1:4" x14ac:dyDescent="0.15">
      <c r="A1186" t="s">
        <v>2461</v>
      </c>
      <c r="B1186" t="s">
        <v>1499</v>
      </c>
      <c r="C1186">
        <v>186.1</v>
      </c>
      <c r="D1186">
        <v>0.36</v>
      </c>
    </row>
    <row r="1187" spans="1:4" x14ac:dyDescent="0.15">
      <c r="A1187" t="s">
        <v>2462</v>
      </c>
      <c r="B1187" t="s">
        <v>1499</v>
      </c>
      <c r="C1187">
        <v>141.1</v>
      </c>
      <c r="D1187">
        <v>0.71754075124025518</v>
      </c>
    </row>
    <row r="1188" spans="1:4" x14ac:dyDescent="0.15">
      <c r="A1188" t="s">
        <v>2463</v>
      </c>
      <c r="B1188" t="s">
        <v>1499</v>
      </c>
      <c r="C1188">
        <v>29</v>
      </c>
      <c r="D1188">
        <v>0.9</v>
      </c>
    </row>
    <row r="1189" spans="1:4" x14ac:dyDescent="0.15">
      <c r="A1189" t="s">
        <v>2464</v>
      </c>
      <c r="B1189" t="s">
        <v>1499</v>
      </c>
      <c r="C1189">
        <v>0.36</v>
      </c>
      <c r="D1189">
        <v>0.4</v>
      </c>
    </row>
    <row r="1190" spans="1:4" x14ac:dyDescent="0.15">
      <c r="A1190" t="s">
        <v>2465</v>
      </c>
      <c r="B1190" t="s">
        <v>1499</v>
      </c>
      <c r="C1190">
        <v>184</v>
      </c>
      <c r="D1190">
        <v>0.26</v>
      </c>
    </row>
    <row r="1191" spans="1:4" x14ac:dyDescent="0.15">
      <c r="A1191" t="s">
        <v>2466</v>
      </c>
      <c r="B1191" t="s">
        <v>1499</v>
      </c>
      <c r="C1191">
        <v>73.900000000000006</v>
      </c>
      <c r="D1191">
        <v>0.31</v>
      </c>
    </row>
    <row r="1192" spans="1:4" x14ac:dyDescent="0.15">
      <c r="A1192" t="s">
        <v>2467</v>
      </c>
      <c r="B1192" t="s">
        <v>1499</v>
      </c>
      <c r="C1192">
        <v>60</v>
      </c>
      <c r="D1192">
        <v>0.6</v>
      </c>
    </row>
    <row r="1193" spans="1:4" x14ac:dyDescent="0.15">
      <c r="A1193" t="s">
        <v>2468</v>
      </c>
      <c r="B1193" t="s">
        <v>1499</v>
      </c>
      <c r="C1193">
        <v>245</v>
      </c>
      <c r="D1193">
        <v>0.26</v>
      </c>
    </row>
    <row r="1194" spans="1:4" x14ac:dyDescent="0.15">
      <c r="A1194" t="s">
        <v>2469</v>
      </c>
      <c r="B1194" t="s">
        <v>1499</v>
      </c>
      <c r="C1194">
        <v>40</v>
      </c>
      <c r="D1194">
        <v>0.42499999999999999</v>
      </c>
    </row>
    <row r="1195" spans="1:4" x14ac:dyDescent="0.15">
      <c r="A1195" t="s">
        <v>2470</v>
      </c>
      <c r="B1195" t="s">
        <v>1499</v>
      </c>
      <c r="C1195">
        <v>204</v>
      </c>
      <c r="D1195">
        <v>0.34</v>
      </c>
    </row>
    <row r="1196" spans="1:4" x14ac:dyDescent="0.15">
      <c r="A1196" t="s">
        <v>2471</v>
      </c>
      <c r="B1196" t="s">
        <v>1499</v>
      </c>
      <c r="C1196">
        <v>0.86</v>
      </c>
      <c r="D1196">
        <v>1.7</v>
      </c>
    </row>
    <row r="1197" spans="1:4" x14ac:dyDescent="0.15">
      <c r="A1197" t="s">
        <v>2472</v>
      </c>
      <c r="B1197" t="s">
        <v>1499</v>
      </c>
      <c r="C1197">
        <v>170</v>
      </c>
      <c r="D1197">
        <v>0.86</v>
      </c>
    </row>
    <row r="1198" spans="1:4" x14ac:dyDescent="0.15">
      <c r="A1198" t="s">
        <v>2473</v>
      </c>
      <c r="B1198" t="s">
        <v>1499</v>
      </c>
      <c r="C1198">
        <v>527</v>
      </c>
      <c r="D1198">
        <v>0.26</v>
      </c>
    </row>
    <row r="1199" spans="1:4" x14ac:dyDescent="0.15">
      <c r="A1199" t="s">
        <v>2474</v>
      </c>
      <c r="B1199" t="s">
        <v>1499</v>
      </c>
      <c r="C1199">
        <v>10</v>
      </c>
      <c r="D1199">
        <v>0.63</v>
      </c>
    </row>
    <row r="1200" spans="1:4" x14ac:dyDescent="0.15">
      <c r="A1200" t="s">
        <v>2475</v>
      </c>
      <c r="B1200" t="s">
        <v>1499</v>
      </c>
      <c r="C1200">
        <v>1538</v>
      </c>
      <c r="D1200">
        <v>0.57999999999999996</v>
      </c>
    </row>
    <row r="1201" spans="1:4" x14ac:dyDescent="0.15">
      <c r="A1201" t="s">
        <v>2476</v>
      </c>
      <c r="B1201" t="s">
        <v>1499</v>
      </c>
      <c r="C1201">
        <v>16</v>
      </c>
      <c r="D1201">
        <v>0.46</v>
      </c>
    </row>
    <row r="1202" spans="1:4" x14ac:dyDescent="0.15">
      <c r="A1202" t="s">
        <v>2477</v>
      </c>
      <c r="B1202" t="s">
        <v>1499</v>
      </c>
      <c r="C1202">
        <v>3000</v>
      </c>
      <c r="D1202">
        <v>0.7</v>
      </c>
    </row>
    <row r="1203" spans="1:4" x14ac:dyDescent="0.15">
      <c r="A1203" t="s">
        <v>2478</v>
      </c>
      <c r="B1203" t="s">
        <v>1499</v>
      </c>
      <c r="C1203">
        <v>0.15000000000000002</v>
      </c>
      <c r="D1203">
        <v>2</v>
      </c>
    </row>
    <row r="1204" spans="1:4" x14ac:dyDescent="0.15">
      <c r="A1204" t="s">
        <v>2479</v>
      </c>
      <c r="B1204" t="s">
        <v>1499</v>
      </c>
      <c r="C1204">
        <v>1.5</v>
      </c>
      <c r="D1204">
        <v>0.3</v>
      </c>
    </row>
    <row r="1205" spans="1:4" x14ac:dyDescent="0.15">
      <c r="A1205" t="s">
        <v>2480</v>
      </c>
      <c r="B1205" t="s">
        <v>317</v>
      </c>
      <c r="C1205">
        <v>6</v>
      </c>
      <c r="D1205">
        <v>0.89</v>
      </c>
    </row>
    <row r="1206" spans="1:4" x14ac:dyDescent="0.15">
      <c r="A1206" t="s">
        <v>2481</v>
      </c>
      <c r="B1206" t="s">
        <v>317</v>
      </c>
      <c r="C1206">
        <v>1.3</v>
      </c>
      <c r="D1206">
        <v>1.65</v>
      </c>
    </row>
    <row r="1207" spans="1:4" x14ac:dyDescent="0.15">
      <c r="A1207" t="s">
        <v>2482</v>
      </c>
      <c r="B1207" t="s">
        <v>317</v>
      </c>
      <c r="C1207">
        <v>16</v>
      </c>
      <c r="D1207">
        <v>0.6</v>
      </c>
    </row>
    <row r="1208" spans="1:4" x14ac:dyDescent="0.15">
      <c r="A1208" t="s">
        <v>2483</v>
      </c>
      <c r="B1208" t="s">
        <v>317</v>
      </c>
      <c r="C1208">
        <v>24.020618556701031</v>
      </c>
      <c r="D1208">
        <v>0.97</v>
      </c>
    </row>
    <row r="1209" spans="1:4" x14ac:dyDescent="0.15">
      <c r="A1209" t="s">
        <v>2484</v>
      </c>
      <c r="B1209" t="s">
        <v>317</v>
      </c>
      <c r="C1209">
        <v>0.8</v>
      </c>
      <c r="D1209">
        <v>3</v>
      </c>
    </row>
    <row r="1210" spans="1:4" x14ac:dyDescent="0.15">
      <c r="A1210" t="s">
        <v>2485</v>
      </c>
      <c r="B1210" t="s">
        <v>317</v>
      </c>
      <c r="C1210">
        <v>3</v>
      </c>
      <c r="D1210">
        <v>0.6</v>
      </c>
    </row>
    <row r="1211" spans="1:4" x14ac:dyDescent="0.15">
      <c r="A1211" t="s">
        <v>2486</v>
      </c>
      <c r="B1211" t="s">
        <v>317</v>
      </c>
      <c r="C1211">
        <v>3.8</v>
      </c>
      <c r="D1211">
        <v>1.19</v>
      </c>
    </row>
    <row r="1212" spans="1:4" x14ac:dyDescent="0.15">
      <c r="A1212" t="s">
        <v>2487</v>
      </c>
      <c r="B1212" t="s">
        <v>317</v>
      </c>
      <c r="C1212">
        <v>3.6</v>
      </c>
      <c r="D1212">
        <v>0.7</v>
      </c>
    </row>
    <row r="1213" spans="1:4" x14ac:dyDescent="0.15">
      <c r="A1213" t="s">
        <v>2488</v>
      </c>
      <c r="B1213" t="s">
        <v>317</v>
      </c>
      <c r="C1213">
        <v>9.4</v>
      </c>
      <c r="D1213">
        <v>0.3</v>
      </c>
    </row>
    <row r="1214" spans="1:4" x14ac:dyDescent="0.15">
      <c r="A1214" t="s">
        <v>2489</v>
      </c>
      <c r="B1214" t="s">
        <v>2490</v>
      </c>
      <c r="C1214">
        <v>189</v>
      </c>
      <c r="D1214">
        <v>6.8571428571428561E-2</v>
      </c>
    </row>
    <row r="1215" spans="1:4" x14ac:dyDescent="0.15">
      <c r="A1215" t="s">
        <v>2491</v>
      </c>
      <c r="B1215" t="s">
        <v>2490</v>
      </c>
      <c r="C1215">
        <v>1</v>
      </c>
      <c r="D1215">
        <v>1</v>
      </c>
    </row>
    <row r="1216" spans="1:4" x14ac:dyDescent="0.15">
      <c r="A1216" t="s">
        <v>2492</v>
      </c>
      <c r="B1216" t="s">
        <v>2490</v>
      </c>
      <c r="C1216">
        <v>1</v>
      </c>
      <c r="D1216">
        <v>1</v>
      </c>
    </row>
    <row r="1217" spans="1:6" x14ac:dyDescent="0.15">
      <c r="A1217" t="s">
        <v>2493</v>
      </c>
      <c r="B1217" t="s">
        <v>2490</v>
      </c>
      <c r="C1217">
        <v>1</v>
      </c>
      <c r="D1217">
        <v>0.6</v>
      </c>
    </row>
    <row r="1218" spans="1:6" x14ac:dyDescent="0.15">
      <c r="A1218" t="s">
        <v>2494</v>
      </c>
      <c r="B1218" t="s">
        <v>2490</v>
      </c>
      <c r="C1218">
        <v>2</v>
      </c>
      <c r="D1218">
        <v>1</v>
      </c>
    </row>
    <row r="1219" spans="1:6" x14ac:dyDescent="0.15">
      <c r="A1219" t="s">
        <v>2495</v>
      </c>
      <c r="B1219" t="s">
        <v>2490</v>
      </c>
      <c r="C1219">
        <v>40</v>
      </c>
      <c r="D1219">
        <v>0.12</v>
      </c>
    </row>
    <row r="1220" spans="1:6" x14ac:dyDescent="0.15">
      <c r="A1220" t="s">
        <v>2496</v>
      </c>
      <c r="B1220" t="s">
        <v>318</v>
      </c>
      <c r="C1220">
        <v>13.177</v>
      </c>
      <c r="D1220">
        <v>0.35</v>
      </c>
    </row>
    <row r="1221" spans="1:6" x14ac:dyDescent="0.15">
      <c r="A1221" t="s">
        <v>2497</v>
      </c>
      <c r="B1221" t="s">
        <v>2498</v>
      </c>
      <c r="C1221">
        <v>19.8</v>
      </c>
      <c r="D1221">
        <v>1.36</v>
      </c>
    </row>
    <row r="1222" spans="1:6" x14ac:dyDescent="0.15">
      <c r="A1222" t="s">
        <v>2499</v>
      </c>
      <c r="B1222" t="s">
        <v>2498</v>
      </c>
      <c r="C1222">
        <v>25</v>
      </c>
      <c r="D1222">
        <v>2.33</v>
      </c>
    </row>
    <row r="1223" spans="1:6" x14ac:dyDescent="0.15">
      <c r="A1223" t="s">
        <v>2500</v>
      </c>
      <c r="B1223" t="s">
        <v>2498</v>
      </c>
      <c r="C1223">
        <v>8</v>
      </c>
      <c r="D1223">
        <v>0.65</v>
      </c>
    </row>
    <row r="1224" spans="1:6" x14ac:dyDescent="0.15">
      <c r="A1224" t="s">
        <v>2501</v>
      </c>
      <c r="B1224" t="s">
        <v>37</v>
      </c>
      <c r="C1224">
        <v>1450</v>
      </c>
      <c r="D1224">
        <v>0.4</v>
      </c>
    </row>
    <row r="1225" spans="1:6" x14ac:dyDescent="0.15">
      <c r="A1225" t="s">
        <v>642</v>
      </c>
      <c r="B1225" t="s">
        <v>37</v>
      </c>
      <c r="C1225">
        <v>2203.556</v>
      </c>
      <c r="D1225">
        <v>0.32824652516205621</v>
      </c>
      <c r="E1225">
        <v>1512.9</v>
      </c>
      <c r="F1225">
        <v>0.34584308282107207</v>
      </c>
    </row>
    <row r="1226" spans="1:6" x14ac:dyDescent="0.15">
      <c r="A1226" t="s">
        <v>2502</v>
      </c>
      <c r="B1226" t="s">
        <v>37</v>
      </c>
      <c r="C1226">
        <v>15</v>
      </c>
      <c r="D1226">
        <v>1.3</v>
      </c>
    </row>
    <row r="1227" spans="1:6" x14ac:dyDescent="0.15">
      <c r="A1227" t="s">
        <v>2503</v>
      </c>
      <c r="B1227" t="s">
        <v>37</v>
      </c>
      <c r="C1227">
        <v>537.01499999999999</v>
      </c>
      <c r="D1227">
        <v>0.40342809791160394</v>
      </c>
    </row>
    <row r="1228" spans="1:6" x14ac:dyDescent="0.15">
      <c r="A1228" t="s">
        <v>2504</v>
      </c>
      <c r="B1228" t="s">
        <v>37</v>
      </c>
      <c r="C1228">
        <v>138</v>
      </c>
      <c r="D1228">
        <v>0.52</v>
      </c>
    </row>
    <row r="1229" spans="1:6" x14ac:dyDescent="0.15">
      <c r="A1229" t="s">
        <v>2505</v>
      </c>
      <c r="B1229" t="s">
        <v>37</v>
      </c>
      <c r="C1229">
        <v>175</v>
      </c>
      <c r="D1229">
        <v>0.34</v>
      </c>
    </row>
    <row r="1230" spans="1:6" x14ac:dyDescent="0.15">
      <c r="A1230" t="s">
        <v>643</v>
      </c>
      <c r="B1230" t="s">
        <v>37</v>
      </c>
      <c r="C1230">
        <v>1220</v>
      </c>
      <c r="D1230">
        <v>0.33935245901639344</v>
      </c>
      <c r="E1230">
        <v>573</v>
      </c>
      <c r="F1230">
        <v>0.38</v>
      </c>
    </row>
    <row r="1231" spans="1:6" x14ac:dyDescent="0.15">
      <c r="A1231" t="s">
        <v>2506</v>
      </c>
      <c r="B1231" t="s">
        <v>37</v>
      </c>
      <c r="C1231">
        <v>88</v>
      </c>
      <c r="D1231">
        <v>5.3409090909090913E-2</v>
      </c>
    </row>
    <row r="1232" spans="1:6" x14ac:dyDescent="0.15">
      <c r="A1232" t="s">
        <v>644</v>
      </c>
      <c r="B1232" t="s">
        <v>37</v>
      </c>
      <c r="C1232">
        <v>5396.7670000000007</v>
      </c>
      <c r="D1232">
        <v>0.40407217135740708</v>
      </c>
      <c r="E1232">
        <v>240.08199999999999</v>
      </c>
      <c r="F1232">
        <v>0.97</v>
      </c>
    </row>
    <row r="1233" spans="1:6" x14ac:dyDescent="0.15">
      <c r="A1233" t="s">
        <v>2507</v>
      </c>
      <c r="B1233" t="s">
        <v>37</v>
      </c>
      <c r="C1233">
        <v>90.7</v>
      </c>
      <c r="D1233">
        <v>0.6</v>
      </c>
    </row>
    <row r="1234" spans="1:6" x14ac:dyDescent="0.15">
      <c r="A1234" t="s">
        <v>2508</v>
      </c>
      <c r="B1234" t="s">
        <v>37</v>
      </c>
      <c r="C1234">
        <v>6.8000000000000007</v>
      </c>
      <c r="D1234">
        <v>0.3</v>
      </c>
    </row>
    <row r="1235" spans="1:6" x14ac:dyDescent="0.15">
      <c r="A1235" t="s">
        <v>645</v>
      </c>
      <c r="B1235" t="s">
        <v>37</v>
      </c>
      <c r="C1235">
        <v>40.259</v>
      </c>
      <c r="D1235">
        <v>2.83</v>
      </c>
      <c r="E1235">
        <v>19.888999999999999</v>
      </c>
      <c r="F1235">
        <v>2.57</v>
      </c>
    </row>
    <row r="1236" spans="1:6" x14ac:dyDescent="0.15">
      <c r="A1236" t="s">
        <v>2509</v>
      </c>
      <c r="B1236" t="s">
        <v>37</v>
      </c>
      <c r="C1236">
        <v>29</v>
      </c>
      <c r="D1236">
        <v>0.44</v>
      </c>
    </row>
    <row r="1237" spans="1:6" x14ac:dyDescent="0.15">
      <c r="A1237" t="s">
        <v>646</v>
      </c>
      <c r="B1237" t="s">
        <v>37</v>
      </c>
      <c r="C1237">
        <v>10.82</v>
      </c>
      <c r="D1237">
        <v>1.7290757855822552</v>
      </c>
      <c r="E1237">
        <v>10</v>
      </c>
      <c r="F1237">
        <v>1.67</v>
      </c>
    </row>
    <row r="1238" spans="1:6" x14ac:dyDescent="0.15">
      <c r="A1238" t="s">
        <v>2510</v>
      </c>
      <c r="B1238" t="s">
        <v>37</v>
      </c>
      <c r="C1238">
        <v>375</v>
      </c>
      <c r="D1238">
        <v>0.41</v>
      </c>
    </row>
    <row r="1239" spans="1:6" x14ac:dyDescent="0.15">
      <c r="A1239" t="s">
        <v>2511</v>
      </c>
      <c r="B1239" t="s">
        <v>37</v>
      </c>
      <c r="C1239">
        <v>23.7</v>
      </c>
      <c r="D1239">
        <v>0.34</v>
      </c>
    </row>
    <row r="1240" spans="1:6" x14ac:dyDescent="0.15">
      <c r="A1240" t="s">
        <v>2512</v>
      </c>
      <c r="B1240" t="s">
        <v>37</v>
      </c>
      <c r="C1240">
        <v>35.799999999999997</v>
      </c>
      <c r="D1240">
        <v>0.34</v>
      </c>
    </row>
    <row r="1241" spans="1:6" x14ac:dyDescent="0.15">
      <c r="A1241" t="s">
        <v>2513</v>
      </c>
      <c r="B1241" t="s">
        <v>37</v>
      </c>
      <c r="C1241">
        <v>736</v>
      </c>
      <c r="D1241">
        <v>0.42044021739130438</v>
      </c>
    </row>
    <row r="1242" spans="1:6" x14ac:dyDescent="0.15">
      <c r="A1242" t="s">
        <v>2514</v>
      </c>
      <c r="B1242" t="s">
        <v>37</v>
      </c>
      <c r="C1242">
        <v>57</v>
      </c>
      <c r="D1242">
        <v>0.62</v>
      </c>
    </row>
    <row r="1243" spans="1:6" x14ac:dyDescent="0.15">
      <c r="A1243" t="s">
        <v>2515</v>
      </c>
      <c r="B1243" t="s">
        <v>37</v>
      </c>
      <c r="C1243">
        <v>637</v>
      </c>
      <c r="D1243">
        <v>0.59</v>
      </c>
    </row>
    <row r="1244" spans="1:6" x14ac:dyDescent="0.15">
      <c r="A1244" t="s">
        <v>2516</v>
      </c>
      <c r="B1244" t="s">
        <v>37</v>
      </c>
      <c r="C1244">
        <v>636.45469368739793</v>
      </c>
      <c r="D1244">
        <v>9.6471910112359574E-2</v>
      </c>
    </row>
    <row r="1245" spans="1:6" x14ac:dyDescent="0.15">
      <c r="A1245" t="s">
        <v>2517</v>
      </c>
      <c r="B1245" t="s">
        <v>37</v>
      </c>
      <c r="C1245">
        <v>542</v>
      </c>
      <c r="D1245">
        <v>0.3</v>
      </c>
    </row>
    <row r="1246" spans="1:6" x14ac:dyDescent="0.15">
      <c r="A1246" t="s">
        <v>2518</v>
      </c>
      <c r="B1246" t="s">
        <v>37</v>
      </c>
      <c r="C1246">
        <v>65.8</v>
      </c>
      <c r="D1246">
        <v>0.48</v>
      </c>
    </row>
    <row r="1247" spans="1:6" x14ac:dyDescent="0.15">
      <c r="A1247" t="s">
        <v>2519</v>
      </c>
      <c r="B1247" t="s">
        <v>37</v>
      </c>
      <c r="C1247">
        <v>37.17</v>
      </c>
      <c r="D1247">
        <v>1.59</v>
      </c>
    </row>
    <row r="1248" spans="1:6" x14ac:dyDescent="0.15">
      <c r="A1248" t="s">
        <v>647</v>
      </c>
      <c r="B1248" t="s">
        <v>37</v>
      </c>
      <c r="C1248">
        <v>17.78</v>
      </c>
      <c r="D1248">
        <v>2.0940044994375704</v>
      </c>
      <c r="E1248">
        <v>10</v>
      </c>
      <c r="F1248">
        <v>1.6</v>
      </c>
    </row>
    <row r="1249" spans="1:6" x14ac:dyDescent="0.15">
      <c r="A1249" t="s">
        <v>2520</v>
      </c>
      <c r="B1249" t="s">
        <v>37</v>
      </c>
      <c r="C1249">
        <v>48.981999999999999</v>
      </c>
      <c r="D1249">
        <v>0.43</v>
      </c>
    </row>
    <row r="1250" spans="1:6" x14ac:dyDescent="0.15">
      <c r="A1250" t="s">
        <v>2521</v>
      </c>
      <c r="B1250" t="s">
        <v>37</v>
      </c>
      <c r="C1250">
        <v>0.86377199999999998</v>
      </c>
      <c r="D1250">
        <v>0.44</v>
      </c>
    </row>
    <row r="1251" spans="1:6" x14ac:dyDescent="0.15">
      <c r="A1251" t="s">
        <v>2522</v>
      </c>
      <c r="B1251" t="s">
        <v>37</v>
      </c>
      <c r="C1251">
        <v>40</v>
      </c>
      <c r="D1251">
        <v>0.2</v>
      </c>
    </row>
    <row r="1252" spans="1:6" x14ac:dyDescent="0.15">
      <c r="A1252" t="s">
        <v>2523</v>
      </c>
      <c r="B1252" t="s">
        <v>37</v>
      </c>
      <c r="C1252">
        <v>213</v>
      </c>
      <c r="D1252">
        <v>0.81</v>
      </c>
    </row>
    <row r="1253" spans="1:6" x14ac:dyDescent="0.15">
      <c r="A1253" t="s">
        <v>2524</v>
      </c>
      <c r="B1253" t="s">
        <v>37</v>
      </c>
      <c r="C1253">
        <v>7</v>
      </c>
      <c r="D1253">
        <v>0.8342857142857143</v>
      </c>
    </row>
    <row r="1254" spans="1:6" x14ac:dyDescent="0.15">
      <c r="A1254" t="s">
        <v>2525</v>
      </c>
      <c r="B1254" t="s">
        <v>37</v>
      </c>
      <c r="C1254">
        <v>194</v>
      </c>
      <c r="D1254">
        <v>0.36</v>
      </c>
    </row>
    <row r="1255" spans="1:6" x14ac:dyDescent="0.15">
      <c r="A1255" t="s">
        <v>648</v>
      </c>
      <c r="B1255" t="s">
        <v>37</v>
      </c>
      <c r="C1255">
        <v>37.299999999999997</v>
      </c>
      <c r="D1255">
        <v>0.79463806970509387</v>
      </c>
      <c r="E1255">
        <v>15.3</v>
      </c>
      <c r="F1255">
        <v>0.54379084967320257</v>
      </c>
    </row>
    <row r="1256" spans="1:6" x14ac:dyDescent="0.15">
      <c r="A1256" t="s">
        <v>2526</v>
      </c>
      <c r="B1256" t="s">
        <v>37</v>
      </c>
      <c r="C1256">
        <v>177.7</v>
      </c>
      <c r="D1256">
        <v>0.87</v>
      </c>
    </row>
    <row r="1257" spans="1:6" x14ac:dyDescent="0.15">
      <c r="A1257" t="s">
        <v>2527</v>
      </c>
      <c r="B1257" t="s">
        <v>37</v>
      </c>
      <c r="C1257">
        <v>324</v>
      </c>
      <c r="D1257">
        <v>0.27</v>
      </c>
    </row>
    <row r="1258" spans="1:6" x14ac:dyDescent="0.15">
      <c r="A1258" t="s">
        <v>2528</v>
      </c>
      <c r="B1258" t="s">
        <v>37</v>
      </c>
      <c r="C1258">
        <v>1.1000000000000001</v>
      </c>
      <c r="D1258">
        <v>0.9</v>
      </c>
    </row>
    <row r="1259" spans="1:6" x14ac:dyDescent="0.15">
      <c r="A1259" t="s">
        <v>2529</v>
      </c>
      <c r="B1259" t="s">
        <v>37</v>
      </c>
      <c r="C1259">
        <v>49.5</v>
      </c>
      <c r="D1259">
        <v>0.66</v>
      </c>
    </row>
    <row r="1260" spans="1:6" x14ac:dyDescent="0.15">
      <c r="A1260" t="s">
        <v>649</v>
      </c>
      <c r="B1260" t="s">
        <v>37</v>
      </c>
      <c r="C1260">
        <v>1.41</v>
      </c>
      <c r="D1260">
        <v>1.9531914893617026</v>
      </c>
      <c r="E1260">
        <v>0.29000000000000004</v>
      </c>
      <c r="F1260">
        <v>1.9758620689655169</v>
      </c>
    </row>
    <row r="1261" spans="1:6" x14ac:dyDescent="0.15">
      <c r="A1261" t="s">
        <v>2530</v>
      </c>
      <c r="B1261" t="s">
        <v>37</v>
      </c>
      <c r="C1261">
        <v>5.0999999999999996</v>
      </c>
      <c r="D1261">
        <v>0.91</v>
      </c>
    </row>
    <row r="1262" spans="1:6" x14ac:dyDescent="0.15">
      <c r="A1262" t="s">
        <v>2531</v>
      </c>
      <c r="B1262" t="s">
        <v>37</v>
      </c>
      <c r="C1262">
        <v>5.6999999999999993</v>
      </c>
      <c r="D1262">
        <v>3.4912280701754388E-2</v>
      </c>
    </row>
    <row r="1263" spans="1:6" x14ac:dyDescent="0.15">
      <c r="A1263" t="s">
        <v>650</v>
      </c>
      <c r="B1263" t="s">
        <v>37</v>
      </c>
      <c r="C1263">
        <v>1.96</v>
      </c>
      <c r="D1263">
        <v>1.5240816326530613</v>
      </c>
      <c r="E1263">
        <v>0.88</v>
      </c>
      <c r="F1263">
        <v>1.6200000000000003</v>
      </c>
    </row>
    <row r="1264" spans="1:6" x14ac:dyDescent="0.15">
      <c r="A1264" t="s">
        <v>651</v>
      </c>
      <c r="B1264" t="s">
        <v>37</v>
      </c>
      <c r="C1264">
        <v>8.24</v>
      </c>
      <c r="D1264">
        <v>0.6435922330097088</v>
      </c>
      <c r="E1264">
        <v>2.41</v>
      </c>
      <c r="F1264">
        <v>0.61518672199170121</v>
      </c>
    </row>
    <row r="1265" spans="1:6" x14ac:dyDescent="0.15">
      <c r="A1265" t="s">
        <v>2532</v>
      </c>
      <c r="B1265" t="s">
        <v>37</v>
      </c>
      <c r="C1265">
        <v>1.1499999999999999</v>
      </c>
      <c r="D1265">
        <v>0.23</v>
      </c>
    </row>
    <row r="1266" spans="1:6" x14ac:dyDescent="0.15">
      <c r="A1266" t="s">
        <v>652</v>
      </c>
      <c r="B1266" t="s">
        <v>37</v>
      </c>
      <c r="C1266">
        <v>70.75</v>
      </c>
      <c r="D1266">
        <v>0.48762120141342757</v>
      </c>
      <c r="E1266">
        <v>35.799999999999997</v>
      </c>
      <c r="F1266">
        <v>0.43</v>
      </c>
    </row>
    <row r="1267" spans="1:6" x14ac:dyDescent="0.15">
      <c r="A1267" t="s">
        <v>2533</v>
      </c>
      <c r="B1267" t="s">
        <v>37</v>
      </c>
      <c r="C1267">
        <v>14</v>
      </c>
      <c r="D1267">
        <v>2.62</v>
      </c>
    </row>
    <row r="1268" spans="1:6" x14ac:dyDescent="0.15">
      <c r="A1268" t="s">
        <v>2534</v>
      </c>
      <c r="B1268" t="s">
        <v>37</v>
      </c>
      <c r="C1268">
        <v>8.2439999999999998</v>
      </c>
      <c r="D1268">
        <v>0.4</v>
      </c>
    </row>
    <row r="1269" spans="1:6" x14ac:dyDescent="0.15">
      <c r="A1269" t="s">
        <v>653</v>
      </c>
      <c r="B1269" t="s">
        <v>37</v>
      </c>
      <c r="C1269">
        <v>624.90599999999995</v>
      </c>
      <c r="D1269">
        <v>1.05</v>
      </c>
      <c r="E1269">
        <v>326.05399999999997</v>
      </c>
      <c r="F1269">
        <v>0.7586416360480166</v>
      </c>
    </row>
    <row r="1270" spans="1:6" x14ac:dyDescent="0.15">
      <c r="A1270" t="s">
        <v>2535</v>
      </c>
      <c r="B1270" t="s">
        <v>2536</v>
      </c>
      <c r="C1270">
        <v>1.8367346938775511</v>
      </c>
      <c r="D1270">
        <v>1.85</v>
      </c>
    </row>
    <row r="1271" spans="1:6" x14ac:dyDescent="0.15">
      <c r="A1271" t="s">
        <v>654</v>
      </c>
      <c r="B1271" t="s">
        <v>867</v>
      </c>
      <c r="C1271">
        <v>15.997999999999999</v>
      </c>
      <c r="D1271">
        <v>0.39865795724465558</v>
      </c>
      <c r="E1271">
        <v>15.997999999999999</v>
      </c>
      <c r="F1271">
        <v>0.39865795724465558</v>
      </c>
    </row>
    <row r="1272" spans="1:6" x14ac:dyDescent="0.15">
      <c r="A1272" t="s">
        <v>655</v>
      </c>
      <c r="B1272" t="s">
        <v>867</v>
      </c>
      <c r="C1272">
        <v>17.321999999999999</v>
      </c>
      <c r="D1272">
        <v>0.86</v>
      </c>
      <c r="E1272">
        <v>15.712</v>
      </c>
      <c r="F1272">
        <v>0.75</v>
      </c>
    </row>
    <row r="1273" spans="1:6" x14ac:dyDescent="0.15">
      <c r="A1273" t="s">
        <v>2537</v>
      </c>
      <c r="B1273" t="s">
        <v>867</v>
      </c>
      <c r="C1273">
        <v>3.28</v>
      </c>
      <c r="D1273">
        <v>0.21920731707317076</v>
      </c>
    </row>
    <row r="1274" spans="1:6" x14ac:dyDescent="0.15">
      <c r="A1274" t="s">
        <v>2538</v>
      </c>
      <c r="B1274" t="s">
        <v>867</v>
      </c>
      <c r="C1274">
        <v>36.5</v>
      </c>
      <c r="D1274">
        <v>0.97</v>
      </c>
    </row>
    <row r="1275" spans="1:6" x14ac:dyDescent="0.15">
      <c r="A1275" t="s">
        <v>2539</v>
      </c>
      <c r="B1275" t="s">
        <v>867</v>
      </c>
      <c r="C1275">
        <v>1.58223</v>
      </c>
      <c r="D1275">
        <v>1.49</v>
      </c>
    </row>
    <row r="1276" spans="1:6" x14ac:dyDescent="0.15">
      <c r="A1276" t="s">
        <v>2540</v>
      </c>
      <c r="B1276" t="s">
        <v>867</v>
      </c>
      <c r="C1276">
        <v>0.751</v>
      </c>
      <c r="D1276">
        <v>0.6</v>
      </c>
    </row>
    <row r="1277" spans="1:6" x14ac:dyDescent="0.15">
      <c r="A1277" t="s">
        <v>2541</v>
      </c>
      <c r="B1277" t="s">
        <v>867</v>
      </c>
      <c r="C1277">
        <v>0.37280000000000002</v>
      </c>
      <c r="D1277">
        <v>0.18</v>
      </c>
    </row>
    <row r="1278" spans="1:6" x14ac:dyDescent="0.15">
      <c r="A1278" t="s">
        <v>2542</v>
      </c>
      <c r="B1278" t="s">
        <v>867</v>
      </c>
      <c r="C1278">
        <v>2.1</v>
      </c>
      <c r="D1278">
        <v>0.25238095238095237</v>
      </c>
    </row>
    <row r="1279" spans="1:6" x14ac:dyDescent="0.15">
      <c r="A1279" t="s">
        <v>2543</v>
      </c>
      <c r="B1279" t="s">
        <v>867</v>
      </c>
      <c r="C1279">
        <v>1.8</v>
      </c>
      <c r="D1279">
        <v>0.26</v>
      </c>
    </row>
    <row r="1280" spans="1:6" x14ac:dyDescent="0.15">
      <c r="A1280" t="s">
        <v>2544</v>
      </c>
      <c r="B1280" t="s">
        <v>867</v>
      </c>
      <c r="C1280">
        <v>452.7</v>
      </c>
      <c r="D1280">
        <v>0.17</v>
      </c>
    </row>
    <row r="1281" spans="1:6" x14ac:dyDescent="0.15">
      <c r="A1281" t="s">
        <v>2545</v>
      </c>
      <c r="B1281" t="s">
        <v>867</v>
      </c>
      <c r="C1281">
        <v>18.7</v>
      </c>
      <c r="D1281">
        <v>0.25</v>
      </c>
    </row>
    <row r="1282" spans="1:6" x14ac:dyDescent="0.15">
      <c r="A1282" t="s">
        <v>2546</v>
      </c>
      <c r="B1282" t="s">
        <v>868</v>
      </c>
      <c r="C1282">
        <v>7.6059999999999999</v>
      </c>
      <c r="D1282">
        <v>2.2400000000000002</v>
      </c>
    </row>
    <row r="1283" spans="1:6" x14ac:dyDescent="0.15">
      <c r="A1283" t="s">
        <v>2547</v>
      </c>
      <c r="B1283" t="s">
        <v>868</v>
      </c>
      <c r="C1283">
        <v>19</v>
      </c>
      <c r="D1283">
        <v>0.94</v>
      </c>
    </row>
    <row r="1284" spans="1:6" x14ac:dyDescent="0.15">
      <c r="A1284" t="s">
        <v>2548</v>
      </c>
      <c r="B1284" t="s">
        <v>868</v>
      </c>
      <c r="C1284">
        <v>31</v>
      </c>
      <c r="D1284">
        <v>0.08</v>
      </c>
    </row>
    <row r="1285" spans="1:6" x14ac:dyDescent="0.15">
      <c r="A1285" t="s">
        <v>656</v>
      </c>
      <c r="B1285" t="s">
        <v>868</v>
      </c>
      <c r="C1285">
        <v>184</v>
      </c>
      <c r="D1285">
        <v>0.49</v>
      </c>
      <c r="E1285">
        <v>130</v>
      </c>
      <c r="F1285">
        <v>0.52</v>
      </c>
    </row>
    <row r="1286" spans="1:6" x14ac:dyDescent="0.15">
      <c r="A1286" t="s">
        <v>2549</v>
      </c>
      <c r="B1286" t="s">
        <v>868</v>
      </c>
      <c r="C1286">
        <v>4.1000000000000002E-2</v>
      </c>
      <c r="D1286">
        <v>15</v>
      </c>
    </row>
    <row r="1287" spans="1:6" x14ac:dyDescent="0.15">
      <c r="A1287" t="s">
        <v>657</v>
      </c>
      <c r="B1287" t="s">
        <v>868</v>
      </c>
      <c r="C1287">
        <v>31.700000000000003</v>
      </c>
      <c r="D1287">
        <v>2.2400630914826496</v>
      </c>
      <c r="E1287">
        <v>16.900000000000002</v>
      </c>
      <c r="F1287">
        <v>2.6650887573964495</v>
      </c>
    </row>
    <row r="1288" spans="1:6" x14ac:dyDescent="0.15">
      <c r="A1288" t="s">
        <v>2550</v>
      </c>
      <c r="B1288" t="s">
        <v>869</v>
      </c>
      <c r="C1288">
        <v>150</v>
      </c>
      <c r="D1288">
        <v>0.3</v>
      </c>
    </row>
    <row r="1289" spans="1:6" x14ac:dyDescent="0.15">
      <c r="A1289" t="s">
        <v>658</v>
      </c>
      <c r="B1289" t="s">
        <v>869</v>
      </c>
      <c r="C1289">
        <v>256.8</v>
      </c>
      <c r="D1289">
        <v>0.21718457943925232</v>
      </c>
      <c r="E1289">
        <v>198.1</v>
      </c>
      <c r="F1289">
        <v>0.21</v>
      </c>
    </row>
    <row r="1290" spans="1:6" x14ac:dyDescent="0.15">
      <c r="A1290" t="s">
        <v>2551</v>
      </c>
      <c r="B1290" t="s">
        <v>2552</v>
      </c>
      <c r="C1290">
        <v>15.66</v>
      </c>
      <c r="D1290">
        <v>0.18242656449552999</v>
      </c>
    </row>
    <row r="1291" spans="1:6" x14ac:dyDescent="0.15">
      <c r="A1291" t="s">
        <v>2553</v>
      </c>
      <c r="B1291" t="s">
        <v>86</v>
      </c>
      <c r="C1291">
        <v>224</v>
      </c>
      <c r="D1291">
        <v>0.25</v>
      </c>
    </row>
    <row r="1292" spans="1:6" x14ac:dyDescent="0.15">
      <c r="A1292" t="s">
        <v>2554</v>
      </c>
      <c r="B1292" t="s">
        <v>86</v>
      </c>
      <c r="C1292">
        <v>130</v>
      </c>
      <c r="D1292">
        <v>9.6000000000000002E-2</v>
      </c>
    </row>
    <row r="1293" spans="1:6" x14ac:dyDescent="0.15">
      <c r="A1293" t="s">
        <v>659</v>
      </c>
      <c r="B1293" t="s">
        <v>870</v>
      </c>
      <c r="C1293">
        <v>54.57</v>
      </c>
      <c r="D1293">
        <v>0.78762690122778078</v>
      </c>
      <c r="E1293">
        <v>29.9</v>
      </c>
      <c r="F1293">
        <v>0.76</v>
      </c>
    </row>
    <row r="1294" spans="1:6" x14ac:dyDescent="0.15">
      <c r="A1294" t="s">
        <v>660</v>
      </c>
      <c r="B1294" t="s">
        <v>38</v>
      </c>
      <c r="C1294">
        <v>6.3650000000000002</v>
      </c>
      <c r="D1294">
        <v>1.4478232521602512</v>
      </c>
      <c r="E1294">
        <v>6.3650000000000002</v>
      </c>
      <c r="F1294">
        <v>1.4478232521602512</v>
      </c>
    </row>
    <row r="1295" spans="1:6" x14ac:dyDescent="0.15">
      <c r="A1295" t="s">
        <v>2555</v>
      </c>
      <c r="B1295" t="s">
        <v>38</v>
      </c>
      <c r="C1295">
        <v>23.847000000000001</v>
      </c>
      <c r="D1295">
        <v>1.3934440390824843</v>
      </c>
    </row>
    <row r="1296" spans="1:6" x14ac:dyDescent="0.15">
      <c r="A1296" t="s">
        <v>661</v>
      </c>
      <c r="B1296" t="s">
        <v>38</v>
      </c>
      <c r="C1296">
        <v>2.2791000000000001</v>
      </c>
      <c r="D1296">
        <v>0.32784432451406254</v>
      </c>
      <c r="E1296">
        <v>1.6445000000000001</v>
      </c>
      <c r="F1296">
        <v>0.3</v>
      </c>
    </row>
    <row r="1297" spans="1:6" x14ac:dyDescent="0.15">
      <c r="A1297" t="s">
        <v>2556</v>
      </c>
      <c r="B1297" t="s">
        <v>38</v>
      </c>
      <c r="C1297">
        <v>17.468738000000002</v>
      </c>
      <c r="D1297">
        <v>0.45426610697349745</v>
      </c>
    </row>
    <row r="1298" spans="1:6" x14ac:dyDescent="0.15">
      <c r="A1298" t="s">
        <v>2557</v>
      </c>
      <c r="B1298" t="s">
        <v>38</v>
      </c>
      <c r="C1298">
        <v>6.96</v>
      </c>
      <c r="D1298">
        <v>0.47</v>
      </c>
    </row>
    <row r="1299" spans="1:6" x14ac:dyDescent="0.15">
      <c r="A1299" t="s">
        <v>662</v>
      </c>
      <c r="B1299" t="s">
        <v>38</v>
      </c>
      <c r="C1299">
        <v>604.68499999999995</v>
      </c>
      <c r="D1299">
        <v>0.3937523173222422</v>
      </c>
      <c r="E1299">
        <v>250.571</v>
      </c>
      <c r="F1299">
        <v>0.43</v>
      </c>
    </row>
    <row r="1300" spans="1:6" x14ac:dyDescent="0.15">
      <c r="A1300" t="s">
        <v>2558</v>
      </c>
      <c r="B1300" t="s">
        <v>38</v>
      </c>
      <c r="C1300">
        <v>11.049999999999999</v>
      </c>
      <c r="D1300">
        <v>0.18961085972850678</v>
      </c>
    </row>
    <row r="1301" spans="1:6" x14ac:dyDescent="0.15">
      <c r="A1301" t="s">
        <v>663</v>
      </c>
      <c r="B1301" t="s">
        <v>38</v>
      </c>
      <c r="C1301">
        <v>4.0419999999999998</v>
      </c>
      <c r="D1301">
        <v>0.38</v>
      </c>
      <c r="E1301">
        <v>4.0419999999999998</v>
      </c>
      <c r="F1301">
        <v>0.38</v>
      </c>
    </row>
    <row r="1302" spans="1:6" x14ac:dyDescent="0.15">
      <c r="A1302" t="s">
        <v>664</v>
      </c>
      <c r="B1302" t="s">
        <v>38</v>
      </c>
      <c r="C1302">
        <v>21.567999999999998</v>
      </c>
      <c r="D1302">
        <v>0.77285237388724048</v>
      </c>
      <c r="E1302">
        <v>7.4569999999999999</v>
      </c>
      <c r="F1302">
        <v>0.76</v>
      </c>
    </row>
    <row r="1303" spans="1:6" x14ac:dyDescent="0.15">
      <c r="A1303" t="s">
        <v>665</v>
      </c>
      <c r="B1303" t="s">
        <v>38</v>
      </c>
      <c r="C1303">
        <v>8623.4089999999997</v>
      </c>
      <c r="D1303">
        <v>0.41722550248051549</v>
      </c>
      <c r="E1303">
        <v>8623.4089999999997</v>
      </c>
      <c r="F1303">
        <v>0.41722550248051549</v>
      </c>
    </row>
    <row r="1304" spans="1:6" x14ac:dyDescent="0.15">
      <c r="A1304" t="s">
        <v>2559</v>
      </c>
      <c r="B1304" t="s">
        <v>38</v>
      </c>
      <c r="C1304">
        <v>75.599999999999994</v>
      </c>
      <c r="D1304">
        <v>0.57999999999999996</v>
      </c>
    </row>
    <row r="1305" spans="1:6" x14ac:dyDescent="0.15">
      <c r="A1305" t="s">
        <v>2560</v>
      </c>
      <c r="B1305" t="s">
        <v>38</v>
      </c>
      <c r="C1305">
        <v>16.849999999999998</v>
      </c>
      <c r="D1305">
        <v>0.88445103857566776</v>
      </c>
    </row>
    <row r="1306" spans="1:6" x14ac:dyDescent="0.15">
      <c r="A1306" t="s">
        <v>2561</v>
      </c>
      <c r="B1306" t="s">
        <v>38</v>
      </c>
      <c r="C1306">
        <v>2.06</v>
      </c>
      <c r="D1306">
        <v>0.9</v>
      </c>
    </row>
    <row r="1307" spans="1:6" x14ac:dyDescent="0.15">
      <c r="A1307" t="s">
        <v>666</v>
      </c>
      <c r="B1307" t="s">
        <v>38</v>
      </c>
      <c r="C1307">
        <v>627</v>
      </c>
      <c r="D1307">
        <v>0.1073524720893142</v>
      </c>
      <c r="E1307">
        <v>32.179000000000002</v>
      </c>
      <c r="F1307">
        <v>0.08</v>
      </c>
    </row>
    <row r="1308" spans="1:6" x14ac:dyDescent="0.15">
      <c r="A1308" t="s">
        <v>2562</v>
      </c>
      <c r="B1308" t="s">
        <v>38</v>
      </c>
      <c r="C1308">
        <v>16</v>
      </c>
      <c r="D1308">
        <v>0.69</v>
      </c>
    </row>
    <row r="1309" spans="1:6" x14ac:dyDescent="0.15">
      <c r="A1309" t="s">
        <v>2563</v>
      </c>
      <c r="B1309" t="s">
        <v>38</v>
      </c>
      <c r="C1309">
        <v>0.42</v>
      </c>
      <c r="D1309">
        <v>0.19</v>
      </c>
    </row>
    <row r="1310" spans="1:6" x14ac:dyDescent="0.15">
      <c r="A1310" t="s">
        <v>2564</v>
      </c>
      <c r="B1310" t="s">
        <v>38</v>
      </c>
      <c r="C1310">
        <v>0.79700000000000004</v>
      </c>
      <c r="D1310">
        <v>0.54</v>
      </c>
    </row>
    <row r="1311" spans="1:6" x14ac:dyDescent="0.15">
      <c r="A1311" t="s">
        <v>2565</v>
      </c>
      <c r="B1311" t="s">
        <v>38</v>
      </c>
      <c r="C1311">
        <v>50.600000000000009</v>
      </c>
      <c r="D1311">
        <v>0.48938735177865605</v>
      </c>
    </row>
    <row r="1312" spans="1:6" x14ac:dyDescent="0.15">
      <c r="A1312" t="s">
        <v>667</v>
      </c>
      <c r="B1312" t="s">
        <v>38</v>
      </c>
      <c r="C1312">
        <v>28.604999999999997</v>
      </c>
      <c r="D1312">
        <v>1.4522094039503586</v>
      </c>
      <c r="E1312">
        <v>7.2160000000000002</v>
      </c>
      <c r="F1312">
        <v>1.5</v>
      </c>
    </row>
    <row r="1313" spans="1:6" x14ac:dyDescent="0.15">
      <c r="A1313" t="s">
        <v>2566</v>
      </c>
      <c r="B1313" t="s">
        <v>38</v>
      </c>
      <c r="C1313">
        <v>763.77199999999993</v>
      </c>
      <c r="D1313">
        <v>0.18021131175272204</v>
      </c>
    </row>
    <row r="1314" spans="1:6" x14ac:dyDescent="0.15">
      <c r="A1314" t="s">
        <v>2567</v>
      </c>
      <c r="B1314" t="s">
        <v>38</v>
      </c>
      <c r="C1314">
        <v>67</v>
      </c>
      <c r="D1314">
        <v>0.26600000000000001</v>
      </c>
    </row>
    <row r="1315" spans="1:6" x14ac:dyDescent="0.15">
      <c r="A1315" t="s">
        <v>668</v>
      </c>
      <c r="B1315" t="s">
        <v>38</v>
      </c>
      <c r="C1315">
        <v>2206.6460000000002</v>
      </c>
      <c r="D1315">
        <v>0.41338118257300893</v>
      </c>
      <c r="E1315">
        <v>2206.6460000000002</v>
      </c>
      <c r="F1315">
        <v>0.41338118257300893</v>
      </c>
    </row>
    <row r="1316" spans="1:6" x14ac:dyDescent="0.15">
      <c r="A1316" t="s">
        <v>2568</v>
      </c>
      <c r="B1316" t="s">
        <v>38</v>
      </c>
      <c r="C1316">
        <v>19.658000000000001</v>
      </c>
      <c r="D1316">
        <v>0.19</v>
      </c>
    </row>
    <row r="1317" spans="1:6" x14ac:dyDescent="0.15">
      <c r="A1317" t="s">
        <v>2569</v>
      </c>
      <c r="B1317" t="s">
        <v>38</v>
      </c>
      <c r="C1317">
        <v>44</v>
      </c>
      <c r="D1317">
        <v>0.36</v>
      </c>
    </row>
    <row r="1318" spans="1:6" x14ac:dyDescent="0.15">
      <c r="A1318" t="s">
        <v>2570</v>
      </c>
      <c r="B1318" t="s">
        <v>38</v>
      </c>
      <c r="C1318">
        <v>424.53</v>
      </c>
      <c r="D1318">
        <v>0.65450804419004549</v>
      </c>
    </row>
    <row r="1319" spans="1:6" x14ac:dyDescent="0.15">
      <c r="A1319" t="s">
        <v>2571</v>
      </c>
      <c r="B1319" t="s">
        <v>38</v>
      </c>
      <c r="C1319">
        <v>3.9299999999999997</v>
      </c>
      <c r="D1319">
        <v>0.42588549618320615</v>
      </c>
    </row>
    <row r="1320" spans="1:6" x14ac:dyDescent="0.15">
      <c r="A1320" t="s">
        <v>2572</v>
      </c>
      <c r="B1320" t="s">
        <v>38</v>
      </c>
      <c r="C1320">
        <v>293.8</v>
      </c>
      <c r="D1320">
        <v>5.2300884955752212E-2</v>
      </c>
    </row>
    <row r="1321" spans="1:6" x14ac:dyDescent="0.15">
      <c r="A1321" t="s">
        <v>2573</v>
      </c>
      <c r="B1321" t="s">
        <v>38</v>
      </c>
      <c r="C1321">
        <v>0.30099999999999999</v>
      </c>
      <c r="D1321">
        <v>0.59</v>
      </c>
    </row>
    <row r="1322" spans="1:6" x14ac:dyDescent="0.15">
      <c r="A1322" t="s">
        <v>669</v>
      </c>
      <c r="B1322" t="s">
        <v>38</v>
      </c>
      <c r="C1322">
        <v>482.85199999999998</v>
      </c>
      <c r="D1322">
        <v>0.25752339847406658</v>
      </c>
      <c r="E1322">
        <v>258.54500000000002</v>
      </c>
      <c r="F1322">
        <v>0.30399999999999999</v>
      </c>
    </row>
    <row r="1323" spans="1:6" x14ac:dyDescent="0.15">
      <c r="A1323" t="s">
        <v>2574</v>
      </c>
      <c r="B1323" t="s">
        <v>38</v>
      </c>
      <c r="C1323">
        <v>1</v>
      </c>
      <c r="D1323">
        <v>0.4</v>
      </c>
    </row>
    <row r="1324" spans="1:6" x14ac:dyDescent="0.15">
      <c r="A1324" t="s">
        <v>2575</v>
      </c>
      <c r="B1324" t="s">
        <v>38</v>
      </c>
      <c r="C1324">
        <v>9.6300000000000008</v>
      </c>
      <c r="D1324">
        <v>7.5968847352024915E-2</v>
      </c>
    </row>
    <row r="1325" spans="1:6" x14ac:dyDescent="0.15">
      <c r="A1325" t="s">
        <v>670</v>
      </c>
      <c r="B1325" t="s">
        <v>38</v>
      </c>
      <c r="C1325">
        <v>43.891000000000005</v>
      </c>
      <c r="D1325">
        <v>0.49607655327971567</v>
      </c>
      <c r="E1325">
        <v>43.891000000000005</v>
      </c>
      <c r="F1325">
        <v>0.49607655327971567</v>
      </c>
    </row>
    <row r="1326" spans="1:6" x14ac:dyDescent="0.15">
      <c r="A1326" t="s">
        <v>2576</v>
      </c>
      <c r="B1326" t="s">
        <v>38</v>
      </c>
      <c r="C1326">
        <v>0.12</v>
      </c>
      <c r="D1326">
        <v>0.12</v>
      </c>
    </row>
    <row r="1327" spans="1:6" x14ac:dyDescent="0.15">
      <c r="A1327" t="s">
        <v>2577</v>
      </c>
      <c r="B1327" t="s">
        <v>38</v>
      </c>
      <c r="C1327">
        <v>12.124000000000001</v>
      </c>
      <c r="D1327">
        <v>0.7634922467832399</v>
      </c>
    </row>
    <row r="1328" spans="1:6" x14ac:dyDescent="0.15">
      <c r="A1328" t="s">
        <v>671</v>
      </c>
      <c r="B1328" t="s">
        <v>38</v>
      </c>
      <c r="C1328">
        <v>4861.45</v>
      </c>
      <c r="D1328">
        <v>0.22229729442861701</v>
      </c>
      <c r="E1328">
        <v>4861.45</v>
      </c>
      <c r="F1328">
        <v>0.22229729442861701</v>
      </c>
    </row>
    <row r="1329" spans="1:6" x14ac:dyDescent="0.15">
      <c r="A1329" t="s">
        <v>2578</v>
      </c>
      <c r="B1329" t="s">
        <v>38</v>
      </c>
      <c r="C1329">
        <v>135</v>
      </c>
      <c r="D1329">
        <v>0.33</v>
      </c>
    </row>
    <row r="1330" spans="1:6" x14ac:dyDescent="0.15">
      <c r="A1330" t="s">
        <v>2579</v>
      </c>
      <c r="B1330" t="s">
        <v>38</v>
      </c>
      <c r="C1330">
        <v>126.739</v>
      </c>
      <c r="D1330">
        <v>0.2</v>
      </c>
    </row>
    <row r="1331" spans="1:6" x14ac:dyDescent="0.15">
      <c r="A1331" t="s">
        <v>2580</v>
      </c>
      <c r="B1331" t="s">
        <v>38</v>
      </c>
      <c r="C1331">
        <v>5.3670000000000009</v>
      </c>
      <c r="D1331">
        <v>0.52089994410285068</v>
      </c>
    </row>
    <row r="1332" spans="1:6" x14ac:dyDescent="0.15">
      <c r="A1332" t="s">
        <v>2581</v>
      </c>
      <c r="B1332" t="s">
        <v>38</v>
      </c>
      <c r="C1332">
        <v>33</v>
      </c>
      <c r="D1332">
        <v>0.5</v>
      </c>
    </row>
    <row r="1333" spans="1:6" x14ac:dyDescent="0.15">
      <c r="A1333" t="s">
        <v>2582</v>
      </c>
      <c r="B1333" t="s">
        <v>38</v>
      </c>
      <c r="C1333">
        <v>1429.6030000000001</v>
      </c>
      <c r="D1333">
        <v>0.2717576557967491</v>
      </c>
    </row>
    <row r="1334" spans="1:6" x14ac:dyDescent="0.15">
      <c r="A1334" t="s">
        <v>2583</v>
      </c>
      <c r="B1334" t="s">
        <v>38</v>
      </c>
      <c r="C1334">
        <v>21</v>
      </c>
      <c r="D1334">
        <v>0.63</v>
      </c>
    </row>
    <row r="1335" spans="1:6" x14ac:dyDescent="0.15">
      <c r="A1335" t="s">
        <v>2584</v>
      </c>
      <c r="B1335" t="s">
        <v>38</v>
      </c>
      <c r="C1335">
        <v>25.490000000000002</v>
      </c>
      <c r="D1335">
        <v>0.1</v>
      </c>
    </row>
    <row r="1336" spans="1:6" x14ac:dyDescent="0.15">
      <c r="A1336" t="s">
        <v>2585</v>
      </c>
      <c r="B1336" t="s">
        <v>38</v>
      </c>
      <c r="C1336">
        <v>8.3390979999999999</v>
      </c>
      <c r="D1336">
        <v>0.60948577412089422</v>
      </c>
    </row>
    <row r="1337" spans="1:6" x14ac:dyDescent="0.15">
      <c r="A1337" t="s">
        <v>672</v>
      </c>
      <c r="B1337" t="s">
        <v>38</v>
      </c>
      <c r="C1337">
        <v>3.3731989999999996</v>
      </c>
      <c r="D1337">
        <v>1.036034698812611</v>
      </c>
      <c r="E1337">
        <v>3.6043980000000002</v>
      </c>
      <c r="F1337">
        <v>1</v>
      </c>
    </row>
    <row r="1338" spans="1:6" x14ac:dyDescent="0.15">
      <c r="A1338" t="s">
        <v>673</v>
      </c>
      <c r="B1338" t="s">
        <v>38</v>
      </c>
      <c r="C1338">
        <v>36.573999999999998</v>
      </c>
      <c r="D1338">
        <v>7.0000000000000007E-2</v>
      </c>
      <c r="E1338">
        <v>36.573999999999998</v>
      </c>
      <c r="F1338">
        <v>7.0000000000000007E-2</v>
      </c>
    </row>
    <row r="1339" spans="1:6" x14ac:dyDescent="0.15">
      <c r="A1339" t="s">
        <v>2586</v>
      </c>
      <c r="B1339" t="s">
        <v>38</v>
      </c>
      <c r="C1339">
        <v>37</v>
      </c>
      <c r="D1339">
        <v>0.52</v>
      </c>
    </row>
    <row r="1340" spans="1:6" x14ac:dyDescent="0.15">
      <c r="A1340" t="s">
        <v>2587</v>
      </c>
      <c r="B1340" t="s">
        <v>38</v>
      </c>
      <c r="C1340">
        <v>79.3</v>
      </c>
      <c r="D1340">
        <v>0.8</v>
      </c>
    </row>
    <row r="1341" spans="1:6" x14ac:dyDescent="0.15">
      <c r="A1341" t="s">
        <v>674</v>
      </c>
      <c r="B1341" t="s">
        <v>38</v>
      </c>
      <c r="C1341">
        <v>19.015000000000001</v>
      </c>
      <c r="D1341">
        <v>1.24</v>
      </c>
      <c r="E1341">
        <v>19.015000000000001</v>
      </c>
      <c r="F1341">
        <v>1.24</v>
      </c>
    </row>
    <row r="1342" spans="1:6" x14ac:dyDescent="0.15">
      <c r="A1342" t="s">
        <v>675</v>
      </c>
      <c r="B1342" t="s">
        <v>38</v>
      </c>
      <c r="C1342">
        <v>4.8630000000000004</v>
      </c>
      <c r="D1342">
        <v>0.01</v>
      </c>
      <c r="E1342">
        <v>4.8630000000000004</v>
      </c>
      <c r="F1342">
        <v>0.01</v>
      </c>
    </row>
    <row r="1343" spans="1:6" x14ac:dyDescent="0.15">
      <c r="A1343" t="s">
        <v>676</v>
      </c>
      <c r="B1343" t="s">
        <v>38</v>
      </c>
      <c r="C1343">
        <v>4.4950000000000001</v>
      </c>
      <c r="D1343">
        <v>0.25821357063403783</v>
      </c>
      <c r="E1343">
        <v>0.59299999999999997</v>
      </c>
      <c r="F1343">
        <v>0.19</v>
      </c>
    </row>
    <row r="1344" spans="1:6" x14ac:dyDescent="0.15">
      <c r="A1344" t="s">
        <v>677</v>
      </c>
      <c r="B1344" t="s">
        <v>38</v>
      </c>
      <c r="C1344">
        <v>457.99</v>
      </c>
      <c r="D1344">
        <v>0.27977292080613114</v>
      </c>
      <c r="E1344">
        <v>291.81</v>
      </c>
      <c r="F1344">
        <v>0.28999999999999998</v>
      </c>
    </row>
    <row r="1345" spans="1:6" x14ac:dyDescent="0.15">
      <c r="A1345" t="s">
        <v>2588</v>
      </c>
      <c r="B1345" t="s">
        <v>38</v>
      </c>
      <c r="C1345">
        <v>0.84</v>
      </c>
      <c r="D1345">
        <v>2.5</v>
      </c>
    </row>
    <row r="1346" spans="1:6" x14ac:dyDescent="0.15">
      <c r="A1346" t="s">
        <v>678</v>
      </c>
      <c r="B1346" t="s">
        <v>38</v>
      </c>
      <c r="C1346">
        <v>22.795999999999999</v>
      </c>
      <c r="D1346">
        <v>0.81</v>
      </c>
      <c r="E1346">
        <v>22.795999999999999</v>
      </c>
      <c r="F1346">
        <v>0.81</v>
      </c>
    </row>
    <row r="1347" spans="1:6" x14ac:dyDescent="0.15">
      <c r="A1347" t="s">
        <v>679</v>
      </c>
      <c r="B1347" t="s">
        <v>38</v>
      </c>
      <c r="C1347">
        <v>15.933999999999999</v>
      </c>
      <c r="D1347">
        <v>0.39</v>
      </c>
      <c r="E1347">
        <v>15.933999999999999</v>
      </c>
      <c r="F1347">
        <v>0.39</v>
      </c>
    </row>
    <row r="1348" spans="1:6" x14ac:dyDescent="0.15">
      <c r="A1348" t="s">
        <v>1224</v>
      </c>
      <c r="B1348" t="s">
        <v>38</v>
      </c>
      <c r="C1348">
        <v>4.0057080000000003</v>
      </c>
      <c r="D1348">
        <v>0.29976244898529797</v>
      </c>
    </row>
    <row r="1349" spans="1:6" x14ac:dyDescent="0.15">
      <c r="A1349" t="s">
        <v>2589</v>
      </c>
      <c r="B1349" t="s">
        <v>38</v>
      </c>
      <c r="C1349">
        <v>89.7</v>
      </c>
      <c r="D1349">
        <v>0.3365440356744705</v>
      </c>
    </row>
    <row r="1350" spans="1:6" x14ac:dyDescent="0.15">
      <c r="A1350" t="s">
        <v>2590</v>
      </c>
      <c r="B1350" t="s">
        <v>38</v>
      </c>
      <c r="C1350">
        <v>15.058</v>
      </c>
      <c r="D1350">
        <v>0.19781909948200291</v>
      </c>
    </row>
    <row r="1351" spans="1:6" x14ac:dyDescent="0.15">
      <c r="A1351" t="s">
        <v>2591</v>
      </c>
      <c r="B1351" t="s">
        <v>38</v>
      </c>
      <c r="C1351">
        <v>102.5</v>
      </c>
      <c r="D1351">
        <v>1.24</v>
      </c>
    </row>
    <row r="1352" spans="1:6" x14ac:dyDescent="0.15">
      <c r="A1352" t="s">
        <v>2592</v>
      </c>
      <c r="B1352" t="s">
        <v>38</v>
      </c>
      <c r="C1352">
        <v>1.5856041600000002</v>
      </c>
      <c r="D1352">
        <v>1.5563794484494793</v>
      </c>
    </row>
    <row r="1353" spans="1:6" x14ac:dyDescent="0.15">
      <c r="A1353" t="s">
        <v>2593</v>
      </c>
      <c r="B1353" t="s">
        <v>38</v>
      </c>
      <c r="C1353">
        <v>2.8</v>
      </c>
      <c r="D1353">
        <v>0.38</v>
      </c>
    </row>
    <row r="1354" spans="1:6" x14ac:dyDescent="0.15">
      <c r="A1354" t="s">
        <v>2594</v>
      </c>
      <c r="B1354" t="s">
        <v>38</v>
      </c>
      <c r="C1354">
        <v>1.248</v>
      </c>
      <c r="D1354">
        <v>0.44</v>
      </c>
    </row>
    <row r="1355" spans="1:6" x14ac:dyDescent="0.15">
      <c r="A1355" t="s">
        <v>2595</v>
      </c>
      <c r="B1355" t="s">
        <v>38</v>
      </c>
      <c r="C1355">
        <v>274</v>
      </c>
      <c r="D1355">
        <v>0.5</v>
      </c>
    </row>
    <row r="1356" spans="1:6" x14ac:dyDescent="0.15">
      <c r="A1356" t="s">
        <v>2596</v>
      </c>
      <c r="B1356" t="s">
        <v>38</v>
      </c>
      <c r="C1356">
        <v>59.22</v>
      </c>
      <c r="D1356">
        <v>4.5143532590341096E-2</v>
      </c>
    </row>
    <row r="1357" spans="1:6" x14ac:dyDescent="0.15">
      <c r="A1357" t="s">
        <v>2597</v>
      </c>
      <c r="B1357" t="s">
        <v>38</v>
      </c>
      <c r="C1357">
        <v>87.2</v>
      </c>
      <c r="D1357">
        <v>0.43</v>
      </c>
    </row>
    <row r="1358" spans="1:6" x14ac:dyDescent="0.15">
      <c r="A1358" t="s">
        <v>2598</v>
      </c>
      <c r="B1358" t="s">
        <v>38</v>
      </c>
      <c r="C1358">
        <v>1073.3</v>
      </c>
      <c r="D1358">
        <v>0.17391782353489238</v>
      </c>
    </row>
    <row r="1359" spans="1:6" x14ac:dyDescent="0.15">
      <c r="A1359" t="s">
        <v>2599</v>
      </c>
      <c r="B1359" t="s">
        <v>38</v>
      </c>
      <c r="C1359">
        <v>225.68600000000001</v>
      </c>
      <c r="D1359">
        <v>0.1891096922272538</v>
      </c>
    </row>
    <row r="1360" spans="1:6" x14ac:dyDescent="0.15">
      <c r="A1360" t="s">
        <v>2600</v>
      </c>
      <c r="B1360" t="s">
        <v>38</v>
      </c>
      <c r="C1360">
        <v>90.64</v>
      </c>
      <c r="D1360">
        <v>0.32222727272727275</v>
      </c>
    </row>
    <row r="1361" spans="1:6" x14ac:dyDescent="0.15">
      <c r="A1361" t="s">
        <v>680</v>
      </c>
      <c r="B1361" t="s">
        <v>38</v>
      </c>
      <c r="C1361">
        <v>9.8350000000000009</v>
      </c>
      <c r="D1361">
        <v>0.3</v>
      </c>
      <c r="E1361">
        <v>9.8350000000000009</v>
      </c>
      <c r="F1361">
        <v>0.3</v>
      </c>
    </row>
    <row r="1362" spans="1:6" x14ac:dyDescent="0.15">
      <c r="A1362" t="s">
        <v>681</v>
      </c>
      <c r="B1362" t="s">
        <v>38</v>
      </c>
      <c r="C1362">
        <v>31.34</v>
      </c>
      <c r="D1362">
        <v>0.21</v>
      </c>
      <c r="E1362">
        <v>31.34</v>
      </c>
      <c r="F1362">
        <v>0.21</v>
      </c>
    </row>
    <row r="1363" spans="1:6" x14ac:dyDescent="0.15">
      <c r="A1363" t="s">
        <v>2601</v>
      </c>
      <c r="B1363" t="s">
        <v>38</v>
      </c>
      <c r="C1363">
        <v>1.2</v>
      </c>
      <c r="D1363">
        <v>1.8</v>
      </c>
    </row>
    <row r="1364" spans="1:6" x14ac:dyDescent="0.15">
      <c r="A1364" t="s">
        <v>2602</v>
      </c>
      <c r="B1364" t="s">
        <v>328</v>
      </c>
      <c r="C1364">
        <v>1521</v>
      </c>
      <c r="D1364">
        <v>0.62</v>
      </c>
    </row>
    <row r="1365" spans="1:6" x14ac:dyDescent="0.15">
      <c r="A1365" t="s">
        <v>2603</v>
      </c>
      <c r="B1365" t="s">
        <v>328</v>
      </c>
      <c r="C1365">
        <v>28.761000000000003</v>
      </c>
      <c r="D1365">
        <v>1.1232029484371195</v>
      </c>
    </row>
    <row r="1366" spans="1:6" x14ac:dyDescent="0.15">
      <c r="A1366" t="s">
        <v>2604</v>
      </c>
      <c r="B1366" t="s">
        <v>328</v>
      </c>
      <c r="C1366">
        <v>203</v>
      </c>
      <c r="D1366">
        <v>0.34</v>
      </c>
    </row>
    <row r="1367" spans="1:6" x14ac:dyDescent="0.15">
      <c r="A1367" t="s">
        <v>682</v>
      </c>
      <c r="B1367" t="s">
        <v>328</v>
      </c>
      <c r="C1367">
        <v>308</v>
      </c>
      <c r="D1367">
        <v>1.2664285714285715</v>
      </c>
      <c r="E1367">
        <v>35</v>
      </c>
      <c r="F1367">
        <v>1.59</v>
      </c>
    </row>
    <row r="1368" spans="1:6" x14ac:dyDescent="0.15">
      <c r="A1368" t="s">
        <v>683</v>
      </c>
      <c r="B1368" t="s">
        <v>328</v>
      </c>
      <c r="C1368">
        <v>1742</v>
      </c>
      <c r="D1368">
        <v>0.39406429391504022</v>
      </c>
      <c r="E1368">
        <v>986</v>
      </c>
      <c r="F1368">
        <v>0.44476673427991886</v>
      </c>
    </row>
    <row r="1369" spans="1:6" x14ac:dyDescent="0.15">
      <c r="A1369" t="s">
        <v>684</v>
      </c>
      <c r="B1369" t="s">
        <v>328</v>
      </c>
      <c r="C1369">
        <v>1677</v>
      </c>
      <c r="D1369">
        <v>1.1182707215265355</v>
      </c>
      <c r="E1369">
        <v>464</v>
      </c>
      <c r="F1369">
        <v>1.66</v>
      </c>
    </row>
    <row r="1370" spans="1:6" x14ac:dyDescent="0.15">
      <c r="A1370" t="s">
        <v>685</v>
      </c>
      <c r="B1370" t="s">
        <v>328</v>
      </c>
      <c r="C1370">
        <v>297</v>
      </c>
      <c r="D1370">
        <v>1.2345117845117846</v>
      </c>
      <c r="E1370">
        <v>35</v>
      </c>
      <c r="F1370">
        <v>1.59</v>
      </c>
    </row>
    <row r="1371" spans="1:6" x14ac:dyDescent="0.15">
      <c r="A1371" t="s">
        <v>2605</v>
      </c>
      <c r="B1371" t="s">
        <v>328</v>
      </c>
      <c r="C1371">
        <v>839</v>
      </c>
      <c r="D1371">
        <v>0.77</v>
      </c>
    </row>
    <row r="1372" spans="1:6" x14ac:dyDescent="0.15">
      <c r="A1372" t="s">
        <v>2606</v>
      </c>
      <c r="B1372" t="s">
        <v>328</v>
      </c>
      <c r="C1372">
        <v>1700</v>
      </c>
      <c r="D1372">
        <v>0.39</v>
      </c>
    </row>
    <row r="1373" spans="1:6" x14ac:dyDescent="0.15">
      <c r="A1373" t="s">
        <v>2607</v>
      </c>
      <c r="B1373" t="s">
        <v>328</v>
      </c>
      <c r="C1373">
        <v>117</v>
      </c>
      <c r="D1373">
        <v>0.41</v>
      </c>
    </row>
    <row r="1374" spans="1:6" x14ac:dyDescent="0.15">
      <c r="A1374" t="s">
        <v>2608</v>
      </c>
      <c r="B1374" t="s">
        <v>328</v>
      </c>
      <c r="C1374">
        <v>240</v>
      </c>
      <c r="D1374">
        <v>0.53</v>
      </c>
    </row>
    <row r="1375" spans="1:6" x14ac:dyDescent="0.15">
      <c r="A1375" t="s">
        <v>2609</v>
      </c>
      <c r="B1375" t="s">
        <v>328</v>
      </c>
      <c r="C1375">
        <v>18.3</v>
      </c>
      <c r="D1375">
        <v>0.46</v>
      </c>
    </row>
    <row r="1376" spans="1:6" x14ac:dyDescent="0.15">
      <c r="A1376" t="s">
        <v>2610</v>
      </c>
      <c r="B1376" t="s">
        <v>328</v>
      </c>
      <c r="C1376">
        <v>650</v>
      </c>
      <c r="D1376">
        <v>6.2515384615384625E-2</v>
      </c>
    </row>
    <row r="1377" spans="1:6" x14ac:dyDescent="0.15">
      <c r="A1377" t="s">
        <v>2611</v>
      </c>
      <c r="B1377" t="s">
        <v>2612</v>
      </c>
      <c r="C1377">
        <v>9.52</v>
      </c>
      <c r="D1377">
        <v>0.2838865546218487</v>
      </c>
    </row>
    <row r="1378" spans="1:6" x14ac:dyDescent="0.15">
      <c r="A1378" t="s">
        <v>2613</v>
      </c>
      <c r="B1378" t="s">
        <v>78</v>
      </c>
      <c r="C1378">
        <v>5</v>
      </c>
      <c r="D1378">
        <v>1</v>
      </c>
    </row>
    <row r="1379" spans="1:6" x14ac:dyDescent="0.15">
      <c r="A1379" t="s">
        <v>686</v>
      </c>
      <c r="B1379" t="s">
        <v>78</v>
      </c>
      <c r="C1379">
        <v>7.6260488020455179</v>
      </c>
      <c r="D1379">
        <v>1.9799375000000001</v>
      </c>
      <c r="E1379">
        <v>4.5799713730702383</v>
      </c>
      <c r="F1379">
        <v>2.2571538461538463</v>
      </c>
    </row>
    <row r="1380" spans="1:6" x14ac:dyDescent="0.15">
      <c r="A1380" t="s">
        <v>2614</v>
      </c>
      <c r="B1380" t="s">
        <v>78</v>
      </c>
      <c r="C1380">
        <v>8.4484060000000003</v>
      </c>
      <c r="D1380">
        <v>0.69141702872707589</v>
      </c>
    </row>
    <row r="1381" spans="1:6" x14ac:dyDescent="0.15">
      <c r="A1381" t="s">
        <v>2615</v>
      </c>
      <c r="B1381" t="s">
        <v>78</v>
      </c>
      <c r="C1381">
        <v>1.75</v>
      </c>
      <c r="D1381">
        <v>1</v>
      </c>
    </row>
    <row r="1382" spans="1:6" x14ac:dyDescent="0.15">
      <c r="A1382" t="s">
        <v>2616</v>
      </c>
      <c r="B1382" t="s">
        <v>78</v>
      </c>
      <c r="C1382">
        <v>57.353999999999999</v>
      </c>
      <c r="D1382">
        <v>0.9202360776929247</v>
      </c>
    </row>
    <row r="1383" spans="1:6" x14ac:dyDescent="0.15">
      <c r="A1383" t="s">
        <v>687</v>
      </c>
      <c r="B1383" t="s">
        <v>78</v>
      </c>
      <c r="C1383">
        <v>12.774583</v>
      </c>
      <c r="D1383">
        <v>0.28328909053234852</v>
      </c>
      <c r="E1383">
        <v>2.0705010000000001</v>
      </c>
      <c r="F1383">
        <v>0.26737490105051864</v>
      </c>
    </row>
    <row r="1384" spans="1:6" x14ac:dyDescent="0.15">
      <c r="A1384" t="s">
        <v>2617</v>
      </c>
      <c r="B1384" t="s">
        <v>78</v>
      </c>
      <c r="C1384">
        <v>7.5</v>
      </c>
      <c r="D1384">
        <v>1</v>
      </c>
    </row>
    <row r="1385" spans="1:6" x14ac:dyDescent="0.15">
      <c r="A1385" t="s">
        <v>2618</v>
      </c>
      <c r="B1385" t="s">
        <v>78</v>
      </c>
      <c r="C1385">
        <v>4</v>
      </c>
      <c r="D1385">
        <v>0.8</v>
      </c>
    </row>
    <row r="1386" spans="1:6" x14ac:dyDescent="0.15">
      <c r="A1386" t="s">
        <v>688</v>
      </c>
      <c r="B1386" t="s">
        <v>78</v>
      </c>
      <c r="C1386">
        <v>3.1746666666666665</v>
      </c>
      <c r="D1386">
        <v>2.7</v>
      </c>
      <c r="E1386">
        <v>2.5428888888888883</v>
      </c>
      <c r="F1386">
        <v>2.7</v>
      </c>
    </row>
    <row r="1387" spans="1:6" x14ac:dyDescent="0.15">
      <c r="A1387" t="s">
        <v>2619</v>
      </c>
      <c r="B1387" t="s">
        <v>78</v>
      </c>
      <c r="C1387">
        <v>3</v>
      </c>
      <c r="D1387">
        <v>1.5</v>
      </c>
    </row>
    <row r="1388" spans="1:6" x14ac:dyDescent="0.15">
      <c r="A1388" t="s">
        <v>2620</v>
      </c>
      <c r="B1388" t="s">
        <v>78</v>
      </c>
      <c r="C1388">
        <v>30</v>
      </c>
      <c r="D1388">
        <v>1</v>
      </c>
    </row>
    <row r="1389" spans="1:6" x14ac:dyDescent="0.15">
      <c r="A1389" t="s">
        <v>2621</v>
      </c>
      <c r="B1389" t="s">
        <v>2622</v>
      </c>
      <c r="C1389">
        <v>3.1</v>
      </c>
      <c r="D1389">
        <v>1.4</v>
      </c>
    </row>
    <row r="1390" spans="1:6" x14ac:dyDescent="0.15">
      <c r="A1390" t="s">
        <v>2623</v>
      </c>
      <c r="B1390" s="5" t="s">
        <v>1309</v>
      </c>
      <c r="C1390">
        <v>10.8</v>
      </c>
      <c r="D1390">
        <v>1.05</v>
      </c>
    </row>
    <row r="1391" spans="1:6" x14ac:dyDescent="0.15">
      <c r="A1391" t="s">
        <v>689</v>
      </c>
      <c r="B1391" s="5" t="s">
        <v>1309</v>
      </c>
      <c r="C1391">
        <v>1478</v>
      </c>
      <c r="D1391">
        <v>0.37739512855209739</v>
      </c>
      <c r="E1391">
        <v>803</v>
      </c>
      <c r="F1391">
        <v>0.43</v>
      </c>
    </row>
    <row r="1392" spans="1:6" x14ac:dyDescent="0.15">
      <c r="A1392" t="s">
        <v>690</v>
      </c>
      <c r="B1392" s="5" t="s">
        <v>1309</v>
      </c>
      <c r="C1392">
        <v>563.75200000000007</v>
      </c>
      <c r="D1392">
        <v>0.30696121698903067</v>
      </c>
      <c r="E1392">
        <v>230.75199999999998</v>
      </c>
      <c r="F1392">
        <v>0.36203369851615591</v>
      </c>
    </row>
    <row r="1393" spans="1:6" x14ac:dyDescent="0.15">
      <c r="A1393" t="s">
        <v>2624</v>
      </c>
      <c r="B1393" t="s">
        <v>871</v>
      </c>
      <c r="C1393">
        <v>1.3801000000000001</v>
      </c>
      <c r="D1393">
        <v>1.0549742772262878</v>
      </c>
    </row>
    <row r="1394" spans="1:6" x14ac:dyDescent="0.15">
      <c r="A1394" t="s">
        <v>2625</v>
      </c>
      <c r="B1394" t="s">
        <v>871</v>
      </c>
      <c r="C1394">
        <v>1.32</v>
      </c>
      <c r="D1394">
        <v>1.05</v>
      </c>
    </row>
    <row r="1395" spans="1:6" x14ac:dyDescent="0.15">
      <c r="A1395" t="s">
        <v>2626</v>
      </c>
      <c r="B1395" t="s">
        <v>871</v>
      </c>
      <c r="C1395">
        <v>5.91</v>
      </c>
      <c r="D1395">
        <v>1.2</v>
      </c>
    </row>
    <row r="1396" spans="1:6" x14ac:dyDescent="0.15">
      <c r="A1396" t="s">
        <v>2627</v>
      </c>
      <c r="B1396" t="s">
        <v>871</v>
      </c>
      <c r="C1396">
        <v>0.16</v>
      </c>
      <c r="D1396">
        <v>1.54</v>
      </c>
    </row>
    <row r="1397" spans="1:6" x14ac:dyDescent="0.15">
      <c r="A1397" t="s">
        <v>2628</v>
      </c>
      <c r="B1397" t="s">
        <v>871</v>
      </c>
      <c r="C1397">
        <v>1353</v>
      </c>
      <c r="D1397">
        <v>0.23</v>
      </c>
    </row>
    <row r="1398" spans="1:6" x14ac:dyDescent="0.15">
      <c r="A1398" t="s">
        <v>2629</v>
      </c>
      <c r="B1398" t="s">
        <v>871</v>
      </c>
      <c r="C1398">
        <v>0.245</v>
      </c>
      <c r="D1398">
        <v>4.5</v>
      </c>
    </row>
    <row r="1399" spans="1:6" x14ac:dyDescent="0.15">
      <c r="A1399" t="s">
        <v>2630</v>
      </c>
      <c r="B1399" t="s">
        <v>871</v>
      </c>
      <c r="C1399">
        <v>7.5</v>
      </c>
      <c r="D1399">
        <v>2</v>
      </c>
    </row>
    <row r="1400" spans="1:6" x14ac:dyDescent="0.15">
      <c r="A1400" t="s">
        <v>2631</v>
      </c>
      <c r="B1400" t="s">
        <v>871</v>
      </c>
      <c r="C1400">
        <v>3.4883160000000002</v>
      </c>
      <c r="D1400">
        <v>2.0521161184938519</v>
      </c>
    </row>
    <row r="1401" spans="1:6" x14ac:dyDescent="0.15">
      <c r="A1401" t="s">
        <v>2632</v>
      </c>
      <c r="B1401" t="s">
        <v>871</v>
      </c>
      <c r="C1401">
        <v>10.6</v>
      </c>
      <c r="D1401">
        <v>0.21</v>
      </c>
    </row>
    <row r="1402" spans="1:6" x14ac:dyDescent="0.15">
      <c r="A1402" t="s">
        <v>2633</v>
      </c>
      <c r="B1402" t="s">
        <v>871</v>
      </c>
      <c r="C1402">
        <v>3.5968309999999999</v>
      </c>
      <c r="D1402">
        <v>2.5</v>
      </c>
    </row>
    <row r="1403" spans="1:6" x14ac:dyDescent="0.15">
      <c r="A1403" t="s">
        <v>691</v>
      </c>
      <c r="B1403" t="s">
        <v>871</v>
      </c>
      <c r="C1403">
        <v>0.5</v>
      </c>
      <c r="D1403">
        <v>2.77</v>
      </c>
      <c r="E1403">
        <v>0.3</v>
      </c>
      <c r="F1403">
        <v>1.83</v>
      </c>
    </row>
    <row r="1404" spans="1:6" x14ac:dyDescent="0.15">
      <c r="A1404" t="s">
        <v>2634</v>
      </c>
      <c r="B1404" t="s">
        <v>871</v>
      </c>
      <c r="C1404">
        <v>6.1</v>
      </c>
      <c r="D1404">
        <v>1.33</v>
      </c>
    </row>
    <row r="1405" spans="1:6" x14ac:dyDescent="0.15">
      <c r="A1405" t="s">
        <v>2635</v>
      </c>
      <c r="B1405" t="s">
        <v>871</v>
      </c>
      <c r="C1405">
        <v>10.199999999999999</v>
      </c>
      <c r="D1405">
        <v>1.1200000000000001</v>
      </c>
    </row>
    <row r="1406" spans="1:6" x14ac:dyDescent="0.15">
      <c r="A1406" t="s">
        <v>2636</v>
      </c>
      <c r="B1406" t="s">
        <v>871</v>
      </c>
      <c r="C1406">
        <v>1.1000000000000001</v>
      </c>
      <c r="D1406">
        <v>2.5</v>
      </c>
    </row>
    <row r="1407" spans="1:6" x14ac:dyDescent="0.15">
      <c r="A1407" t="s">
        <v>2637</v>
      </c>
      <c r="B1407" t="s">
        <v>871</v>
      </c>
      <c r="C1407">
        <v>136.9</v>
      </c>
      <c r="D1407">
        <v>0.54</v>
      </c>
    </row>
    <row r="1408" spans="1:6" x14ac:dyDescent="0.15">
      <c r="A1408" t="s">
        <v>2638</v>
      </c>
      <c r="B1408" t="s">
        <v>871</v>
      </c>
      <c r="C1408">
        <v>0.3</v>
      </c>
      <c r="D1408">
        <v>2</v>
      </c>
    </row>
    <row r="1409" spans="1:6" x14ac:dyDescent="0.15">
      <c r="A1409" t="s">
        <v>2639</v>
      </c>
      <c r="B1409" t="s">
        <v>871</v>
      </c>
      <c r="C1409">
        <v>7.25</v>
      </c>
      <c r="D1409">
        <v>1.6558344827586207</v>
      </c>
    </row>
    <row r="1410" spans="1:6" x14ac:dyDescent="0.15">
      <c r="A1410" t="s">
        <v>692</v>
      </c>
      <c r="B1410" t="s">
        <v>871</v>
      </c>
      <c r="C1410">
        <v>8.9</v>
      </c>
      <c r="D1410">
        <v>1.78</v>
      </c>
      <c r="E1410">
        <v>2.2000000000000002</v>
      </c>
      <c r="F1410">
        <v>2.48</v>
      </c>
    </row>
    <row r="1411" spans="1:6" x14ac:dyDescent="0.15">
      <c r="A1411" t="s">
        <v>2640</v>
      </c>
      <c r="B1411" t="s">
        <v>871</v>
      </c>
      <c r="C1411">
        <v>0.96797599999999995</v>
      </c>
      <c r="D1411">
        <v>0.73</v>
      </c>
    </row>
    <row r="1412" spans="1:6" x14ac:dyDescent="0.15">
      <c r="A1412" t="s">
        <v>693</v>
      </c>
      <c r="B1412" t="s">
        <v>871</v>
      </c>
      <c r="C1412">
        <v>52.1</v>
      </c>
      <c r="D1412">
        <v>0.81</v>
      </c>
      <c r="E1412">
        <v>25.5</v>
      </c>
      <c r="F1412">
        <v>0.85</v>
      </c>
    </row>
    <row r="1413" spans="1:6" x14ac:dyDescent="0.15">
      <c r="A1413" t="s">
        <v>2641</v>
      </c>
      <c r="B1413" t="s">
        <v>871</v>
      </c>
      <c r="C1413">
        <v>5.8</v>
      </c>
      <c r="D1413">
        <v>0.4</v>
      </c>
    </row>
    <row r="1414" spans="1:6" x14ac:dyDescent="0.15">
      <c r="A1414" t="s">
        <v>2642</v>
      </c>
      <c r="B1414" t="s">
        <v>871</v>
      </c>
      <c r="C1414">
        <v>0.2</v>
      </c>
      <c r="D1414">
        <v>2.96</v>
      </c>
    </row>
    <row r="1415" spans="1:6" x14ac:dyDescent="0.15">
      <c r="A1415" t="s">
        <v>2643</v>
      </c>
      <c r="B1415" t="s">
        <v>871</v>
      </c>
      <c r="C1415">
        <v>1</v>
      </c>
      <c r="D1415">
        <v>2.1</v>
      </c>
    </row>
    <row r="1416" spans="1:6" x14ac:dyDescent="0.15">
      <c r="A1416" t="s">
        <v>2644</v>
      </c>
      <c r="B1416" t="s">
        <v>871</v>
      </c>
      <c r="C1416">
        <v>12</v>
      </c>
      <c r="D1416">
        <v>0.48</v>
      </c>
    </row>
    <row r="1417" spans="1:6" x14ac:dyDescent="0.15">
      <c r="A1417" t="s">
        <v>2645</v>
      </c>
      <c r="B1417" t="s">
        <v>871</v>
      </c>
      <c r="C1417">
        <v>0.2</v>
      </c>
      <c r="D1417">
        <v>2.27</v>
      </c>
    </row>
    <row r="1418" spans="1:6" x14ac:dyDescent="0.15">
      <c r="A1418" t="s">
        <v>2646</v>
      </c>
      <c r="B1418" t="s">
        <v>871</v>
      </c>
      <c r="C1418">
        <v>9.5</v>
      </c>
      <c r="D1418">
        <v>1.5</v>
      </c>
    </row>
    <row r="1419" spans="1:6" x14ac:dyDescent="0.15">
      <c r="A1419" t="s">
        <v>2647</v>
      </c>
      <c r="B1419" t="s">
        <v>871</v>
      </c>
      <c r="C1419">
        <v>4.9937000000000005</v>
      </c>
      <c r="D1419">
        <v>1.2414306025592245</v>
      </c>
    </row>
    <row r="1420" spans="1:6" x14ac:dyDescent="0.15">
      <c r="A1420" t="s">
        <v>2648</v>
      </c>
      <c r="B1420" t="s">
        <v>871</v>
      </c>
      <c r="C1420">
        <v>4.5999999999999996</v>
      </c>
      <c r="D1420">
        <v>1.1399999999999999</v>
      </c>
    </row>
    <row r="1421" spans="1:6" x14ac:dyDescent="0.15">
      <c r="A1421" t="s">
        <v>2649</v>
      </c>
      <c r="B1421" t="s">
        <v>2650</v>
      </c>
      <c r="C1421">
        <v>9.8970000000000002</v>
      </c>
      <c r="D1421">
        <v>0.53820046478730932</v>
      </c>
    </row>
    <row r="1422" spans="1:6" x14ac:dyDescent="0.15">
      <c r="A1422" t="s">
        <v>2651</v>
      </c>
      <c r="B1422" t="s">
        <v>2650</v>
      </c>
      <c r="C1422">
        <v>1.956</v>
      </c>
      <c r="D1422">
        <v>0.21</v>
      </c>
    </row>
    <row r="1423" spans="1:6" x14ac:dyDescent="0.15">
      <c r="A1423" t="s">
        <v>2652</v>
      </c>
      <c r="B1423" t="s">
        <v>324</v>
      </c>
      <c r="C1423">
        <v>0.5</v>
      </c>
      <c r="D1423">
        <v>0.22</v>
      </c>
    </row>
    <row r="1424" spans="1:6" x14ac:dyDescent="0.15">
      <c r="A1424" t="s">
        <v>2653</v>
      </c>
      <c r="B1424" t="s">
        <v>324</v>
      </c>
      <c r="C1424">
        <v>0.73</v>
      </c>
      <c r="D1424">
        <v>1.43</v>
      </c>
    </row>
    <row r="1425" spans="1:4" x14ac:dyDescent="0.15">
      <c r="A1425" t="s">
        <v>2654</v>
      </c>
      <c r="B1425" t="s">
        <v>324</v>
      </c>
      <c r="C1425">
        <v>2.5569999999999999</v>
      </c>
      <c r="D1425">
        <v>1.0714235432147048</v>
      </c>
    </row>
    <row r="1426" spans="1:4" x14ac:dyDescent="0.15">
      <c r="A1426" t="s">
        <v>2655</v>
      </c>
      <c r="B1426" t="s">
        <v>324</v>
      </c>
      <c r="C1426">
        <v>2</v>
      </c>
      <c r="D1426">
        <v>1.9</v>
      </c>
    </row>
    <row r="1427" spans="1:4" x14ac:dyDescent="0.15">
      <c r="A1427" t="s">
        <v>2656</v>
      </c>
      <c r="B1427" t="s">
        <v>324</v>
      </c>
      <c r="C1427">
        <v>1</v>
      </c>
      <c r="D1427">
        <v>0.15</v>
      </c>
    </row>
    <row r="1428" spans="1:4" x14ac:dyDescent="0.15">
      <c r="A1428" t="s">
        <v>2657</v>
      </c>
      <c r="B1428" t="s">
        <v>324</v>
      </c>
      <c r="C1428">
        <v>1.4999999999999999E-2</v>
      </c>
      <c r="D1428">
        <v>1.5</v>
      </c>
    </row>
    <row r="1429" spans="1:4" x14ac:dyDescent="0.15">
      <c r="A1429" t="s">
        <v>2658</v>
      </c>
      <c r="B1429" t="s">
        <v>324</v>
      </c>
      <c r="C1429">
        <v>7.8</v>
      </c>
      <c r="D1429">
        <v>0.12</v>
      </c>
    </row>
    <row r="1430" spans="1:4" x14ac:dyDescent="0.15">
      <c r="A1430" t="s">
        <v>2659</v>
      </c>
      <c r="B1430" t="s">
        <v>324</v>
      </c>
      <c r="C1430">
        <v>2.698</v>
      </c>
      <c r="D1430">
        <v>0.69</v>
      </c>
    </row>
    <row r="1431" spans="1:4" x14ac:dyDescent="0.15">
      <c r="A1431" t="s">
        <v>2660</v>
      </c>
      <c r="B1431" t="s">
        <v>324</v>
      </c>
      <c r="C1431">
        <v>0.03</v>
      </c>
      <c r="D1431">
        <v>1.85</v>
      </c>
    </row>
    <row r="1432" spans="1:4" x14ac:dyDescent="0.15">
      <c r="A1432" t="s">
        <v>2661</v>
      </c>
      <c r="B1432" t="s">
        <v>324</v>
      </c>
      <c r="C1432">
        <v>0.13</v>
      </c>
      <c r="D1432">
        <v>0.4</v>
      </c>
    </row>
    <row r="1433" spans="1:4" x14ac:dyDescent="0.15">
      <c r="A1433" t="s">
        <v>2662</v>
      </c>
      <c r="B1433" t="s">
        <v>324</v>
      </c>
      <c r="C1433">
        <v>0.15</v>
      </c>
      <c r="D1433">
        <v>1.65</v>
      </c>
    </row>
    <row r="1434" spans="1:4" x14ac:dyDescent="0.15">
      <c r="A1434" t="s">
        <v>2663</v>
      </c>
      <c r="B1434" t="s">
        <v>324</v>
      </c>
      <c r="C1434">
        <v>1.1499999999999999</v>
      </c>
      <c r="D1434">
        <v>2.15</v>
      </c>
    </row>
    <row r="1435" spans="1:4" x14ac:dyDescent="0.15">
      <c r="A1435" t="s">
        <v>2664</v>
      </c>
      <c r="B1435" t="s">
        <v>324</v>
      </c>
      <c r="C1435">
        <v>0.15</v>
      </c>
      <c r="D1435">
        <v>1</v>
      </c>
    </row>
    <row r="1436" spans="1:4" x14ac:dyDescent="0.15">
      <c r="A1436" t="s">
        <v>2665</v>
      </c>
      <c r="B1436" t="s">
        <v>324</v>
      </c>
      <c r="C1436">
        <v>8.2899999999999991</v>
      </c>
      <c r="D1436">
        <v>0.5</v>
      </c>
    </row>
    <row r="1437" spans="1:4" x14ac:dyDescent="0.15">
      <c r="A1437" t="s">
        <v>2666</v>
      </c>
      <c r="B1437" t="s">
        <v>324</v>
      </c>
      <c r="C1437">
        <v>0.7</v>
      </c>
      <c r="D1437">
        <v>0.56999999999999995</v>
      </c>
    </row>
    <row r="1438" spans="1:4" x14ac:dyDescent="0.15">
      <c r="A1438" t="s">
        <v>2667</v>
      </c>
      <c r="B1438" t="s">
        <v>324</v>
      </c>
      <c r="C1438">
        <v>0.5</v>
      </c>
      <c r="D1438">
        <v>0.4</v>
      </c>
    </row>
    <row r="1439" spans="1:4" x14ac:dyDescent="0.15">
      <c r="A1439" t="s">
        <v>2668</v>
      </c>
      <c r="B1439" t="s">
        <v>324</v>
      </c>
      <c r="C1439">
        <v>1</v>
      </c>
      <c r="D1439">
        <v>0.31</v>
      </c>
    </row>
    <row r="1440" spans="1:4" x14ac:dyDescent="0.15">
      <c r="A1440" t="s">
        <v>2669</v>
      </c>
      <c r="B1440" t="s">
        <v>324</v>
      </c>
      <c r="C1440">
        <v>6.8000000000000005E-2</v>
      </c>
      <c r="D1440">
        <v>0.5</v>
      </c>
    </row>
    <row r="1441" spans="1:4" x14ac:dyDescent="0.15">
      <c r="A1441" t="s">
        <v>2670</v>
      </c>
      <c r="B1441" t="s">
        <v>324</v>
      </c>
      <c r="C1441">
        <v>66</v>
      </c>
      <c r="D1441">
        <v>1.1599999999999999</v>
      </c>
    </row>
    <row r="1442" spans="1:4" x14ac:dyDescent="0.15">
      <c r="A1442" t="s">
        <v>2671</v>
      </c>
      <c r="B1442" t="s">
        <v>324</v>
      </c>
      <c r="C1442">
        <v>3</v>
      </c>
      <c r="D1442">
        <v>0.5</v>
      </c>
    </row>
    <row r="1443" spans="1:4" x14ac:dyDescent="0.15">
      <c r="A1443" t="s">
        <v>2672</v>
      </c>
      <c r="B1443" t="s">
        <v>324</v>
      </c>
      <c r="C1443">
        <v>4.08</v>
      </c>
      <c r="D1443">
        <v>1</v>
      </c>
    </row>
    <row r="1444" spans="1:4" x14ac:dyDescent="0.15">
      <c r="A1444" t="s">
        <v>2673</v>
      </c>
      <c r="B1444" t="s">
        <v>324</v>
      </c>
      <c r="C1444">
        <v>0.08</v>
      </c>
      <c r="D1444">
        <v>1</v>
      </c>
    </row>
    <row r="1445" spans="1:4" x14ac:dyDescent="0.15">
      <c r="A1445" t="s">
        <v>2674</v>
      </c>
      <c r="B1445" t="s">
        <v>324</v>
      </c>
      <c r="C1445">
        <v>1</v>
      </c>
      <c r="D1445">
        <v>1E-3</v>
      </c>
    </row>
    <row r="1446" spans="1:4" x14ac:dyDescent="0.15">
      <c r="A1446" t="s">
        <v>1316</v>
      </c>
      <c r="B1446" t="s">
        <v>324</v>
      </c>
      <c r="C1446">
        <v>1.1599999999999999</v>
      </c>
      <c r="D1446">
        <v>0.42</v>
      </c>
    </row>
    <row r="1447" spans="1:4" x14ac:dyDescent="0.15">
      <c r="A1447" t="s">
        <v>2675</v>
      </c>
      <c r="B1447" t="s">
        <v>324</v>
      </c>
      <c r="C1447">
        <v>7.7</v>
      </c>
      <c r="D1447">
        <v>0.8</v>
      </c>
    </row>
    <row r="1448" spans="1:4" x14ac:dyDescent="0.15">
      <c r="A1448" t="s">
        <v>2676</v>
      </c>
      <c r="B1448" t="s">
        <v>324</v>
      </c>
      <c r="C1448">
        <v>0.72099999999999997</v>
      </c>
      <c r="D1448">
        <v>1.1499999999999999</v>
      </c>
    </row>
    <row r="1449" spans="1:4" x14ac:dyDescent="0.15">
      <c r="A1449" t="s">
        <v>2677</v>
      </c>
      <c r="B1449" t="s">
        <v>324</v>
      </c>
      <c r="C1449">
        <v>0.71499999999999997</v>
      </c>
      <c r="D1449">
        <v>1.37</v>
      </c>
    </row>
    <row r="1450" spans="1:4" x14ac:dyDescent="0.15">
      <c r="A1450" t="s">
        <v>2678</v>
      </c>
      <c r="B1450" t="s">
        <v>1320</v>
      </c>
      <c r="C1450">
        <v>2.56</v>
      </c>
      <c r="D1450">
        <v>2.2000000000000002</v>
      </c>
    </row>
    <row r="1451" spans="1:4" x14ac:dyDescent="0.15">
      <c r="A1451" t="s">
        <v>2679</v>
      </c>
      <c r="B1451" t="s">
        <v>1320</v>
      </c>
      <c r="C1451">
        <v>0.45565799999999995</v>
      </c>
      <c r="D1451">
        <v>1.6913804212808732</v>
      </c>
    </row>
    <row r="1452" spans="1:4" x14ac:dyDescent="0.15">
      <c r="A1452" t="s">
        <v>2680</v>
      </c>
      <c r="B1452" t="s">
        <v>1320</v>
      </c>
      <c r="C1452">
        <v>14.821</v>
      </c>
      <c r="D1452">
        <v>1.7737298427906347</v>
      </c>
    </row>
    <row r="1453" spans="1:4" x14ac:dyDescent="0.15">
      <c r="A1453" t="s">
        <v>2681</v>
      </c>
      <c r="B1453" t="s">
        <v>1320</v>
      </c>
      <c r="C1453">
        <v>0.35</v>
      </c>
      <c r="D1453">
        <v>1</v>
      </c>
    </row>
    <row r="1454" spans="1:4" x14ac:dyDescent="0.15">
      <c r="A1454" t="s">
        <v>2682</v>
      </c>
      <c r="B1454" t="s">
        <v>1320</v>
      </c>
      <c r="C1454">
        <v>1.534</v>
      </c>
      <c r="D1454">
        <v>2.0209778357235986</v>
      </c>
    </row>
    <row r="1455" spans="1:4" x14ac:dyDescent="0.15">
      <c r="A1455" t="s">
        <v>2683</v>
      </c>
      <c r="B1455" t="s">
        <v>1320</v>
      </c>
      <c r="C1455">
        <v>0.16</v>
      </c>
      <c r="D1455">
        <v>3.8</v>
      </c>
    </row>
    <row r="1456" spans="1:4" x14ac:dyDescent="0.15">
      <c r="A1456" t="s">
        <v>2684</v>
      </c>
      <c r="B1456" t="s">
        <v>1320</v>
      </c>
      <c r="C1456">
        <v>8.2370000000000001</v>
      </c>
      <c r="D1456">
        <v>1.48</v>
      </c>
    </row>
    <row r="1457" spans="1:6" x14ac:dyDescent="0.15">
      <c r="A1457" t="s">
        <v>2685</v>
      </c>
      <c r="B1457" t="s">
        <v>1320</v>
      </c>
      <c r="C1457">
        <v>14.11</v>
      </c>
      <c r="D1457">
        <v>0.80210489014883057</v>
      </c>
    </row>
    <row r="1458" spans="1:6" x14ac:dyDescent="0.15">
      <c r="A1458" t="s">
        <v>2686</v>
      </c>
      <c r="B1458" t="s">
        <v>1500</v>
      </c>
      <c r="C1458">
        <v>350</v>
      </c>
      <c r="D1458">
        <v>0.3</v>
      </c>
    </row>
    <row r="1459" spans="1:6" x14ac:dyDescent="0.15">
      <c r="A1459" t="s">
        <v>2687</v>
      </c>
      <c r="B1459" t="s">
        <v>1500</v>
      </c>
      <c r="C1459">
        <v>5867.9026559999993</v>
      </c>
      <c r="D1459">
        <v>0.41499031108344275</v>
      </c>
    </row>
    <row r="1460" spans="1:6" x14ac:dyDescent="0.15">
      <c r="A1460" t="s">
        <v>2688</v>
      </c>
      <c r="B1460" t="s">
        <v>1500</v>
      </c>
      <c r="C1460">
        <v>395</v>
      </c>
      <c r="D1460">
        <v>0.38</v>
      </c>
    </row>
    <row r="1461" spans="1:6" x14ac:dyDescent="0.15">
      <c r="A1461" t="s">
        <v>2689</v>
      </c>
      <c r="B1461" t="s">
        <v>1500</v>
      </c>
      <c r="C1461">
        <v>214</v>
      </c>
      <c r="D1461">
        <v>0.6</v>
      </c>
    </row>
    <row r="1462" spans="1:6" x14ac:dyDescent="0.15">
      <c r="A1462" t="s">
        <v>2690</v>
      </c>
      <c r="B1462" t="s">
        <v>872</v>
      </c>
      <c r="C1462">
        <v>201.9</v>
      </c>
      <c r="D1462">
        <v>0.49</v>
      </c>
    </row>
    <row r="1463" spans="1:6" x14ac:dyDescent="0.15">
      <c r="A1463" t="s">
        <v>2691</v>
      </c>
      <c r="B1463" t="s">
        <v>872</v>
      </c>
      <c r="C1463">
        <v>4500</v>
      </c>
      <c r="D1463">
        <v>0.45</v>
      </c>
    </row>
    <row r="1464" spans="1:6" x14ac:dyDescent="0.15">
      <c r="A1464" t="s">
        <v>694</v>
      </c>
      <c r="B1464" t="s">
        <v>872</v>
      </c>
      <c r="C1464">
        <v>726</v>
      </c>
      <c r="D1464">
        <v>0.33694214876033057</v>
      </c>
      <c r="E1464">
        <v>437.1</v>
      </c>
      <c r="F1464">
        <v>0.35</v>
      </c>
    </row>
    <row r="1465" spans="1:6" x14ac:dyDescent="0.15">
      <c r="A1465" t="s">
        <v>695</v>
      </c>
      <c r="B1465" t="s">
        <v>872</v>
      </c>
      <c r="C1465">
        <v>1160</v>
      </c>
      <c r="D1465">
        <v>0.36613793103448272</v>
      </c>
      <c r="E1465">
        <v>949.1</v>
      </c>
      <c r="F1465">
        <v>0.39</v>
      </c>
    </row>
    <row r="1466" spans="1:6" x14ac:dyDescent="0.15">
      <c r="A1466" t="s">
        <v>696</v>
      </c>
      <c r="B1466" t="s">
        <v>872</v>
      </c>
      <c r="C1466">
        <v>485</v>
      </c>
      <c r="D1466">
        <v>0.31230927835051547</v>
      </c>
      <c r="E1466">
        <v>220.5</v>
      </c>
      <c r="F1466">
        <v>0.4</v>
      </c>
    </row>
    <row r="1467" spans="1:6" x14ac:dyDescent="0.15">
      <c r="A1467" t="s">
        <v>697</v>
      </c>
      <c r="B1467" t="s">
        <v>872</v>
      </c>
      <c r="C1467">
        <v>1409</v>
      </c>
      <c r="D1467">
        <v>0.35476933995741661</v>
      </c>
      <c r="E1467">
        <v>1009.9</v>
      </c>
      <c r="F1467">
        <v>0.39</v>
      </c>
    </row>
    <row r="1468" spans="1:6" x14ac:dyDescent="0.15">
      <c r="A1468" t="s">
        <v>698</v>
      </c>
      <c r="B1468" t="s">
        <v>872</v>
      </c>
      <c r="C1468">
        <v>965</v>
      </c>
      <c r="D1468">
        <v>0.33366839378238344</v>
      </c>
      <c r="E1468">
        <v>566</v>
      </c>
      <c r="F1468">
        <v>0.36</v>
      </c>
    </row>
    <row r="1469" spans="1:6" x14ac:dyDescent="0.15">
      <c r="A1469" t="s">
        <v>2692</v>
      </c>
      <c r="B1469" t="s">
        <v>872</v>
      </c>
      <c r="C1469">
        <v>41.269999999999996</v>
      </c>
      <c r="D1469">
        <v>0.22742185606978438</v>
      </c>
    </row>
    <row r="1470" spans="1:6" x14ac:dyDescent="0.15">
      <c r="A1470" t="s">
        <v>2693</v>
      </c>
      <c r="B1470" t="s">
        <v>873</v>
      </c>
      <c r="C1470">
        <v>164</v>
      </c>
      <c r="D1470">
        <v>0.32</v>
      </c>
    </row>
    <row r="1471" spans="1:6" x14ac:dyDescent="0.15">
      <c r="A1471" t="s">
        <v>2694</v>
      </c>
      <c r="B1471" t="s">
        <v>873</v>
      </c>
      <c r="C1471">
        <v>1838</v>
      </c>
      <c r="D1471">
        <v>0.3</v>
      </c>
    </row>
    <row r="1472" spans="1:6" x14ac:dyDescent="0.15">
      <c r="A1472" t="s">
        <v>2695</v>
      </c>
      <c r="B1472" t="s">
        <v>873</v>
      </c>
      <c r="C1472">
        <v>2110</v>
      </c>
      <c r="D1472">
        <v>0.45</v>
      </c>
    </row>
    <row r="1473" spans="1:6" x14ac:dyDescent="0.15">
      <c r="A1473" t="s">
        <v>2696</v>
      </c>
      <c r="B1473" t="s">
        <v>873</v>
      </c>
      <c r="C1473">
        <v>450</v>
      </c>
      <c r="D1473">
        <v>0.4</v>
      </c>
    </row>
    <row r="1474" spans="1:6" x14ac:dyDescent="0.15">
      <c r="A1474" t="s">
        <v>2697</v>
      </c>
      <c r="B1474" t="s">
        <v>873</v>
      </c>
      <c r="C1474">
        <v>170</v>
      </c>
      <c r="D1474">
        <v>0.38</v>
      </c>
    </row>
    <row r="1475" spans="1:6" x14ac:dyDescent="0.15">
      <c r="A1475" t="s">
        <v>2698</v>
      </c>
      <c r="B1475" t="s">
        <v>873</v>
      </c>
      <c r="C1475">
        <v>45</v>
      </c>
      <c r="D1475">
        <v>2.5499999999999998</v>
      </c>
    </row>
    <row r="1476" spans="1:6" x14ac:dyDescent="0.15">
      <c r="A1476" t="s">
        <v>2699</v>
      </c>
      <c r="B1476" t="s">
        <v>873</v>
      </c>
      <c r="C1476">
        <v>60</v>
      </c>
      <c r="D1476">
        <v>0.4</v>
      </c>
    </row>
    <row r="1477" spans="1:6" x14ac:dyDescent="0.15">
      <c r="A1477" t="s">
        <v>2700</v>
      </c>
      <c r="B1477" t="s">
        <v>873</v>
      </c>
      <c r="C1477">
        <v>5.5</v>
      </c>
      <c r="D1477">
        <v>1.8269090909090908</v>
      </c>
    </row>
    <row r="1478" spans="1:6" x14ac:dyDescent="0.15">
      <c r="A1478" t="s">
        <v>2701</v>
      </c>
      <c r="B1478" t="s">
        <v>873</v>
      </c>
      <c r="C1478">
        <v>221.5</v>
      </c>
      <c r="D1478">
        <v>0.35</v>
      </c>
    </row>
    <row r="1479" spans="1:6" x14ac:dyDescent="0.15">
      <c r="A1479" t="s">
        <v>699</v>
      </c>
      <c r="B1479" t="s">
        <v>873</v>
      </c>
      <c r="C1479">
        <v>1000</v>
      </c>
      <c r="D1479">
        <v>0.8972</v>
      </c>
      <c r="E1479">
        <v>450</v>
      </c>
      <c r="F1479">
        <v>1.2</v>
      </c>
    </row>
    <row r="1480" spans="1:6" x14ac:dyDescent="0.15">
      <c r="A1480" t="s">
        <v>2702</v>
      </c>
      <c r="B1480" t="s">
        <v>873</v>
      </c>
      <c r="C1480">
        <v>40</v>
      </c>
      <c r="D1480">
        <v>0.22</v>
      </c>
    </row>
    <row r="1481" spans="1:6" x14ac:dyDescent="0.15">
      <c r="A1481" t="s">
        <v>2703</v>
      </c>
      <c r="B1481" t="s">
        <v>873</v>
      </c>
      <c r="C1481">
        <v>20</v>
      </c>
      <c r="D1481">
        <v>0.3</v>
      </c>
    </row>
    <row r="1482" spans="1:6" x14ac:dyDescent="0.15">
      <c r="A1482" t="s">
        <v>2704</v>
      </c>
      <c r="B1482" t="s">
        <v>873</v>
      </c>
      <c r="C1482">
        <v>38.4</v>
      </c>
      <c r="D1482">
        <v>0.60770000000000002</v>
      </c>
    </row>
    <row r="1483" spans="1:6" x14ac:dyDescent="0.15">
      <c r="A1483" t="s">
        <v>2705</v>
      </c>
      <c r="B1483" t="s">
        <v>873</v>
      </c>
      <c r="C1483">
        <v>0.42</v>
      </c>
      <c r="D1483">
        <v>1</v>
      </c>
    </row>
    <row r="1484" spans="1:6" x14ac:dyDescent="0.15">
      <c r="A1484" t="s">
        <v>700</v>
      </c>
      <c r="B1484" t="s">
        <v>873</v>
      </c>
      <c r="C1484">
        <v>898</v>
      </c>
      <c r="D1484">
        <v>0.43</v>
      </c>
      <c r="E1484">
        <v>264</v>
      </c>
      <c r="F1484">
        <v>0.55000000000000004</v>
      </c>
    </row>
    <row r="1485" spans="1:6" x14ac:dyDescent="0.15">
      <c r="A1485" t="s">
        <v>2706</v>
      </c>
      <c r="B1485" t="s">
        <v>873</v>
      </c>
      <c r="C1485">
        <v>200</v>
      </c>
      <c r="D1485">
        <v>0.36</v>
      </c>
    </row>
    <row r="1486" spans="1:6" x14ac:dyDescent="0.15">
      <c r="A1486" t="s">
        <v>2707</v>
      </c>
      <c r="B1486" t="s">
        <v>873</v>
      </c>
      <c r="C1486">
        <v>2.0510000000000002</v>
      </c>
      <c r="D1486">
        <v>0.25690394929302779</v>
      </c>
    </row>
    <row r="1487" spans="1:6" x14ac:dyDescent="0.15">
      <c r="A1487" t="s">
        <v>2708</v>
      </c>
      <c r="B1487" t="s">
        <v>873</v>
      </c>
      <c r="C1487">
        <v>2.5700000000000003</v>
      </c>
      <c r="D1487">
        <v>7.7392996108949408</v>
      </c>
    </row>
    <row r="1488" spans="1:6" x14ac:dyDescent="0.15">
      <c r="A1488" t="s">
        <v>2709</v>
      </c>
      <c r="B1488" t="s">
        <v>873</v>
      </c>
      <c r="C1488">
        <v>0.23</v>
      </c>
      <c r="D1488">
        <v>7.3</v>
      </c>
    </row>
    <row r="1489" spans="1:6" x14ac:dyDescent="0.15">
      <c r="A1489" t="s">
        <v>2710</v>
      </c>
      <c r="B1489" t="s">
        <v>873</v>
      </c>
      <c r="C1489">
        <v>125</v>
      </c>
      <c r="D1489">
        <v>0.52079999999999993</v>
      </c>
    </row>
    <row r="1490" spans="1:6" x14ac:dyDescent="0.15">
      <c r="A1490" t="s">
        <v>2711</v>
      </c>
      <c r="B1490" t="s">
        <v>873</v>
      </c>
      <c r="C1490">
        <v>45</v>
      </c>
      <c r="D1490">
        <v>0.3</v>
      </c>
    </row>
    <row r="1491" spans="1:6" x14ac:dyDescent="0.15">
      <c r="A1491" t="s">
        <v>2712</v>
      </c>
      <c r="B1491" t="s">
        <v>873</v>
      </c>
      <c r="C1491">
        <v>747.6160000000001</v>
      </c>
      <c r="D1491">
        <v>0.32528605594315796</v>
      </c>
    </row>
    <row r="1492" spans="1:6" x14ac:dyDescent="0.15">
      <c r="A1492" t="s">
        <v>2713</v>
      </c>
      <c r="B1492" t="s">
        <v>39</v>
      </c>
      <c r="C1492">
        <v>242.8</v>
      </c>
      <c r="D1492">
        <v>0.32228583196046129</v>
      </c>
    </row>
    <row r="1493" spans="1:6" x14ac:dyDescent="0.15">
      <c r="A1493" t="s">
        <v>701</v>
      </c>
      <c r="B1493" t="s">
        <v>39</v>
      </c>
      <c r="C1493">
        <v>7.4379999999999997</v>
      </c>
      <c r="D1493">
        <v>7.0000000000000007E-2</v>
      </c>
      <c r="E1493">
        <v>3.056</v>
      </c>
      <c r="F1493">
        <v>7.0000000000000007E-2</v>
      </c>
    </row>
    <row r="1494" spans="1:6" x14ac:dyDescent="0.15">
      <c r="A1494" t="s">
        <v>2714</v>
      </c>
      <c r="B1494" t="s">
        <v>39</v>
      </c>
      <c r="C1494">
        <v>519.54100000000005</v>
      </c>
      <c r="D1494">
        <v>0.27</v>
      </c>
    </row>
    <row r="1495" spans="1:6" x14ac:dyDescent="0.15">
      <c r="A1495" t="s">
        <v>702</v>
      </c>
      <c r="B1495" t="s">
        <v>39</v>
      </c>
      <c r="C1495">
        <v>2376</v>
      </c>
      <c r="D1495">
        <v>0.88667929292929293</v>
      </c>
      <c r="E1495">
        <v>614</v>
      </c>
      <c r="F1495">
        <v>0.94879478827361552</v>
      </c>
    </row>
    <row r="1496" spans="1:6" x14ac:dyDescent="0.15">
      <c r="A1496" t="s">
        <v>703</v>
      </c>
      <c r="B1496" t="s">
        <v>39</v>
      </c>
      <c r="C1496">
        <v>851</v>
      </c>
      <c r="D1496">
        <v>0.48094007050528792</v>
      </c>
      <c r="E1496">
        <v>547</v>
      </c>
      <c r="F1496">
        <v>0.52</v>
      </c>
    </row>
    <row r="1497" spans="1:6" x14ac:dyDescent="0.15">
      <c r="A1497" t="s">
        <v>2715</v>
      </c>
      <c r="B1497" t="s">
        <v>39</v>
      </c>
      <c r="C1497">
        <v>426.09999999999997</v>
      </c>
      <c r="D1497">
        <v>0.29949777047641402</v>
      </c>
    </row>
    <row r="1498" spans="1:6" x14ac:dyDescent="0.15">
      <c r="A1498" t="s">
        <v>2716</v>
      </c>
      <c r="B1498" t="s">
        <v>39</v>
      </c>
      <c r="C1498">
        <v>13.296567</v>
      </c>
      <c r="D1498">
        <v>1.0253418134169521</v>
      </c>
    </row>
    <row r="1499" spans="1:6" x14ac:dyDescent="0.15">
      <c r="A1499" t="s">
        <v>704</v>
      </c>
      <c r="B1499" t="s">
        <v>39</v>
      </c>
      <c r="C1499">
        <v>34.321483000000001</v>
      </c>
      <c r="D1499">
        <v>0.26</v>
      </c>
      <c r="E1499">
        <v>10.258869000000001</v>
      </c>
      <c r="F1499">
        <v>0.18</v>
      </c>
    </row>
    <row r="1500" spans="1:6" x14ac:dyDescent="0.15">
      <c r="A1500" t="s">
        <v>1441</v>
      </c>
      <c r="B1500" t="s">
        <v>39</v>
      </c>
      <c r="C1500">
        <v>7</v>
      </c>
      <c r="D1500">
        <v>1.24</v>
      </c>
    </row>
    <row r="1501" spans="1:6" x14ac:dyDescent="0.15">
      <c r="A1501" t="s">
        <v>2717</v>
      </c>
      <c r="B1501" t="s">
        <v>39</v>
      </c>
      <c r="C1501">
        <v>20.94</v>
      </c>
      <c r="D1501">
        <v>0.94482330468003817</v>
      </c>
    </row>
    <row r="1502" spans="1:6" x14ac:dyDescent="0.15">
      <c r="A1502" t="s">
        <v>705</v>
      </c>
      <c r="B1502" t="s">
        <v>39</v>
      </c>
      <c r="C1502">
        <v>1453.7000000000003</v>
      </c>
      <c r="D1502">
        <v>0.35322625025796239</v>
      </c>
      <c r="E1502">
        <v>728.2</v>
      </c>
      <c r="F1502">
        <v>0.4</v>
      </c>
    </row>
    <row r="1503" spans="1:6" x14ac:dyDescent="0.15">
      <c r="A1503" t="s">
        <v>2718</v>
      </c>
      <c r="B1503" t="s">
        <v>39</v>
      </c>
      <c r="C1503">
        <v>220</v>
      </c>
      <c r="D1503">
        <v>1.01</v>
      </c>
    </row>
    <row r="1504" spans="1:6" x14ac:dyDescent="0.15">
      <c r="A1504" t="s">
        <v>706</v>
      </c>
      <c r="B1504" t="s">
        <v>39</v>
      </c>
      <c r="C1504">
        <v>102.045</v>
      </c>
      <c r="D1504">
        <v>0.41</v>
      </c>
      <c r="E1504">
        <v>53.054000000000002</v>
      </c>
      <c r="F1504">
        <v>0.46</v>
      </c>
    </row>
    <row r="1505" spans="1:6" x14ac:dyDescent="0.15">
      <c r="A1505" t="s">
        <v>707</v>
      </c>
      <c r="B1505" t="s">
        <v>39</v>
      </c>
      <c r="C1505">
        <v>163.60499999999999</v>
      </c>
      <c r="D1505">
        <v>9.3173069282723633E-2</v>
      </c>
      <c r="E1505">
        <v>27.922999999999998</v>
      </c>
      <c r="F1505">
        <v>0.06</v>
      </c>
    </row>
    <row r="1506" spans="1:6" x14ac:dyDescent="0.15">
      <c r="A1506" t="s">
        <v>708</v>
      </c>
      <c r="B1506" t="s">
        <v>39</v>
      </c>
      <c r="C1506">
        <v>102.20779400000001</v>
      </c>
      <c r="D1506">
        <v>0.79</v>
      </c>
      <c r="E1506">
        <v>46.119264999999999</v>
      </c>
      <c r="F1506">
        <v>0.76</v>
      </c>
    </row>
    <row r="1507" spans="1:6" x14ac:dyDescent="0.15">
      <c r="A1507" t="s">
        <v>2719</v>
      </c>
      <c r="B1507" t="s">
        <v>39</v>
      </c>
      <c r="C1507">
        <v>70</v>
      </c>
      <c r="D1507">
        <v>0.53</v>
      </c>
    </row>
    <row r="1508" spans="1:6" x14ac:dyDescent="0.15">
      <c r="A1508" t="s">
        <v>709</v>
      </c>
      <c r="B1508" t="s">
        <v>39</v>
      </c>
      <c r="C1508">
        <v>4686</v>
      </c>
      <c r="D1508">
        <v>0.38368331199317118</v>
      </c>
      <c r="E1508">
        <v>3856</v>
      </c>
      <c r="F1508">
        <v>0.37395228215767634</v>
      </c>
    </row>
    <row r="1509" spans="1:6" x14ac:dyDescent="0.15">
      <c r="A1509" t="s">
        <v>2720</v>
      </c>
      <c r="B1509" t="s">
        <v>39</v>
      </c>
      <c r="C1509">
        <v>43.874206000000001</v>
      </c>
      <c r="D1509">
        <v>1.17</v>
      </c>
    </row>
    <row r="1510" spans="1:6" x14ac:dyDescent="0.15">
      <c r="A1510" t="s">
        <v>710</v>
      </c>
      <c r="B1510" t="s">
        <v>39</v>
      </c>
      <c r="C1510">
        <v>28.420999999999999</v>
      </c>
      <c r="D1510">
        <v>0.14603075190879983</v>
      </c>
      <c r="E1510">
        <v>11.281000000000001</v>
      </c>
      <c r="F1510">
        <v>0.14000000000000001</v>
      </c>
    </row>
    <row r="1511" spans="1:6" x14ac:dyDescent="0.15">
      <c r="A1511" t="s">
        <v>2721</v>
      </c>
      <c r="B1511" t="s">
        <v>39</v>
      </c>
      <c r="C1511">
        <v>83.7</v>
      </c>
      <c r="D1511">
        <v>0.09</v>
      </c>
    </row>
    <row r="1512" spans="1:6" x14ac:dyDescent="0.15">
      <c r="A1512" t="s">
        <v>711</v>
      </c>
      <c r="B1512" t="s">
        <v>39</v>
      </c>
      <c r="C1512">
        <v>46.7</v>
      </c>
      <c r="D1512">
        <v>0.95</v>
      </c>
      <c r="E1512">
        <v>19.5</v>
      </c>
      <c r="F1512">
        <v>1.08</v>
      </c>
    </row>
    <row r="1513" spans="1:6" x14ac:dyDescent="0.15">
      <c r="A1513" t="s">
        <v>712</v>
      </c>
      <c r="B1513" t="s">
        <v>39</v>
      </c>
      <c r="C1513">
        <v>56.199999999999996</v>
      </c>
      <c r="D1513">
        <v>0.31195729537366546</v>
      </c>
      <c r="E1513">
        <v>56.199999999999996</v>
      </c>
      <c r="F1513">
        <v>0.31195729537366546</v>
      </c>
    </row>
    <row r="1514" spans="1:6" x14ac:dyDescent="0.15">
      <c r="A1514" t="s">
        <v>713</v>
      </c>
      <c r="B1514" t="s">
        <v>39</v>
      </c>
      <c r="C1514">
        <v>11.778</v>
      </c>
      <c r="D1514">
        <v>1.3815961962981829</v>
      </c>
      <c r="E1514">
        <v>10.394</v>
      </c>
      <c r="F1514">
        <v>1.06</v>
      </c>
    </row>
    <row r="1515" spans="1:6" x14ac:dyDescent="0.15">
      <c r="A1515" t="s">
        <v>714</v>
      </c>
      <c r="B1515" t="s">
        <v>39</v>
      </c>
      <c r="C1515">
        <v>1186</v>
      </c>
      <c r="D1515">
        <v>0.25008431703204048</v>
      </c>
      <c r="E1515">
        <v>614</v>
      </c>
      <c r="F1515">
        <v>0.3</v>
      </c>
    </row>
    <row r="1516" spans="1:6" x14ac:dyDescent="0.15">
      <c r="A1516" t="s">
        <v>715</v>
      </c>
      <c r="B1516" t="s">
        <v>39</v>
      </c>
      <c r="C1516">
        <v>4.0600000000000005</v>
      </c>
      <c r="D1516">
        <v>0.96275862068965512</v>
      </c>
      <c r="E1516">
        <v>1.57</v>
      </c>
      <c r="F1516">
        <v>1.03</v>
      </c>
    </row>
    <row r="1517" spans="1:6" x14ac:dyDescent="0.15">
      <c r="A1517" t="s">
        <v>716</v>
      </c>
      <c r="B1517" t="s">
        <v>39</v>
      </c>
      <c r="C1517">
        <v>5.77</v>
      </c>
      <c r="D1517">
        <v>0.47074523396880424</v>
      </c>
      <c r="E1517">
        <v>0.64</v>
      </c>
      <c r="F1517">
        <v>0.32</v>
      </c>
    </row>
    <row r="1518" spans="1:6" x14ac:dyDescent="0.15">
      <c r="A1518" t="s">
        <v>2722</v>
      </c>
      <c r="B1518" t="s">
        <v>39</v>
      </c>
      <c r="C1518">
        <v>336</v>
      </c>
      <c r="D1518">
        <v>1.0545535714285714</v>
      </c>
    </row>
    <row r="1519" spans="1:6" x14ac:dyDescent="0.15">
      <c r="A1519" t="s">
        <v>2723</v>
      </c>
      <c r="B1519" t="s">
        <v>39</v>
      </c>
      <c r="C1519">
        <v>1224.503684</v>
      </c>
      <c r="D1519">
        <v>0.23912227298778796</v>
      </c>
    </row>
    <row r="1520" spans="1:6" x14ac:dyDescent="0.15">
      <c r="A1520" t="s">
        <v>717</v>
      </c>
      <c r="B1520" t="s">
        <v>39</v>
      </c>
      <c r="C1520">
        <v>2098.877</v>
      </c>
      <c r="D1520">
        <v>0.49959396334325445</v>
      </c>
      <c r="E1520">
        <v>2078.9899999999998</v>
      </c>
      <c r="F1520">
        <v>0.49958051361478412</v>
      </c>
    </row>
    <row r="1521" spans="1:6" x14ac:dyDescent="0.15">
      <c r="A1521" t="s">
        <v>718</v>
      </c>
      <c r="B1521" t="s">
        <v>39</v>
      </c>
      <c r="C1521">
        <v>1581</v>
      </c>
      <c r="D1521">
        <v>0.37403542061986084</v>
      </c>
      <c r="E1521">
        <v>660.98500000000001</v>
      </c>
      <c r="F1521">
        <v>0.5</v>
      </c>
    </row>
    <row r="1522" spans="1:6" x14ac:dyDescent="0.15">
      <c r="A1522" t="s">
        <v>719</v>
      </c>
      <c r="B1522" t="s">
        <v>39</v>
      </c>
      <c r="C1522">
        <v>53.208970999999998</v>
      </c>
      <c r="D1522">
        <v>0.28000000000000003</v>
      </c>
      <c r="E1522">
        <v>23.411331000000001</v>
      </c>
      <c r="F1522">
        <v>0.25</v>
      </c>
    </row>
    <row r="1523" spans="1:6" x14ac:dyDescent="0.15">
      <c r="A1523" t="s">
        <v>2724</v>
      </c>
      <c r="B1523" t="s">
        <v>39</v>
      </c>
      <c r="C1523">
        <v>975</v>
      </c>
      <c r="D1523">
        <v>0.54596923076923087</v>
      </c>
    </row>
    <row r="1524" spans="1:6" x14ac:dyDescent="0.15">
      <c r="A1524" t="s">
        <v>2725</v>
      </c>
      <c r="B1524" t="s">
        <v>39</v>
      </c>
      <c r="C1524">
        <v>106.9</v>
      </c>
      <c r="D1524">
        <v>0.06</v>
      </c>
    </row>
    <row r="1525" spans="1:6" x14ac:dyDescent="0.15">
      <c r="A1525" t="s">
        <v>720</v>
      </c>
      <c r="B1525" t="s">
        <v>39</v>
      </c>
      <c r="C1525">
        <v>20.2</v>
      </c>
      <c r="D1525">
        <v>0.35599009900990103</v>
      </c>
      <c r="E1525">
        <v>9.8000000000000007</v>
      </c>
      <c r="F1525">
        <v>0.36</v>
      </c>
    </row>
    <row r="1526" spans="1:6" x14ac:dyDescent="0.15">
      <c r="A1526" t="s">
        <v>2726</v>
      </c>
      <c r="B1526" t="s">
        <v>39</v>
      </c>
      <c r="C1526">
        <v>21.62</v>
      </c>
      <c r="D1526">
        <v>0.31271507863089731</v>
      </c>
    </row>
    <row r="1527" spans="1:6" x14ac:dyDescent="0.15">
      <c r="A1527" t="s">
        <v>2727</v>
      </c>
      <c r="B1527" t="s">
        <v>39</v>
      </c>
      <c r="C1527">
        <v>12.18727</v>
      </c>
      <c r="D1527">
        <v>1.32</v>
      </c>
    </row>
    <row r="1528" spans="1:6" x14ac:dyDescent="0.15">
      <c r="A1528" t="s">
        <v>721</v>
      </c>
      <c r="B1528" t="s">
        <v>39</v>
      </c>
      <c r="C1528">
        <v>0.28877900000000001</v>
      </c>
      <c r="D1528">
        <v>0.54808365566748274</v>
      </c>
      <c r="E1528">
        <v>0.28877900000000001</v>
      </c>
      <c r="F1528">
        <v>0.54808365566748274</v>
      </c>
    </row>
    <row r="1529" spans="1:6" x14ac:dyDescent="0.15">
      <c r="A1529" t="s">
        <v>2728</v>
      </c>
      <c r="B1529" t="s">
        <v>39</v>
      </c>
      <c r="C1529">
        <v>279.39999999999998</v>
      </c>
      <c r="D1529">
        <v>0.32729420186113101</v>
      </c>
    </row>
    <row r="1530" spans="1:6" x14ac:dyDescent="0.15">
      <c r="A1530" t="s">
        <v>2729</v>
      </c>
      <c r="B1530" t="s">
        <v>39</v>
      </c>
      <c r="C1530">
        <v>4320</v>
      </c>
      <c r="D1530">
        <v>0.51053240740740746</v>
      </c>
    </row>
    <row r="1531" spans="1:6" x14ac:dyDescent="0.15">
      <c r="A1531" t="s">
        <v>2730</v>
      </c>
      <c r="B1531" t="s">
        <v>39</v>
      </c>
      <c r="C1531">
        <v>18.600000000000001</v>
      </c>
      <c r="D1531">
        <v>0.53</v>
      </c>
    </row>
    <row r="1532" spans="1:6" x14ac:dyDescent="0.15">
      <c r="A1532" t="s">
        <v>722</v>
      </c>
      <c r="B1532" t="s">
        <v>39</v>
      </c>
      <c r="C1532">
        <v>2005.42</v>
      </c>
      <c r="D1532">
        <v>0.6530382662983315</v>
      </c>
      <c r="E1532">
        <v>1079</v>
      </c>
      <c r="F1532">
        <v>0.68526413345690451</v>
      </c>
    </row>
    <row r="1533" spans="1:6" x14ac:dyDescent="0.15">
      <c r="A1533" t="s">
        <v>2731</v>
      </c>
      <c r="B1533" t="s">
        <v>39</v>
      </c>
      <c r="C1533">
        <v>352</v>
      </c>
      <c r="D1533">
        <v>0.76068181818181813</v>
      </c>
    </row>
    <row r="1534" spans="1:6" x14ac:dyDescent="0.15">
      <c r="A1534" t="s">
        <v>2732</v>
      </c>
      <c r="B1534" t="s">
        <v>39</v>
      </c>
      <c r="C1534">
        <v>726</v>
      </c>
      <c r="D1534">
        <v>0.53191046831955924</v>
      </c>
    </row>
    <row r="1535" spans="1:6" x14ac:dyDescent="0.15">
      <c r="A1535" t="s">
        <v>2733</v>
      </c>
      <c r="B1535" t="s">
        <v>39</v>
      </c>
      <c r="C1535">
        <v>63.191000000000003</v>
      </c>
      <c r="D1535">
        <v>0.36</v>
      </c>
    </row>
    <row r="1536" spans="1:6" x14ac:dyDescent="0.15">
      <c r="A1536" t="s">
        <v>723</v>
      </c>
      <c r="B1536" t="s">
        <v>39</v>
      </c>
      <c r="C1536">
        <v>23.38</v>
      </c>
      <c r="D1536">
        <v>0.3381009409751925</v>
      </c>
      <c r="E1536">
        <v>6.68</v>
      </c>
      <c r="F1536">
        <v>0.20269461077844314</v>
      </c>
    </row>
    <row r="1537" spans="1:6" x14ac:dyDescent="0.15">
      <c r="A1537" t="s">
        <v>2734</v>
      </c>
      <c r="B1537" t="s">
        <v>39</v>
      </c>
      <c r="C1537">
        <v>0.4</v>
      </c>
      <c r="D1537">
        <v>4.51</v>
      </c>
    </row>
    <row r="1538" spans="1:6" x14ac:dyDescent="0.15">
      <c r="A1538" t="s">
        <v>2735</v>
      </c>
      <c r="B1538" t="s">
        <v>39</v>
      </c>
      <c r="C1538">
        <v>255.89</v>
      </c>
      <c r="D1538">
        <v>0.50591855875571534</v>
      </c>
    </row>
    <row r="1539" spans="1:6" x14ac:dyDescent="0.15">
      <c r="A1539" t="s">
        <v>724</v>
      </c>
      <c r="B1539" t="s">
        <v>39</v>
      </c>
      <c r="C1539">
        <v>130.1095</v>
      </c>
      <c r="D1539">
        <v>1.496816934966317</v>
      </c>
      <c r="E1539">
        <v>21.749700000000001</v>
      </c>
      <c r="F1539">
        <v>2.25</v>
      </c>
    </row>
    <row r="1540" spans="1:6" x14ac:dyDescent="0.15">
      <c r="A1540" t="s">
        <v>2736</v>
      </c>
      <c r="B1540" t="s">
        <v>39</v>
      </c>
      <c r="C1540">
        <v>631</v>
      </c>
      <c r="D1540">
        <v>0.69</v>
      </c>
    </row>
    <row r="1541" spans="1:6" x14ac:dyDescent="0.15">
      <c r="A1541" t="s">
        <v>2737</v>
      </c>
      <c r="B1541" t="s">
        <v>39</v>
      </c>
      <c r="C1541">
        <v>388.3</v>
      </c>
      <c r="D1541">
        <v>0.76895699201648193</v>
      </c>
    </row>
    <row r="1542" spans="1:6" x14ac:dyDescent="0.15">
      <c r="A1542" t="s">
        <v>725</v>
      </c>
      <c r="B1542" t="s">
        <v>39</v>
      </c>
      <c r="C1542">
        <v>10.725893824485372</v>
      </c>
      <c r="D1542">
        <v>0.47424242424242435</v>
      </c>
      <c r="E1542">
        <v>4.5503791982665218</v>
      </c>
      <c r="F1542">
        <v>0.66</v>
      </c>
    </row>
    <row r="1543" spans="1:6" x14ac:dyDescent="0.15">
      <c r="A1543" t="s">
        <v>2738</v>
      </c>
      <c r="B1543" t="s">
        <v>39</v>
      </c>
      <c r="C1543">
        <v>3.01</v>
      </c>
      <c r="D1543">
        <v>1.53</v>
      </c>
    </row>
    <row r="1544" spans="1:6" x14ac:dyDescent="0.15">
      <c r="A1544" t="s">
        <v>2739</v>
      </c>
      <c r="B1544" t="s">
        <v>39</v>
      </c>
      <c r="C1544">
        <v>49.8</v>
      </c>
      <c r="D1544">
        <v>0.37301204819277112</v>
      </c>
    </row>
    <row r="1545" spans="1:6" x14ac:dyDescent="0.15">
      <c r="A1545" t="s">
        <v>2740</v>
      </c>
      <c r="B1545" t="s">
        <v>39</v>
      </c>
      <c r="C1545">
        <v>0.89100000000000001</v>
      </c>
      <c r="D1545">
        <v>1.1497530864197532</v>
      </c>
    </row>
    <row r="1546" spans="1:6" x14ac:dyDescent="0.15">
      <c r="A1546" t="s">
        <v>2741</v>
      </c>
      <c r="B1546" t="s">
        <v>39</v>
      </c>
      <c r="C1546">
        <v>141.6</v>
      </c>
      <c r="D1546">
        <v>0.45</v>
      </c>
    </row>
    <row r="1547" spans="1:6" x14ac:dyDescent="0.15">
      <c r="A1547" t="s">
        <v>2742</v>
      </c>
      <c r="B1547" t="s">
        <v>39</v>
      </c>
      <c r="C1547">
        <v>113.935</v>
      </c>
      <c r="D1547">
        <v>0.28621159433010052</v>
      </c>
    </row>
    <row r="1548" spans="1:6" x14ac:dyDescent="0.15">
      <c r="A1548" t="s">
        <v>2743</v>
      </c>
      <c r="B1548" t="s">
        <v>39</v>
      </c>
      <c r="C1548">
        <v>349.1</v>
      </c>
      <c r="D1548">
        <v>0.396551131480951</v>
      </c>
    </row>
    <row r="1549" spans="1:6" x14ac:dyDescent="0.15">
      <c r="A1549" t="s">
        <v>2744</v>
      </c>
      <c r="B1549" t="s">
        <v>39</v>
      </c>
      <c r="C1549">
        <v>300</v>
      </c>
      <c r="D1549">
        <v>0.68</v>
      </c>
    </row>
    <row r="1550" spans="1:6" x14ac:dyDescent="0.15">
      <c r="A1550" t="s">
        <v>726</v>
      </c>
      <c r="B1550" t="s">
        <v>39</v>
      </c>
      <c r="C1550">
        <v>2855.3</v>
      </c>
      <c r="D1550">
        <v>0.4602157391517529</v>
      </c>
      <c r="E1550">
        <v>1332</v>
      </c>
      <c r="F1550">
        <v>0.57999999999999996</v>
      </c>
    </row>
    <row r="1551" spans="1:6" x14ac:dyDescent="0.15">
      <c r="A1551" t="s">
        <v>727</v>
      </c>
      <c r="B1551" t="s">
        <v>39</v>
      </c>
      <c r="C1551">
        <v>17.252428999999999</v>
      </c>
      <c r="D1551">
        <v>0.29377107072864928</v>
      </c>
      <c r="E1551">
        <v>5.41</v>
      </c>
      <c r="F1551">
        <v>0.24</v>
      </c>
    </row>
    <row r="1552" spans="1:6" x14ac:dyDescent="0.15">
      <c r="A1552" t="s">
        <v>728</v>
      </c>
      <c r="B1552" t="s">
        <v>39</v>
      </c>
      <c r="C1552">
        <v>1257.4000000000001</v>
      </c>
      <c r="D1552">
        <v>0.56999999999999995</v>
      </c>
      <c r="E1552">
        <v>498</v>
      </c>
      <c r="F1552">
        <v>0.63</v>
      </c>
    </row>
    <row r="1553" spans="1:6" x14ac:dyDescent="0.15">
      <c r="A1553" t="s">
        <v>2745</v>
      </c>
      <c r="B1553" t="s">
        <v>39</v>
      </c>
      <c r="C1553">
        <v>2.90882</v>
      </c>
      <c r="D1553">
        <v>1</v>
      </c>
    </row>
    <row r="1554" spans="1:6" x14ac:dyDescent="0.15">
      <c r="A1554" t="s">
        <v>2746</v>
      </c>
      <c r="B1554" t="s">
        <v>39</v>
      </c>
      <c r="C1554">
        <v>64.355000000000004</v>
      </c>
      <c r="D1554">
        <v>0.49</v>
      </c>
    </row>
    <row r="1555" spans="1:6" x14ac:dyDescent="0.15">
      <c r="A1555" t="s">
        <v>2747</v>
      </c>
      <c r="B1555" t="s">
        <v>39</v>
      </c>
      <c r="C1555">
        <v>12.247</v>
      </c>
      <c r="D1555">
        <v>0.06</v>
      </c>
    </row>
    <row r="1556" spans="1:6" x14ac:dyDescent="0.15">
      <c r="A1556" t="s">
        <v>2748</v>
      </c>
      <c r="B1556" t="s">
        <v>39</v>
      </c>
      <c r="C1556">
        <v>0.91</v>
      </c>
      <c r="D1556">
        <v>0.48</v>
      </c>
    </row>
    <row r="1557" spans="1:6" x14ac:dyDescent="0.15">
      <c r="A1557" t="s">
        <v>729</v>
      </c>
      <c r="B1557" t="s">
        <v>39</v>
      </c>
      <c r="C1557">
        <v>123.432</v>
      </c>
      <c r="D1557">
        <v>0.02</v>
      </c>
      <c r="E1557">
        <v>37.076999999999998</v>
      </c>
      <c r="F1557">
        <v>2.0000000000000004E-2</v>
      </c>
    </row>
    <row r="1558" spans="1:6" x14ac:dyDescent="0.15">
      <c r="A1558" t="s">
        <v>2749</v>
      </c>
      <c r="B1558" t="s">
        <v>39</v>
      </c>
      <c r="C1558">
        <v>31.055</v>
      </c>
      <c r="D1558">
        <v>8.1746256641442583E-2</v>
      </c>
    </row>
    <row r="1559" spans="1:6" x14ac:dyDescent="0.15">
      <c r="A1559" t="s">
        <v>730</v>
      </c>
      <c r="B1559" t="s">
        <v>39</v>
      </c>
      <c r="C1559">
        <v>92.300299999999993</v>
      </c>
      <c r="D1559">
        <v>0.46</v>
      </c>
      <c r="E1559">
        <v>56.2</v>
      </c>
      <c r="F1559">
        <v>0.31</v>
      </c>
    </row>
    <row r="1560" spans="1:6" x14ac:dyDescent="0.15">
      <c r="A1560" t="s">
        <v>2750</v>
      </c>
      <c r="B1560" t="s">
        <v>39</v>
      </c>
      <c r="C1560">
        <v>149.72739000000001</v>
      </c>
      <c r="D1560">
        <v>0.72</v>
      </c>
    </row>
    <row r="1561" spans="1:6" x14ac:dyDescent="0.15">
      <c r="A1561" t="s">
        <v>731</v>
      </c>
      <c r="B1561" t="s">
        <v>39</v>
      </c>
      <c r="C1561">
        <v>746.06399999999996</v>
      </c>
      <c r="D1561">
        <v>0.35199999999999998</v>
      </c>
      <c r="E1561">
        <v>746.06399999999996</v>
      </c>
      <c r="F1561">
        <v>0.35199999999999998</v>
      </c>
    </row>
    <row r="1562" spans="1:6" x14ac:dyDescent="0.15">
      <c r="A1562" t="s">
        <v>732</v>
      </c>
      <c r="B1562" t="s">
        <v>39</v>
      </c>
      <c r="C1562">
        <v>5373.4250000000002</v>
      </c>
      <c r="D1562">
        <v>0.32721089919371721</v>
      </c>
      <c r="E1562">
        <v>5373.4250000000002</v>
      </c>
      <c r="F1562">
        <v>0.32721089919371721</v>
      </c>
    </row>
    <row r="1563" spans="1:6" x14ac:dyDescent="0.15">
      <c r="A1563" t="s">
        <v>733</v>
      </c>
      <c r="B1563" t="s">
        <v>39</v>
      </c>
      <c r="C1563">
        <v>2168</v>
      </c>
      <c r="D1563">
        <v>0.44676014760147603</v>
      </c>
      <c r="E1563">
        <v>1474</v>
      </c>
      <c r="F1563">
        <v>0.47051289009497971</v>
      </c>
    </row>
    <row r="1564" spans="1:6" x14ac:dyDescent="0.15">
      <c r="A1564" t="s">
        <v>2751</v>
      </c>
      <c r="B1564" t="s">
        <v>39</v>
      </c>
      <c r="C1564">
        <v>1176</v>
      </c>
      <c r="D1564">
        <v>0.42201530612244897</v>
      </c>
    </row>
    <row r="1565" spans="1:6" x14ac:dyDescent="0.15">
      <c r="A1565" t="s">
        <v>2752</v>
      </c>
      <c r="B1565" t="s">
        <v>39</v>
      </c>
      <c r="C1565">
        <v>0.74199999999999999</v>
      </c>
      <c r="D1565">
        <v>0.15</v>
      </c>
    </row>
    <row r="1566" spans="1:6" x14ac:dyDescent="0.15">
      <c r="A1566" t="s">
        <v>2753</v>
      </c>
      <c r="B1566" t="s">
        <v>39</v>
      </c>
      <c r="C1566">
        <v>1018.8899707887051</v>
      </c>
      <c r="D1566">
        <v>0.24254013761467888</v>
      </c>
    </row>
    <row r="1567" spans="1:6" x14ac:dyDescent="0.15">
      <c r="A1567" t="s">
        <v>734</v>
      </c>
      <c r="B1567" t="s">
        <v>39</v>
      </c>
      <c r="C1567">
        <v>93.36</v>
      </c>
      <c r="D1567">
        <v>0.23145297772065127</v>
      </c>
      <c r="E1567">
        <v>34.631</v>
      </c>
      <c r="F1567">
        <v>0.2</v>
      </c>
    </row>
    <row r="1568" spans="1:6" x14ac:dyDescent="0.15">
      <c r="A1568" t="s">
        <v>735</v>
      </c>
      <c r="B1568" t="s">
        <v>39</v>
      </c>
      <c r="C1568">
        <v>13.564</v>
      </c>
      <c r="D1568">
        <v>1.3157107048068415</v>
      </c>
      <c r="E1568">
        <v>5.3769999999999998</v>
      </c>
      <c r="F1568">
        <v>0.8</v>
      </c>
    </row>
    <row r="1569" spans="1:6" x14ac:dyDescent="0.15">
      <c r="A1569" t="s">
        <v>736</v>
      </c>
      <c r="B1569" t="s">
        <v>39</v>
      </c>
      <c r="C1569">
        <v>531.90000000000009</v>
      </c>
      <c r="D1569">
        <v>0.35972551231434474</v>
      </c>
      <c r="E1569">
        <v>401</v>
      </c>
      <c r="F1569">
        <v>0.4</v>
      </c>
    </row>
    <row r="1570" spans="1:6" x14ac:dyDescent="0.15">
      <c r="A1570" t="s">
        <v>2754</v>
      </c>
      <c r="B1570" t="s">
        <v>75</v>
      </c>
      <c r="C1570">
        <v>110</v>
      </c>
      <c r="D1570">
        <v>0.3</v>
      </c>
    </row>
    <row r="1571" spans="1:6" x14ac:dyDescent="0.15">
      <c r="A1571" t="s">
        <v>2755</v>
      </c>
      <c r="B1571" t="s">
        <v>75</v>
      </c>
      <c r="C1571">
        <v>40</v>
      </c>
      <c r="D1571">
        <v>0.3</v>
      </c>
    </row>
    <row r="1572" spans="1:6" x14ac:dyDescent="0.15">
      <c r="A1572" t="s">
        <v>2756</v>
      </c>
      <c r="B1572" t="s">
        <v>75</v>
      </c>
      <c r="C1572">
        <v>5</v>
      </c>
      <c r="D1572">
        <v>0.8</v>
      </c>
    </row>
    <row r="1573" spans="1:6" x14ac:dyDescent="0.15">
      <c r="A1573" t="s">
        <v>2757</v>
      </c>
      <c r="B1573" t="s">
        <v>75</v>
      </c>
      <c r="C1573">
        <v>70</v>
      </c>
      <c r="D1573">
        <v>0.6</v>
      </c>
    </row>
    <row r="1574" spans="1:6" x14ac:dyDescent="0.15">
      <c r="A1574" t="s">
        <v>2758</v>
      </c>
      <c r="B1574" t="s">
        <v>75</v>
      </c>
      <c r="C1574">
        <v>214.0992</v>
      </c>
      <c r="D1574">
        <v>0.44</v>
      </c>
    </row>
    <row r="1575" spans="1:6" x14ac:dyDescent="0.15">
      <c r="A1575" t="s">
        <v>2759</v>
      </c>
      <c r="B1575" t="s">
        <v>75</v>
      </c>
      <c r="C1575">
        <v>86.9</v>
      </c>
      <c r="D1575">
        <v>0.59899999999999998</v>
      </c>
    </row>
    <row r="1576" spans="1:6" x14ac:dyDescent="0.15">
      <c r="A1576" t="s">
        <v>2760</v>
      </c>
      <c r="B1576" t="s">
        <v>75</v>
      </c>
      <c r="C1576">
        <v>62</v>
      </c>
      <c r="D1576">
        <v>0.37758064516129031</v>
      </c>
    </row>
    <row r="1577" spans="1:6" x14ac:dyDescent="0.15">
      <c r="A1577" t="s">
        <v>2761</v>
      </c>
      <c r="B1577" t="s">
        <v>75</v>
      </c>
      <c r="C1577">
        <v>225</v>
      </c>
      <c r="D1577">
        <v>0.28299999999999997</v>
      </c>
    </row>
    <row r="1578" spans="1:6" x14ac:dyDescent="0.15">
      <c r="A1578" t="s">
        <v>2762</v>
      </c>
      <c r="B1578" t="s">
        <v>75</v>
      </c>
      <c r="C1578">
        <v>82</v>
      </c>
      <c r="D1578">
        <v>0.52</v>
      </c>
    </row>
    <row r="1579" spans="1:6" x14ac:dyDescent="0.15">
      <c r="A1579" t="s">
        <v>737</v>
      </c>
      <c r="B1579" t="s">
        <v>75</v>
      </c>
      <c r="C1579">
        <v>21.7</v>
      </c>
      <c r="D1579">
        <v>0.2</v>
      </c>
      <c r="E1579">
        <v>69.7</v>
      </c>
      <c r="F1579">
        <v>0.2</v>
      </c>
    </row>
    <row r="1580" spans="1:6" x14ac:dyDescent="0.15">
      <c r="A1580" t="s">
        <v>2763</v>
      </c>
      <c r="B1580" t="s">
        <v>75</v>
      </c>
      <c r="C1580">
        <v>32.674999999999997</v>
      </c>
      <c r="D1580">
        <v>0.42</v>
      </c>
    </row>
    <row r="1581" spans="1:6" x14ac:dyDescent="0.15">
      <c r="A1581" t="s">
        <v>738</v>
      </c>
      <c r="B1581" t="s">
        <v>75</v>
      </c>
      <c r="C1581">
        <v>66.3</v>
      </c>
      <c r="D1581">
        <v>0.38292609351432877</v>
      </c>
      <c r="E1581">
        <v>44.1</v>
      </c>
      <c r="F1581">
        <v>0.40442176870748298</v>
      </c>
    </row>
    <row r="1582" spans="1:6" x14ac:dyDescent="0.15">
      <c r="A1582" t="s">
        <v>2764</v>
      </c>
      <c r="B1582" t="s">
        <v>75</v>
      </c>
      <c r="C1582">
        <v>160</v>
      </c>
      <c r="D1582">
        <v>0.43249999999999994</v>
      </c>
    </row>
    <row r="1583" spans="1:6" x14ac:dyDescent="0.15">
      <c r="A1583" t="s">
        <v>2765</v>
      </c>
      <c r="B1583" t="s">
        <v>75</v>
      </c>
      <c r="C1583">
        <v>85.86</v>
      </c>
      <c r="D1583">
        <v>0.35499999999999998</v>
      </c>
    </row>
    <row r="1584" spans="1:6" x14ac:dyDescent="0.15">
      <c r="A1584" t="s">
        <v>2766</v>
      </c>
      <c r="B1584" t="s">
        <v>75</v>
      </c>
      <c r="C1584">
        <v>100</v>
      </c>
      <c r="D1584">
        <v>7.0000000000000007E-2</v>
      </c>
    </row>
    <row r="1585" spans="1:6" x14ac:dyDescent="0.15">
      <c r="A1585" t="s">
        <v>2767</v>
      </c>
      <c r="B1585" t="s">
        <v>75</v>
      </c>
      <c r="C1585">
        <v>891.7</v>
      </c>
      <c r="D1585">
        <v>0.5</v>
      </c>
    </row>
    <row r="1586" spans="1:6" x14ac:dyDescent="0.15">
      <c r="A1586" t="s">
        <v>2768</v>
      </c>
      <c r="B1586" t="s">
        <v>75</v>
      </c>
      <c r="C1586">
        <v>319.3</v>
      </c>
      <c r="D1586">
        <v>0.35</v>
      </c>
    </row>
    <row r="1587" spans="1:6" x14ac:dyDescent="0.15">
      <c r="A1587" t="s">
        <v>2769</v>
      </c>
      <c r="B1587" t="s">
        <v>75</v>
      </c>
      <c r="C1587">
        <v>50</v>
      </c>
      <c r="D1587">
        <v>0.5</v>
      </c>
    </row>
    <row r="1588" spans="1:6" x14ac:dyDescent="0.15">
      <c r="A1588" t="s">
        <v>2770</v>
      </c>
      <c r="B1588" t="s">
        <v>75</v>
      </c>
      <c r="C1588">
        <v>50</v>
      </c>
      <c r="D1588">
        <v>0.4</v>
      </c>
    </row>
    <row r="1589" spans="1:6" x14ac:dyDescent="0.15">
      <c r="A1589" t="s">
        <v>739</v>
      </c>
      <c r="B1589" t="s">
        <v>75</v>
      </c>
      <c r="C1589">
        <v>1151.068</v>
      </c>
      <c r="D1589">
        <v>0.24747044570781221</v>
      </c>
      <c r="E1589">
        <v>617.91600000000005</v>
      </c>
      <c r="F1589">
        <v>0.3</v>
      </c>
    </row>
    <row r="1590" spans="1:6" x14ac:dyDescent="0.15">
      <c r="A1590" t="s">
        <v>2771</v>
      </c>
      <c r="B1590" t="s">
        <v>75</v>
      </c>
      <c r="C1590">
        <v>78</v>
      </c>
      <c r="D1590">
        <v>0.5</v>
      </c>
    </row>
    <row r="1591" spans="1:6" x14ac:dyDescent="0.15">
      <c r="A1591" t="s">
        <v>2772</v>
      </c>
      <c r="B1591" t="s">
        <v>75</v>
      </c>
      <c r="C1591">
        <v>26</v>
      </c>
      <c r="D1591">
        <v>0.36</v>
      </c>
    </row>
    <row r="1592" spans="1:6" x14ac:dyDescent="0.15">
      <c r="A1592" t="s">
        <v>2773</v>
      </c>
      <c r="B1592" t="s">
        <v>75</v>
      </c>
      <c r="C1592">
        <v>20</v>
      </c>
      <c r="D1592">
        <v>0.5</v>
      </c>
    </row>
    <row r="1593" spans="1:6" x14ac:dyDescent="0.15">
      <c r="A1593" t="s">
        <v>740</v>
      </c>
      <c r="B1593" t="s">
        <v>75</v>
      </c>
      <c r="C1593">
        <v>390</v>
      </c>
      <c r="D1593">
        <v>0.38</v>
      </c>
      <c r="E1593">
        <v>189</v>
      </c>
      <c r="F1593">
        <v>0.46</v>
      </c>
    </row>
    <row r="1594" spans="1:6" x14ac:dyDescent="0.15">
      <c r="A1594" t="s">
        <v>2774</v>
      </c>
      <c r="B1594" t="s">
        <v>75</v>
      </c>
      <c r="C1594">
        <v>81.5</v>
      </c>
      <c r="D1594">
        <v>0.42</v>
      </c>
    </row>
    <row r="1595" spans="1:6" x14ac:dyDescent="0.15">
      <c r="A1595" t="s">
        <v>2775</v>
      </c>
      <c r="B1595" t="s">
        <v>75</v>
      </c>
      <c r="C1595">
        <v>78</v>
      </c>
      <c r="D1595">
        <v>0.4</v>
      </c>
    </row>
    <row r="1596" spans="1:6" x14ac:dyDescent="0.15">
      <c r="A1596" t="s">
        <v>2776</v>
      </c>
      <c r="B1596" t="s">
        <v>75</v>
      </c>
      <c r="C1596">
        <v>178.3</v>
      </c>
      <c r="D1596">
        <v>0.44</v>
      </c>
    </row>
    <row r="1597" spans="1:6" x14ac:dyDescent="0.15">
      <c r="A1597" t="s">
        <v>2777</v>
      </c>
      <c r="B1597" t="s">
        <v>75</v>
      </c>
      <c r="C1597">
        <v>55</v>
      </c>
      <c r="D1597">
        <v>0.42699999999999999</v>
      </c>
    </row>
    <row r="1598" spans="1:6" x14ac:dyDescent="0.15">
      <c r="A1598" t="s">
        <v>2778</v>
      </c>
      <c r="B1598" t="s">
        <v>75</v>
      </c>
      <c r="C1598">
        <v>65</v>
      </c>
      <c r="D1598">
        <v>0.35</v>
      </c>
    </row>
    <row r="1599" spans="1:6" x14ac:dyDescent="0.15">
      <c r="A1599" t="s">
        <v>741</v>
      </c>
      <c r="B1599" t="s">
        <v>75</v>
      </c>
      <c r="C1599">
        <v>258.5</v>
      </c>
      <c r="D1599">
        <v>0.2</v>
      </c>
      <c r="E1599">
        <v>69.7</v>
      </c>
      <c r="F1599">
        <v>0.2</v>
      </c>
    </row>
    <row r="1600" spans="1:6" x14ac:dyDescent="0.15">
      <c r="A1600" t="s">
        <v>2779</v>
      </c>
      <c r="B1600" t="s">
        <v>75</v>
      </c>
      <c r="C1600">
        <v>100</v>
      </c>
      <c r="D1600">
        <v>0.4</v>
      </c>
    </row>
    <row r="1601" spans="1:6" x14ac:dyDescent="0.15">
      <c r="A1601" t="s">
        <v>2780</v>
      </c>
      <c r="B1601" t="s">
        <v>75</v>
      </c>
      <c r="C1601">
        <v>20</v>
      </c>
      <c r="D1601">
        <v>0.41</v>
      </c>
    </row>
    <row r="1602" spans="1:6" x14ac:dyDescent="0.15">
      <c r="A1602" t="s">
        <v>2781</v>
      </c>
      <c r="B1602" t="s">
        <v>75</v>
      </c>
      <c r="C1602">
        <v>0.15</v>
      </c>
      <c r="D1602">
        <v>2</v>
      </c>
    </row>
    <row r="1603" spans="1:6" x14ac:dyDescent="0.15">
      <c r="A1603" t="s">
        <v>2782</v>
      </c>
      <c r="B1603" t="s">
        <v>75</v>
      </c>
      <c r="C1603">
        <v>5.1360000000000001</v>
      </c>
      <c r="D1603">
        <v>1.3499065420560747</v>
      </c>
    </row>
    <row r="1604" spans="1:6" x14ac:dyDescent="0.15">
      <c r="A1604" t="s">
        <v>2783</v>
      </c>
      <c r="B1604" t="s">
        <v>75</v>
      </c>
      <c r="C1604">
        <v>314</v>
      </c>
      <c r="D1604">
        <v>0.27</v>
      </c>
    </row>
    <row r="1605" spans="1:6" x14ac:dyDescent="0.15">
      <c r="A1605" t="s">
        <v>2784</v>
      </c>
      <c r="B1605" t="s">
        <v>75</v>
      </c>
      <c r="C1605">
        <v>368</v>
      </c>
      <c r="D1605">
        <v>0.38</v>
      </c>
    </row>
    <row r="1606" spans="1:6" x14ac:dyDescent="0.15">
      <c r="A1606" t="s">
        <v>2785</v>
      </c>
      <c r="B1606" t="s">
        <v>75</v>
      </c>
      <c r="C1606">
        <v>1030</v>
      </c>
      <c r="D1606">
        <v>0.37</v>
      </c>
    </row>
    <row r="1607" spans="1:6" x14ac:dyDescent="0.15">
      <c r="A1607" t="s">
        <v>2786</v>
      </c>
      <c r="B1607" t="s">
        <v>75</v>
      </c>
      <c r="C1607">
        <v>807</v>
      </c>
      <c r="D1607">
        <v>0.47</v>
      </c>
    </row>
    <row r="1608" spans="1:6" x14ac:dyDescent="0.15">
      <c r="A1608" t="s">
        <v>2787</v>
      </c>
      <c r="B1608" t="s">
        <v>75</v>
      </c>
      <c r="C1608">
        <v>70.590360000000004</v>
      </c>
      <c r="D1608">
        <v>0.29399999999999998</v>
      </c>
    </row>
    <row r="1609" spans="1:6" x14ac:dyDescent="0.15">
      <c r="A1609" t="s">
        <v>2788</v>
      </c>
      <c r="B1609" t="s">
        <v>75</v>
      </c>
      <c r="C1609">
        <v>32.5</v>
      </c>
      <c r="D1609">
        <v>0.61</v>
      </c>
    </row>
    <row r="1610" spans="1:6" x14ac:dyDescent="0.15">
      <c r="A1610" t="s">
        <v>2789</v>
      </c>
      <c r="B1610" t="s">
        <v>75</v>
      </c>
      <c r="C1610">
        <v>26</v>
      </c>
      <c r="D1610">
        <v>0.35</v>
      </c>
    </row>
    <row r="1611" spans="1:6" x14ac:dyDescent="0.15">
      <c r="A1611" t="s">
        <v>2790</v>
      </c>
      <c r="B1611" t="s">
        <v>75</v>
      </c>
      <c r="C1611">
        <v>123</v>
      </c>
      <c r="D1611">
        <v>0.35</v>
      </c>
    </row>
    <row r="1612" spans="1:6" x14ac:dyDescent="0.15">
      <c r="A1612" t="s">
        <v>2791</v>
      </c>
      <c r="B1612" t="s">
        <v>75</v>
      </c>
      <c r="C1612">
        <v>2940</v>
      </c>
      <c r="D1612">
        <v>0.51860544217687066</v>
      </c>
    </row>
    <row r="1613" spans="1:6" x14ac:dyDescent="0.15">
      <c r="A1613" t="s">
        <v>2792</v>
      </c>
      <c r="B1613" t="s">
        <v>75</v>
      </c>
      <c r="C1613">
        <v>225</v>
      </c>
      <c r="D1613">
        <v>0.4</v>
      </c>
    </row>
    <row r="1614" spans="1:6" x14ac:dyDescent="0.15">
      <c r="A1614" t="s">
        <v>742</v>
      </c>
      <c r="B1614" t="s">
        <v>75</v>
      </c>
      <c r="C1614">
        <v>968</v>
      </c>
      <c r="D1614">
        <v>0.21660123966942146</v>
      </c>
      <c r="E1614">
        <v>353</v>
      </c>
      <c r="F1614">
        <v>0.27</v>
      </c>
    </row>
    <row r="1615" spans="1:6" x14ac:dyDescent="0.15">
      <c r="A1615" t="s">
        <v>743</v>
      </c>
      <c r="B1615" t="s">
        <v>75</v>
      </c>
      <c r="C1615">
        <v>593.70800000000008</v>
      </c>
      <c r="D1615">
        <v>0.35999999999999993</v>
      </c>
      <c r="E1615">
        <v>215.8</v>
      </c>
      <c r="F1615">
        <v>0.36</v>
      </c>
    </row>
    <row r="1616" spans="1:6" x14ac:dyDescent="0.15">
      <c r="A1616" t="s">
        <v>744</v>
      </c>
      <c r="B1616" t="s">
        <v>75</v>
      </c>
      <c r="C1616">
        <v>751.59400000000005</v>
      </c>
      <c r="D1616">
        <v>0.33281127842957769</v>
      </c>
      <c r="E1616">
        <v>180.1</v>
      </c>
      <c r="F1616">
        <v>0.31</v>
      </c>
    </row>
    <row r="1617" spans="1:6" x14ac:dyDescent="0.15">
      <c r="A1617" t="s">
        <v>2793</v>
      </c>
      <c r="B1617" t="s">
        <v>75</v>
      </c>
      <c r="C1617">
        <v>7.17</v>
      </c>
      <c r="D1617">
        <v>1.59</v>
      </c>
    </row>
    <row r="1618" spans="1:6" x14ac:dyDescent="0.15">
      <c r="A1618" t="s">
        <v>2794</v>
      </c>
      <c r="B1618" t="s">
        <v>40</v>
      </c>
      <c r="C1618">
        <v>2.2469999999999999</v>
      </c>
      <c r="D1618">
        <v>4.138851802403205</v>
      </c>
    </row>
    <row r="1619" spans="1:6" x14ac:dyDescent="0.15">
      <c r="A1619" t="s">
        <v>2795</v>
      </c>
      <c r="B1619" t="s">
        <v>40</v>
      </c>
      <c r="C1619">
        <v>276.95099999999996</v>
      </c>
      <c r="D1619">
        <v>1.6833802369372199</v>
      </c>
    </row>
    <row r="1620" spans="1:6" x14ac:dyDescent="0.15">
      <c r="A1620" t="s">
        <v>745</v>
      </c>
      <c r="B1620" t="s">
        <v>40</v>
      </c>
      <c r="C1620">
        <v>378.892</v>
      </c>
      <c r="D1620">
        <v>1.32</v>
      </c>
      <c r="E1620">
        <v>339.13299999999998</v>
      </c>
      <c r="F1620">
        <v>0.95</v>
      </c>
    </row>
    <row r="1621" spans="1:6" x14ac:dyDescent="0.15">
      <c r="A1621" t="s">
        <v>2796</v>
      </c>
      <c r="B1621" t="s">
        <v>40</v>
      </c>
      <c r="C1621">
        <v>726</v>
      </c>
      <c r="D1621">
        <v>0.121</v>
      </c>
    </row>
    <row r="1622" spans="1:6" x14ac:dyDescent="0.15">
      <c r="A1622" t="s">
        <v>2797</v>
      </c>
      <c r="B1622" t="s">
        <v>40</v>
      </c>
      <c r="C1622">
        <v>12.496</v>
      </c>
      <c r="D1622">
        <v>1.3731041933418693</v>
      </c>
    </row>
    <row r="1623" spans="1:6" x14ac:dyDescent="0.15">
      <c r="A1623" t="s">
        <v>2798</v>
      </c>
      <c r="B1623" t="s">
        <v>40</v>
      </c>
      <c r="C1623">
        <v>13.478</v>
      </c>
      <c r="D1623">
        <v>0.86066181926101804</v>
      </c>
    </row>
    <row r="1624" spans="1:6" x14ac:dyDescent="0.15">
      <c r="A1624" t="s">
        <v>2799</v>
      </c>
      <c r="B1624" t="s">
        <v>40</v>
      </c>
      <c r="C1624">
        <v>251.07999999999998</v>
      </c>
      <c r="D1624">
        <v>1.7450947905050185</v>
      </c>
    </row>
    <row r="1625" spans="1:6" x14ac:dyDescent="0.15">
      <c r="A1625" t="s">
        <v>746</v>
      </c>
      <c r="B1625" t="s">
        <v>40</v>
      </c>
      <c r="C1625">
        <v>495.65600000000001</v>
      </c>
      <c r="D1625">
        <v>2.5299999999999998</v>
      </c>
      <c r="E1625">
        <v>430.53899999999999</v>
      </c>
      <c r="F1625">
        <v>1.83</v>
      </c>
    </row>
    <row r="1626" spans="1:6" x14ac:dyDescent="0.15">
      <c r="A1626" t="s">
        <v>2800</v>
      </c>
      <c r="B1626" t="s">
        <v>40</v>
      </c>
      <c r="C1626">
        <v>455.67700000000002</v>
      </c>
      <c r="D1626">
        <v>1.5057582234784728</v>
      </c>
    </row>
    <row r="1627" spans="1:6" x14ac:dyDescent="0.15">
      <c r="A1627" t="s">
        <v>747</v>
      </c>
      <c r="B1627" t="s">
        <v>40</v>
      </c>
      <c r="C1627">
        <v>549.34199999999998</v>
      </c>
      <c r="D1627">
        <v>1.88</v>
      </c>
      <c r="E1627">
        <v>378.75099999999998</v>
      </c>
      <c r="F1627">
        <v>1.68</v>
      </c>
    </row>
    <row r="1628" spans="1:6" x14ac:dyDescent="0.15">
      <c r="A1628" t="s">
        <v>2801</v>
      </c>
      <c r="B1628" t="s">
        <v>40</v>
      </c>
      <c r="C1628">
        <v>96.602000000000004</v>
      </c>
      <c r="D1628">
        <v>1.4050603507173764</v>
      </c>
    </row>
    <row r="1629" spans="1:6" x14ac:dyDescent="0.15">
      <c r="A1629" t="s">
        <v>2802</v>
      </c>
      <c r="B1629" t="s">
        <v>81</v>
      </c>
      <c r="C1629">
        <v>13</v>
      </c>
      <c r="D1629">
        <v>0.2</v>
      </c>
    </row>
    <row r="1630" spans="1:6" x14ac:dyDescent="0.15">
      <c r="A1630" t="s">
        <v>2803</v>
      </c>
      <c r="B1630" t="s">
        <v>81</v>
      </c>
      <c r="C1630">
        <v>7.2138999999999998</v>
      </c>
      <c r="D1630">
        <v>1.75</v>
      </c>
    </row>
    <row r="1631" spans="1:6" x14ac:dyDescent="0.15">
      <c r="A1631" t="s">
        <v>2804</v>
      </c>
      <c r="B1631" t="s">
        <v>81</v>
      </c>
      <c r="C1631">
        <v>12.3</v>
      </c>
      <c r="D1631">
        <v>1.47</v>
      </c>
    </row>
    <row r="1632" spans="1:6" x14ac:dyDescent="0.15">
      <c r="A1632" t="s">
        <v>2805</v>
      </c>
      <c r="B1632" t="s">
        <v>81</v>
      </c>
      <c r="C1632">
        <v>3.3635000000000002</v>
      </c>
      <c r="D1632">
        <v>1.57</v>
      </c>
    </row>
    <row r="1633" spans="1:6" x14ac:dyDescent="0.15">
      <c r="A1633" t="s">
        <v>748</v>
      </c>
      <c r="B1633" t="s">
        <v>81</v>
      </c>
      <c r="C1633">
        <v>202.13800000000001</v>
      </c>
      <c r="D1633">
        <v>1.2195054863509089</v>
      </c>
      <c r="E1633">
        <v>51.280999999999999</v>
      </c>
      <c r="F1633">
        <v>1.6006688637117061</v>
      </c>
    </row>
    <row r="1634" spans="1:6" x14ac:dyDescent="0.15">
      <c r="A1634" t="s">
        <v>2806</v>
      </c>
      <c r="B1634" t="s">
        <v>81</v>
      </c>
      <c r="C1634">
        <v>4.4960000000000004</v>
      </c>
      <c r="D1634">
        <v>0.34345640569395014</v>
      </c>
    </row>
    <row r="1635" spans="1:6" x14ac:dyDescent="0.15">
      <c r="A1635" t="s">
        <v>2807</v>
      </c>
      <c r="B1635" t="s">
        <v>81</v>
      </c>
      <c r="C1635">
        <v>10</v>
      </c>
      <c r="D1635">
        <v>3</v>
      </c>
    </row>
    <row r="1636" spans="1:6" x14ac:dyDescent="0.15">
      <c r="A1636" t="s">
        <v>2808</v>
      </c>
      <c r="B1636" t="s">
        <v>1355</v>
      </c>
      <c r="C1636">
        <v>52.649000000000001</v>
      </c>
      <c r="D1636">
        <v>0.79</v>
      </c>
    </row>
    <row r="1637" spans="1:6" x14ac:dyDescent="0.15">
      <c r="A1637" t="s">
        <v>2809</v>
      </c>
      <c r="B1637" t="s">
        <v>1355</v>
      </c>
      <c r="C1637">
        <v>218</v>
      </c>
      <c r="D1637">
        <v>0.73</v>
      </c>
    </row>
    <row r="1638" spans="1:6" x14ac:dyDescent="0.15">
      <c r="A1638" t="s">
        <v>2810</v>
      </c>
      <c r="B1638" t="s">
        <v>1355</v>
      </c>
      <c r="C1638">
        <v>126</v>
      </c>
      <c r="D1638">
        <v>0.64</v>
      </c>
    </row>
    <row r="1639" spans="1:6" x14ac:dyDescent="0.15">
      <c r="A1639" t="s">
        <v>2811</v>
      </c>
      <c r="B1639" t="s">
        <v>874</v>
      </c>
      <c r="C1639">
        <v>18</v>
      </c>
      <c r="D1639">
        <v>0.6</v>
      </c>
    </row>
    <row r="1640" spans="1:6" x14ac:dyDescent="0.15">
      <c r="A1640" t="s">
        <v>2812</v>
      </c>
      <c r="B1640" t="s">
        <v>874</v>
      </c>
      <c r="C1640">
        <v>4.3</v>
      </c>
      <c r="D1640">
        <v>0.6</v>
      </c>
    </row>
    <row r="1641" spans="1:6" x14ac:dyDescent="0.15">
      <c r="A1641" t="s">
        <v>2813</v>
      </c>
      <c r="B1641" t="s">
        <v>874</v>
      </c>
      <c r="C1641">
        <v>1.8</v>
      </c>
      <c r="D1641">
        <v>2.19</v>
      </c>
    </row>
    <row r="1642" spans="1:6" x14ac:dyDescent="0.15">
      <c r="A1642" t="s">
        <v>2814</v>
      </c>
      <c r="B1642" t="s">
        <v>874</v>
      </c>
      <c r="C1642">
        <v>90</v>
      </c>
      <c r="D1642">
        <v>0.3</v>
      </c>
    </row>
    <row r="1643" spans="1:6" x14ac:dyDescent="0.15">
      <c r="A1643" t="s">
        <v>2815</v>
      </c>
      <c r="B1643" t="s">
        <v>874</v>
      </c>
      <c r="C1643">
        <v>335</v>
      </c>
      <c r="D1643">
        <v>0.5</v>
      </c>
    </row>
    <row r="1644" spans="1:6" x14ac:dyDescent="0.15">
      <c r="A1644" t="s">
        <v>2816</v>
      </c>
      <c r="B1644" t="s">
        <v>874</v>
      </c>
      <c r="C1644">
        <v>5.9</v>
      </c>
      <c r="D1644">
        <v>1</v>
      </c>
    </row>
    <row r="1645" spans="1:6" x14ac:dyDescent="0.15">
      <c r="A1645" t="s">
        <v>2817</v>
      </c>
      <c r="B1645" t="s">
        <v>874</v>
      </c>
      <c r="C1645">
        <v>20</v>
      </c>
      <c r="D1645">
        <v>0.7</v>
      </c>
    </row>
    <row r="1646" spans="1:6" x14ac:dyDescent="0.15">
      <c r="A1646" t="s">
        <v>2818</v>
      </c>
      <c r="B1646" t="s">
        <v>874</v>
      </c>
      <c r="C1646">
        <v>0.3</v>
      </c>
      <c r="D1646">
        <v>0.6</v>
      </c>
    </row>
    <row r="1647" spans="1:6" x14ac:dyDescent="0.15">
      <c r="A1647" t="s">
        <v>2819</v>
      </c>
      <c r="B1647" t="s">
        <v>874</v>
      </c>
      <c r="C1647">
        <v>1.8</v>
      </c>
      <c r="D1647">
        <v>1.17</v>
      </c>
    </row>
    <row r="1648" spans="1:6" x14ac:dyDescent="0.15">
      <c r="A1648" t="s">
        <v>2820</v>
      </c>
      <c r="B1648" t="s">
        <v>874</v>
      </c>
      <c r="C1648">
        <v>500</v>
      </c>
      <c r="D1648">
        <v>0.35</v>
      </c>
    </row>
    <row r="1649" spans="1:6" x14ac:dyDescent="0.15">
      <c r="A1649" t="s">
        <v>2821</v>
      </c>
      <c r="B1649" t="s">
        <v>874</v>
      </c>
      <c r="C1649">
        <v>12</v>
      </c>
      <c r="D1649">
        <v>0.2</v>
      </c>
    </row>
    <row r="1650" spans="1:6" x14ac:dyDescent="0.15">
      <c r="A1650" t="s">
        <v>2822</v>
      </c>
      <c r="B1650" t="s">
        <v>874</v>
      </c>
      <c r="C1650">
        <v>431</v>
      </c>
      <c r="D1650">
        <v>0.55000000000000004</v>
      </c>
    </row>
    <row r="1651" spans="1:6" x14ac:dyDescent="0.15">
      <c r="A1651" t="s">
        <v>2823</v>
      </c>
      <c r="B1651" t="s">
        <v>874</v>
      </c>
      <c r="C1651">
        <v>432.7</v>
      </c>
      <c r="D1651">
        <v>0.15902241737924658</v>
      </c>
    </row>
    <row r="1652" spans="1:6" x14ac:dyDescent="0.15">
      <c r="A1652" t="s">
        <v>2824</v>
      </c>
      <c r="B1652" t="s">
        <v>874</v>
      </c>
      <c r="C1652">
        <v>12</v>
      </c>
      <c r="D1652">
        <v>0.75</v>
      </c>
    </row>
    <row r="1653" spans="1:6" x14ac:dyDescent="0.15">
      <c r="A1653" t="s">
        <v>2825</v>
      </c>
      <c r="B1653" t="s">
        <v>874</v>
      </c>
      <c r="C1653">
        <v>150</v>
      </c>
      <c r="D1653">
        <v>0.35</v>
      </c>
    </row>
    <row r="1654" spans="1:6" x14ac:dyDescent="0.15">
      <c r="A1654" t="s">
        <v>749</v>
      </c>
      <c r="B1654" t="s">
        <v>874</v>
      </c>
      <c r="C1654">
        <v>100</v>
      </c>
      <c r="D1654">
        <v>0.25</v>
      </c>
      <c r="E1654">
        <v>27</v>
      </c>
      <c r="F1654">
        <v>0.26</v>
      </c>
    </row>
    <row r="1655" spans="1:6" x14ac:dyDescent="0.15">
      <c r="A1655" t="s">
        <v>2826</v>
      </c>
      <c r="B1655" t="s">
        <v>41</v>
      </c>
      <c r="C1655">
        <v>310.5</v>
      </c>
      <c r="D1655">
        <v>3.2000000000000001E-2</v>
      </c>
    </row>
    <row r="1656" spans="1:6" x14ac:dyDescent="0.15">
      <c r="A1656" t="s">
        <v>2827</v>
      </c>
      <c r="B1656" t="s">
        <v>41</v>
      </c>
      <c r="C1656">
        <v>5</v>
      </c>
      <c r="D1656">
        <v>2.2000000000000002</v>
      </c>
    </row>
    <row r="1657" spans="1:6" x14ac:dyDescent="0.15">
      <c r="A1657" t="s">
        <v>2828</v>
      </c>
      <c r="B1657" t="s">
        <v>41</v>
      </c>
      <c r="C1657">
        <v>722</v>
      </c>
      <c r="D1657">
        <v>0.46806094182825486</v>
      </c>
    </row>
    <row r="1658" spans="1:6" x14ac:dyDescent="0.15">
      <c r="A1658" t="s">
        <v>2829</v>
      </c>
      <c r="B1658" t="s">
        <v>41</v>
      </c>
      <c r="C1658">
        <v>10</v>
      </c>
      <c r="D1658">
        <v>4.4000000000000004</v>
      </c>
    </row>
    <row r="1659" spans="1:6" x14ac:dyDescent="0.15">
      <c r="A1659" t="s">
        <v>2830</v>
      </c>
      <c r="B1659" t="s">
        <v>41</v>
      </c>
      <c r="C1659">
        <v>31.2</v>
      </c>
      <c r="D1659">
        <v>0.11</v>
      </c>
    </row>
    <row r="1660" spans="1:6" x14ac:dyDescent="0.15">
      <c r="A1660" t="s">
        <v>2831</v>
      </c>
      <c r="B1660" t="s">
        <v>41</v>
      </c>
      <c r="C1660">
        <v>1.3</v>
      </c>
      <c r="D1660">
        <v>2.63</v>
      </c>
    </row>
    <row r="1661" spans="1:6" x14ac:dyDescent="0.15">
      <c r="A1661" t="s">
        <v>2832</v>
      </c>
      <c r="B1661" t="s">
        <v>41</v>
      </c>
      <c r="C1661">
        <v>3.5</v>
      </c>
      <c r="D1661">
        <v>3</v>
      </c>
    </row>
    <row r="1662" spans="1:6" x14ac:dyDescent="0.15">
      <c r="A1662" t="s">
        <v>2833</v>
      </c>
      <c r="B1662" t="s">
        <v>41</v>
      </c>
      <c r="C1662">
        <v>13</v>
      </c>
      <c r="D1662">
        <v>2.83</v>
      </c>
    </row>
    <row r="1663" spans="1:6" x14ac:dyDescent="0.15">
      <c r="A1663" t="s">
        <v>2834</v>
      </c>
      <c r="B1663" t="s">
        <v>41</v>
      </c>
      <c r="C1663">
        <v>4.7</v>
      </c>
      <c r="D1663">
        <v>0.7</v>
      </c>
    </row>
    <row r="1664" spans="1:6" x14ac:dyDescent="0.15">
      <c r="A1664" t="s">
        <v>2835</v>
      </c>
      <c r="B1664" t="s">
        <v>41</v>
      </c>
      <c r="C1664">
        <v>43.4</v>
      </c>
      <c r="D1664">
        <v>1.1902995391705067</v>
      </c>
    </row>
    <row r="1665" spans="1:4" x14ac:dyDescent="0.15">
      <c r="A1665" t="s">
        <v>2836</v>
      </c>
      <c r="B1665" t="s">
        <v>41</v>
      </c>
      <c r="C1665">
        <v>288</v>
      </c>
      <c r="D1665">
        <v>0.70972222222222225</v>
      </c>
    </row>
    <row r="1666" spans="1:4" x14ac:dyDescent="0.15">
      <c r="A1666" t="s">
        <v>2837</v>
      </c>
      <c r="B1666" t="s">
        <v>41</v>
      </c>
      <c r="C1666">
        <v>19.283000000000001</v>
      </c>
      <c r="D1666">
        <v>0.28999999999999998</v>
      </c>
    </row>
    <row r="1667" spans="1:4" x14ac:dyDescent="0.15">
      <c r="A1667" t="s">
        <v>2838</v>
      </c>
      <c r="B1667" t="s">
        <v>41</v>
      </c>
      <c r="C1667">
        <v>23.073807692307692</v>
      </c>
      <c r="D1667">
        <v>1.1354866240275772</v>
      </c>
    </row>
    <row r="1668" spans="1:4" x14ac:dyDescent="0.15">
      <c r="A1668" t="s">
        <v>2839</v>
      </c>
      <c r="B1668" t="s">
        <v>41</v>
      </c>
      <c r="C1668">
        <v>14.2</v>
      </c>
      <c r="D1668">
        <v>1.7</v>
      </c>
    </row>
    <row r="1669" spans="1:4" x14ac:dyDescent="0.15">
      <c r="A1669" t="s">
        <v>2840</v>
      </c>
      <c r="B1669" t="s">
        <v>41</v>
      </c>
      <c r="C1669">
        <v>147.72800000000001</v>
      </c>
      <c r="D1669">
        <v>0.28699999999999998</v>
      </c>
    </row>
    <row r="1670" spans="1:4" x14ac:dyDescent="0.15">
      <c r="A1670" t="s">
        <v>2841</v>
      </c>
      <c r="B1670" t="s">
        <v>41</v>
      </c>
      <c r="C1670">
        <v>1.4</v>
      </c>
      <c r="D1670">
        <v>0.5</v>
      </c>
    </row>
    <row r="1671" spans="1:4" x14ac:dyDescent="0.15">
      <c r="A1671" t="s">
        <v>2842</v>
      </c>
      <c r="B1671" t="s">
        <v>41</v>
      </c>
      <c r="C1671">
        <v>800</v>
      </c>
      <c r="D1671">
        <v>0.5</v>
      </c>
    </row>
    <row r="1672" spans="1:4" x14ac:dyDescent="0.15">
      <c r="A1672" t="s">
        <v>2843</v>
      </c>
      <c r="B1672" t="s">
        <v>41</v>
      </c>
      <c r="C1672">
        <v>6.9</v>
      </c>
      <c r="D1672">
        <v>3.16</v>
      </c>
    </row>
    <row r="1673" spans="1:4" x14ac:dyDescent="0.15">
      <c r="A1673" t="s">
        <v>2844</v>
      </c>
      <c r="B1673" t="s">
        <v>41</v>
      </c>
      <c r="C1673">
        <v>376.27027199999998</v>
      </c>
      <c r="D1673">
        <v>0.14000000000000001</v>
      </c>
    </row>
    <row r="1674" spans="1:4" x14ac:dyDescent="0.15">
      <c r="A1674" t="s">
        <v>2845</v>
      </c>
      <c r="B1674" t="s">
        <v>41</v>
      </c>
      <c r="C1674">
        <v>250</v>
      </c>
      <c r="D1674">
        <v>1.4</v>
      </c>
    </row>
    <row r="1675" spans="1:4" x14ac:dyDescent="0.15">
      <c r="A1675" t="s">
        <v>2846</v>
      </c>
      <c r="B1675" t="s">
        <v>41</v>
      </c>
      <c r="C1675">
        <v>1</v>
      </c>
      <c r="D1675">
        <v>6.4</v>
      </c>
    </row>
    <row r="1676" spans="1:4" x14ac:dyDescent="0.15">
      <c r="A1676" t="s">
        <v>2847</v>
      </c>
      <c r="B1676" t="s">
        <v>41</v>
      </c>
      <c r="C1676">
        <v>10</v>
      </c>
      <c r="D1676">
        <v>1.08</v>
      </c>
    </row>
    <row r="1677" spans="1:4" x14ac:dyDescent="0.15">
      <c r="A1677" t="s">
        <v>2848</v>
      </c>
      <c r="B1677" t="s">
        <v>41</v>
      </c>
      <c r="C1677">
        <v>0.94</v>
      </c>
      <c r="D1677">
        <v>3.86</v>
      </c>
    </row>
    <row r="1678" spans="1:4" x14ac:dyDescent="0.15">
      <c r="A1678" t="s">
        <v>2849</v>
      </c>
      <c r="B1678" t="s">
        <v>41</v>
      </c>
      <c r="C1678">
        <v>6.4</v>
      </c>
      <c r="D1678">
        <v>1.71</v>
      </c>
    </row>
    <row r="1679" spans="1:4" x14ac:dyDescent="0.15">
      <c r="A1679" t="s">
        <v>2850</v>
      </c>
      <c r="B1679" t="s">
        <v>41</v>
      </c>
      <c r="C1679">
        <v>27.189149999999998</v>
      </c>
      <c r="D1679">
        <v>0.32205262797843986</v>
      </c>
    </row>
    <row r="1680" spans="1:4" x14ac:dyDescent="0.15">
      <c r="A1680" t="s">
        <v>2851</v>
      </c>
      <c r="B1680" t="s">
        <v>41</v>
      </c>
      <c r="C1680">
        <v>5</v>
      </c>
      <c r="D1680">
        <v>1.6</v>
      </c>
    </row>
    <row r="1681" spans="1:6" x14ac:dyDescent="0.15">
      <c r="A1681" t="s">
        <v>2852</v>
      </c>
      <c r="B1681" t="s">
        <v>41</v>
      </c>
      <c r="C1681">
        <v>519</v>
      </c>
      <c r="D1681">
        <v>3.5000000000000003E-2</v>
      </c>
    </row>
    <row r="1682" spans="1:6" x14ac:dyDescent="0.15">
      <c r="A1682" t="s">
        <v>2853</v>
      </c>
      <c r="B1682" t="s">
        <v>41</v>
      </c>
      <c r="C1682">
        <v>6</v>
      </c>
      <c r="D1682">
        <v>0.7</v>
      </c>
    </row>
    <row r="1683" spans="1:6" x14ac:dyDescent="0.15">
      <c r="A1683" t="s">
        <v>2854</v>
      </c>
      <c r="B1683" t="s">
        <v>41</v>
      </c>
      <c r="C1683">
        <v>30</v>
      </c>
      <c r="D1683">
        <v>1</v>
      </c>
    </row>
    <row r="1684" spans="1:6" x14ac:dyDescent="0.15">
      <c r="A1684" t="s">
        <v>2855</v>
      </c>
      <c r="B1684" t="s">
        <v>41</v>
      </c>
      <c r="C1684">
        <v>592.8900000000001</v>
      </c>
      <c r="D1684">
        <v>0.18358734335205515</v>
      </c>
    </row>
    <row r="1685" spans="1:6" x14ac:dyDescent="0.15">
      <c r="A1685" t="s">
        <v>750</v>
      </c>
      <c r="B1685" t="s">
        <v>41</v>
      </c>
      <c r="C1685">
        <v>492.41399999999999</v>
      </c>
      <c r="D1685">
        <v>0.32412380639055749</v>
      </c>
      <c r="E1685">
        <v>140.06800000000001</v>
      </c>
      <c r="F1685">
        <v>0.28000000000000003</v>
      </c>
    </row>
    <row r="1686" spans="1:6" x14ac:dyDescent="0.15">
      <c r="A1686" t="s">
        <v>2856</v>
      </c>
      <c r="B1686" t="s">
        <v>41</v>
      </c>
      <c r="C1686">
        <v>0.5</v>
      </c>
      <c r="D1686">
        <v>2.1</v>
      </c>
    </row>
    <row r="1687" spans="1:6" x14ac:dyDescent="0.15">
      <c r="A1687" t="s">
        <v>2857</v>
      </c>
      <c r="B1687" t="s">
        <v>41</v>
      </c>
      <c r="C1687">
        <v>32</v>
      </c>
      <c r="D1687">
        <v>1.44</v>
      </c>
    </row>
    <row r="1688" spans="1:6" x14ac:dyDescent="0.15">
      <c r="A1688" t="s">
        <v>2858</v>
      </c>
      <c r="B1688" t="s">
        <v>41</v>
      </c>
      <c r="C1688">
        <v>28</v>
      </c>
      <c r="D1688">
        <v>1.17</v>
      </c>
    </row>
    <row r="1689" spans="1:6" x14ac:dyDescent="0.15">
      <c r="A1689" t="s">
        <v>2859</v>
      </c>
      <c r="B1689" t="s">
        <v>41</v>
      </c>
      <c r="C1689">
        <v>33</v>
      </c>
      <c r="D1689">
        <v>1.5</v>
      </c>
    </row>
    <row r="1690" spans="1:6" x14ac:dyDescent="0.15">
      <c r="A1690" t="s">
        <v>2860</v>
      </c>
      <c r="B1690" t="s">
        <v>41</v>
      </c>
      <c r="C1690">
        <v>188</v>
      </c>
      <c r="D1690">
        <v>0.33191489361702126</v>
      </c>
    </row>
    <row r="1691" spans="1:6" x14ac:dyDescent="0.15">
      <c r="A1691" t="s">
        <v>751</v>
      </c>
      <c r="B1691" t="s">
        <v>41</v>
      </c>
      <c r="C1691">
        <v>164.8</v>
      </c>
      <c r="D1691">
        <v>0.13</v>
      </c>
      <c r="E1691">
        <v>39.200000000000003</v>
      </c>
      <c r="F1691">
        <v>0.15</v>
      </c>
    </row>
    <row r="1692" spans="1:6" x14ac:dyDescent="0.15">
      <c r="A1692" t="s">
        <v>2861</v>
      </c>
      <c r="B1692" t="s">
        <v>41</v>
      </c>
      <c r="C1692">
        <v>12.92</v>
      </c>
      <c r="D1692">
        <v>0.63699690402476783</v>
      </c>
    </row>
    <row r="1693" spans="1:6" x14ac:dyDescent="0.15">
      <c r="A1693" t="s">
        <v>2862</v>
      </c>
      <c r="B1693" t="s">
        <v>41</v>
      </c>
      <c r="C1693">
        <v>85.6</v>
      </c>
      <c r="D1693">
        <v>0.53738317757009346</v>
      </c>
    </row>
    <row r="1694" spans="1:6" x14ac:dyDescent="0.15">
      <c r="A1694" t="s">
        <v>2863</v>
      </c>
      <c r="B1694" t="s">
        <v>41</v>
      </c>
      <c r="C1694">
        <v>6</v>
      </c>
      <c r="D1694">
        <v>2.8</v>
      </c>
    </row>
    <row r="1695" spans="1:6" x14ac:dyDescent="0.15">
      <c r="A1695" t="s">
        <v>2864</v>
      </c>
      <c r="B1695" t="s">
        <v>41</v>
      </c>
      <c r="C1695">
        <v>178</v>
      </c>
      <c r="D1695">
        <v>0.5</v>
      </c>
    </row>
    <row r="1696" spans="1:6" x14ac:dyDescent="0.15">
      <c r="A1696" t="s">
        <v>2865</v>
      </c>
      <c r="B1696" t="s">
        <v>41</v>
      </c>
      <c r="C1696">
        <v>1</v>
      </c>
      <c r="D1696">
        <v>1.06</v>
      </c>
    </row>
    <row r="1697" spans="1:4" x14ac:dyDescent="0.15">
      <c r="A1697" t="s">
        <v>2866</v>
      </c>
      <c r="B1697" t="s">
        <v>41</v>
      </c>
      <c r="C1697">
        <v>13.8407</v>
      </c>
      <c r="D1697">
        <v>0.14000000000000001</v>
      </c>
    </row>
    <row r="1698" spans="1:4" x14ac:dyDescent="0.15">
      <c r="A1698" t="s">
        <v>2867</v>
      </c>
      <c r="B1698" t="s">
        <v>41</v>
      </c>
      <c r="C1698">
        <v>2544</v>
      </c>
      <c r="D1698">
        <v>0.28999999999999998</v>
      </c>
    </row>
    <row r="1699" spans="1:4" x14ac:dyDescent="0.15">
      <c r="A1699" t="s">
        <v>2868</v>
      </c>
      <c r="B1699" t="s">
        <v>41</v>
      </c>
      <c r="C1699">
        <v>215</v>
      </c>
      <c r="D1699">
        <v>0.51</v>
      </c>
    </row>
    <row r="1700" spans="1:4" x14ac:dyDescent="0.15">
      <c r="A1700" t="s">
        <v>2869</v>
      </c>
      <c r="B1700" t="s">
        <v>41</v>
      </c>
      <c r="C1700">
        <v>1333.3333333333333</v>
      </c>
      <c r="D1700">
        <v>0.3</v>
      </c>
    </row>
    <row r="1701" spans="1:4" x14ac:dyDescent="0.15">
      <c r="A1701" t="s">
        <v>2870</v>
      </c>
      <c r="B1701" t="s">
        <v>41</v>
      </c>
      <c r="C1701">
        <v>426.1</v>
      </c>
      <c r="D1701">
        <v>0.37</v>
      </c>
    </row>
    <row r="1702" spans="1:4" x14ac:dyDescent="0.15">
      <c r="A1702" t="s">
        <v>1385</v>
      </c>
      <c r="B1702" t="s">
        <v>41</v>
      </c>
      <c r="C1702">
        <v>53.332999999999998</v>
      </c>
      <c r="D1702">
        <v>0.45500000000000002</v>
      </c>
    </row>
    <row r="1703" spans="1:4" x14ac:dyDescent="0.15">
      <c r="A1703" t="s">
        <v>2871</v>
      </c>
      <c r="B1703" t="s">
        <v>41</v>
      </c>
      <c r="C1703">
        <v>0.32</v>
      </c>
      <c r="D1703">
        <v>5.81</v>
      </c>
    </row>
    <row r="1704" spans="1:4" x14ac:dyDescent="0.15">
      <c r="A1704" t="s">
        <v>2872</v>
      </c>
      <c r="B1704" t="s">
        <v>41</v>
      </c>
      <c r="C1704">
        <v>44.5</v>
      </c>
      <c r="D1704">
        <v>1.1000000000000001</v>
      </c>
    </row>
    <row r="1705" spans="1:4" x14ac:dyDescent="0.15">
      <c r="A1705" t="s">
        <v>2873</v>
      </c>
      <c r="B1705" t="s">
        <v>41</v>
      </c>
      <c r="C1705">
        <v>65.7</v>
      </c>
      <c r="D1705">
        <v>0.67</v>
      </c>
    </row>
    <row r="1706" spans="1:4" x14ac:dyDescent="0.15">
      <c r="A1706" t="s">
        <v>2874</v>
      </c>
      <c r="B1706" t="s">
        <v>41</v>
      </c>
      <c r="C1706">
        <v>7.3</v>
      </c>
      <c r="D1706">
        <v>4.6900000000000004</v>
      </c>
    </row>
    <row r="1707" spans="1:4" x14ac:dyDescent="0.15">
      <c r="A1707" t="s">
        <v>2525</v>
      </c>
      <c r="B1707" t="s">
        <v>41</v>
      </c>
      <c r="C1707">
        <v>5.8</v>
      </c>
      <c r="D1707">
        <v>2.7</v>
      </c>
    </row>
    <row r="1708" spans="1:4" x14ac:dyDescent="0.15">
      <c r="A1708" t="s">
        <v>2875</v>
      </c>
      <c r="B1708" t="s">
        <v>41</v>
      </c>
      <c r="C1708">
        <v>1.1739999999999999</v>
      </c>
      <c r="D1708">
        <v>0.35</v>
      </c>
    </row>
    <row r="1709" spans="1:4" x14ac:dyDescent="0.15">
      <c r="A1709" t="s">
        <v>2876</v>
      </c>
      <c r="B1709" t="s">
        <v>41</v>
      </c>
      <c r="C1709">
        <v>1315.7660000000001</v>
      </c>
      <c r="D1709">
        <v>0.82499999999999996</v>
      </c>
    </row>
    <row r="1710" spans="1:4" x14ac:dyDescent="0.15">
      <c r="A1710" t="s">
        <v>2877</v>
      </c>
      <c r="B1710" t="s">
        <v>41</v>
      </c>
      <c r="C1710">
        <v>103.6</v>
      </c>
      <c r="D1710">
        <v>2.0699999999999998</v>
      </c>
    </row>
    <row r="1711" spans="1:4" x14ac:dyDescent="0.15">
      <c r="A1711" t="s">
        <v>2878</v>
      </c>
      <c r="B1711" t="s">
        <v>41</v>
      </c>
      <c r="C1711">
        <v>123.39999999999999</v>
      </c>
      <c r="D1711">
        <v>0.87999999999999989</v>
      </c>
    </row>
    <row r="1712" spans="1:4" x14ac:dyDescent="0.15">
      <c r="A1712" t="s">
        <v>2879</v>
      </c>
      <c r="B1712" t="s">
        <v>41</v>
      </c>
      <c r="C1712">
        <v>2.4249999999999998</v>
      </c>
      <c r="D1712">
        <v>4.5</v>
      </c>
    </row>
    <row r="1713" spans="1:6" x14ac:dyDescent="0.15">
      <c r="A1713" t="s">
        <v>2880</v>
      </c>
      <c r="B1713" t="s">
        <v>41</v>
      </c>
      <c r="C1713">
        <v>25.2</v>
      </c>
      <c r="D1713">
        <v>2.838888888888889</v>
      </c>
    </row>
    <row r="1714" spans="1:6" x14ac:dyDescent="0.15">
      <c r="A1714" t="s">
        <v>2881</v>
      </c>
      <c r="B1714" t="s">
        <v>41</v>
      </c>
      <c r="C1714">
        <v>122.19999999999999</v>
      </c>
      <c r="D1714">
        <v>0.90153846153846162</v>
      </c>
    </row>
    <row r="1715" spans="1:6" x14ac:dyDescent="0.15">
      <c r="A1715" t="s">
        <v>2882</v>
      </c>
      <c r="B1715" t="s">
        <v>41</v>
      </c>
      <c r="C1715">
        <v>800</v>
      </c>
      <c r="D1715">
        <v>0.4</v>
      </c>
    </row>
    <row r="1716" spans="1:6" x14ac:dyDescent="0.15">
      <c r="A1716" t="s">
        <v>2883</v>
      </c>
      <c r="B1716" t="s">
        <v>41</v>
      </c>
      <c r="C1716">
        <v>94.3</v>
      </c>
      <c r="D1716">
        <v>1.0641145281018027</v>
      </c>
    </row>
    <row r="1717" spans="1:6" x14ac:dyDescent="0.15">
      <c r="A1717" t="s">
        <v>2884</v>
      </c>
      <c r="B1717" t="s">
        <v>41</v>
      </c>
      <c r="C1717">
        <v>1100</v>
      </c>
      <c r="D1717">
        <v>0.26</v>
      </c>
    </row>
    <row r="1718" spans="1:6" x14ac:dyDescent="0.15">
      <c r="A1718" t="s">
        <v>2885</v>
      </c>
      <c r="B1718" t="s">
        <v>41</v>
      </c>
      <c r="C1718">
        <v>110</v>
      </c>
      <c r="D1718">
        <v>1.6</v>
      </c>
    </row>
    <row r="1719" spans="1:6" x14ac:dyDescent="0.15">
      <c r="A1719" t="s">
        <v>2886</v>
      </c>
      <c r="B1719" t="s">
        <v>41</v>
      </c>
      <c r="C1719">
        <v>233</v>
      </c>
      <c r="D1719">
        <v>0.17</v>
      </c>
    </row>
    <row r="1720" spans="1:6" x14ac:dyDescent="0.15">
      <c r="A1720" t="s">
        <v>2887</v>
      </c>
      <c r="B1720" t="s">
        <v>41</v>
      </c>
      <c r="C1720">
        <v>13.041</v>
      </c>
      <c r="D1720">
        <v>7.5999999999999998E-2</v>
      </c>
    </row>
    <row r="1721" spans="1:6" x14ac:dyDescent="0.15">
      <c r="A1721" t="s">
        <v>2888</v>
      </c>
      <c r="B1721" t="s">
        <v>41</v>
      </c>
      <c r="C1721">
        <v>9.3000000000000007</v>
      </c>
      <c r="D1721">
        <v>2.46</v>
      </c>
    </row>
    <row r="1722" spans="1:6" x14ac:dyDescent="0.15">
      <c r="A1722" t="s">
        <v>752</v>
      </c>
      <c r="B1722" t="s">
        <v>41</v>
      </c>
      <c r="C1722">
        <v>2103.143</v>
      </c>
      <c r="D1722">
        <v>1.4507879207452845</v>
      </c>
      <c r="E1722">
        <v>703.35699999999997</v>
      </c>
      <c r="F1722">
        <v>1.7</v>
      </c>
    </row>
    <row r="1723" spans="1:6" x14ac:dyDescent="0.15">
      <c r="A1723" t="s">
        <v>2889</v>
      </c>
      <c r="B1723" t="s">
        <v>41</v>
      </c>
      <c r="C1723">
        <v>2.9</v>
      </c>
      <c r="D1723">
        <v>3.9</v>
      </c>
    </row>
    <row r="1724" spans="1:6" x14ac:dyDescent="0.15">
      <c r="A1724" t="s">
        <v>2890</v>
      </c>
      <c r="B1724" t="s">
        <v>41</v>
      </c>
      <c r="C1724">
        <v>9.6</v>
      </c>
      <c r="D1724">
        <v>1.48</v>
      </c>
    </row>
    <row r="1725" spans="1:6" x14ac:dyDescent="0.15">
      <c r="A1725" t="s">
        <v>2891</v>
      </c>
      <c r="B1725" t="s">
        <v>41</v>
      </c>
      <c r="C1725">
        <v>10.25</v>
      </c>
      <c r="D1725">
        <v>0.99</v>
      </c>
    </row>
    <row r="1726" spans="1:6" x14ac:dyDescent="0.15">
      <c r="A1726" t="s">
        <v>2892</v>
      </c>
      <c r="B1726" t="s">
        <v>41</v>
      </c>
      <c r="C1726">
        <v>331.1</v>
      </c>
      <c r="D1726">
        <v>0.47</v>
      </c>
    </row>
    <row r="1727" spans="1:6" x14ac:dyDescent="0.15">
      <c r="A1727" t="s">
        <v>2893</v>
      </c>
      <c r="B1727" t="s">
        <v>41</v>
      </c>
      <c r="C1727">
        <v>2.2000000000000002</v>
      </c>
      <c r="D1727">
        <v>2.7</v>
      </c>
    </row>
    <row r="1728" spans="1:6" x14ac:dyDescent="0.15">
      <c r="A1728" t="s">
        <v>2894</v>
      </c>
      <c r="B1728" t="s">
        <v>41</v>
      </c>
      <c r="C1728">
        <v>111.166</v>
      </c>
      <c r="D1728">
        <v>0.32100000000000001</v>
      </c>
    </row>
    <row r="1729" spans="1:6" x14ac:dyDescent="0.15">
      <c r="A1729" t="s">
        <v>2895</v>
      </c>
      <c r="B1729" t="s">
        <v>41</v>
      </c>
      <c r="C1729">
        <v>113</v>
      </c>
      <c r="D1729">
        <v>1.08</v>
      </c>
    </row>
    <row r="1730" spans="1:6" x14ac:dyDescent="0.15">
      <c r="A1730" t="s">
        <v>753</v>
      </c>
      <c r="B1730" t="s">
        <v>41</v>
      </c>
      <c r="C1730">
        <v>2754</v>
      </c>
      <c r="D1730">
        <v>0.97</v>
      </c>
      <c r="E1730">
        <v>1439.5</v>
      </c>
      <c r="F1730">
        <v>1.05</v>
      </c>
    </row>
    <row r="1731" spans="1:6" x14ac:dyDescent="0.15">
      <c r="A1731" t="s">
        <v>2896</v>
      </c>
      <c r="B1731" t="s">
        <v>41</v>
      </c>
      <c r="C1731">
        <v>143.4</v>
      </c>
      <c r="D1731">
        <v>0.75</v>
      </c>
    </row>
    <row r="1732" spans="1:6" x14ac:dyDescent="0.15">
      <c r="A1732" t="s">
        <v>2897</v>
      </c>
      <c r="B1732" t="s">
        <v>41</v>
      </c>
      <c r="C1732">
        <v>20</v>
      </c>
      <c r="D1732">
        <v>1.27</v>
      </c>
    </row>
    <row r="1733" spans="1:6" x14ac:dyDescent="0.15">
      <c r="A1733" t="s">
        <v>2898</v>
      </c>
      <c r="B1733" t="s">
        <v>41</v>
      </c>
      <c r="C1733">
        <v>84</v>
      </c>
      <c r="D1733">
        <v>1.36</v>
      </c>
    </row>
    <row r="1734" spans="1:6" x14ac:dyDescent="0.15">
      <c r="A1734" t="s">
        <v>2899</v>
      </c>
      <c r="B1734" t="s">
        <v>41</v>
      </c>
      <c r="C1734">
        <v>0.1</v>
      </c>
      <c r="D1734">
        <v>2</v>
      </c>
    </row>
    <row r="1735" spans="1:6" x14ac:dyDescent="0.15">
      <c r="A1735" t="s">
        <v>2900</v>
      </c>
      <c r="B1735" t="s">
        <v>41</v>
      </c>
      <c r="C1735">
        <v>1.18</v>
      </c>
      <c r="D1735">
        <v>9.8699999999999992</v>
      </c>
    </row>
    <row r="1736" spans="1:6" x14ac:dyDescent="0.15">
      <c r="A1736" t="s">
        <v>2901</v>
      </c>
      <c r="B1736" t="s">
        <v>41</v>
      </c>
      <c r="C1736">
        <v>77.393000000000001</v>
      </c>
      <c r="D1736">
        <v>0.23699999999999999</v>
      </c>
    </row>
    <row r="1737" spans="1:6" x14ac:dyDescent="0.15">
      <c r="A1737" t="s">
        <v>2902</v>
      </c>
      <c r="B1737" t="s">
        <v>41</v>
      </c>
      <c r="C1737">
        <v>1.6</v>
      </c>
      <c r="D1737">
        <v>0.7</v>
      </c>
    </row>
    <row r="1738" spans="1:6" x14ac:dyDescent="0.15">
      <c r="A1738" t="s">
        <v>2903</v>
      </c>
      <c r="B1738" t="s">
        <v>41</v>
      </c>
      <c r="C1738">
        <v>83.6</v>
      </c>
      <c r="D1738">
        <v>0.1972488038277512</v>
      </c>
    </row>
    <row r="1739" spans="1:6" x14ac:dyDescent="0.15">
      <c r="A1739" t="s">
        <v>2904</v>
      </c>
      <c r="B1739" t="s">
        <v>41</v>
      </c>
      <c r="C1739">
        <v>2.2999999999999998</v>
      </c>
      <c r="D1739">
        <v>2.56</v>
      </c>
    </row>
    <row r="1740" spans="1:6" x14ac:dyDescent="0.15">
      <c r="A1740" t="s">
        <v>2905</v>
      </c>
      <c r="B1740" t="s">
        <v>41</v>
      </c>
      <c r="C1740">
        <v>82.8</v>
      </c>
      <c r="D1740">
        <v>0.15</v>
      </c>
    </row>
    <row r="1741" spans="1:6" x14ac:dyDescent="0.15">
      <c r="A1741" t="s">
        <v>2906</v>
      </c>
      <c r="B1741" t="s">
        <v>41</v>
      </c>
      <c r="C1741">
        <v>106</v>
      </c>
      <c r="D1741">
        <v>1.5</v>
      </c>
    </row>
    <row r="1742" spans="1:6" x14ac:dyDescent="0.15">
      <c r="A1742" t="s">
        <v>2907</v>
      </c>
      <c r="B1742" t="s">
        <v>41</v>
      </c>
      <c r="C1742">
        <v>0.7</v>
      </c>
      <c r="D1742">
        <v>4.4400000000000004</v>
      </c>
    </row>
    <row r="1743" spans="1:6" x14ac:dyDescent="0.15">
      <c r="A1743" t="s">
        <v>2908</v>
      </c>
      <c r="B1743" t="s">
        <v>41</v>
      </c>
      <c r="C1743">
        <v>3</v>
      </c>
      <c r="D1743">
        <v>2.0299999999999998</v>
      </c>
    </row>
    <row r="1744" spans="1:6" x14ac:dyDescent="0.15">
      <c r="A1744" t="s">
        <v>2909</v>
      </c>
      <c r="B1744" t="s">
        <v>41</v>
      </c>
      <c r="C1744">
        <v>3</v>
      </c>
      <c r="D1744">
        <v>1</v>
      </c>
    </row>
    <row r="1745" spans="1:6" x14ac:dyDescent="0.15">
      <c r="A1745" t="s">
        <v>2910</v>
      </c>
      <c r="B1745" t="s">
        <v>41</v>
      </c>
      <c r="C1745">
        <v>51</v>
      </c>
      <c r="D1745">
        <v>0.9</v>
      </c>
    </row>
    <row r="1746" spans="1:6" x14ac:dyDescent="0.15">
      <c r="A1746" t="s">
        <v>2911</v>
      </c>
      <c r="B1746" t="s">
        <v>41</v>
      </c>
      <c r="C1746">
        <v>130</v>
      </c>
      <c r="D1746">
        <v>0.1</v>
      </c>
    </row>
    <row r="1747" spans="1:6" x14ac:dyDescent="0.15">
      <c r="A1747" t="s">
        <v>2912</v>
      </c>
      <c r="B1747" t="s">
        <v>41</v>
      </c>
      <c r="C1747">
        <v>12.5</v>
      </c>
      <c r="D1747">
        <v>1.21</v>
      </c>
    </row>
    <row r="1748" spans="1:6" x14ac:dyDescent="0.15">
      <c r="A1748" t="s">
        <v>2913</v>
      </c>
      <c r="B1748" t="s">
        <v>319</v>
      </c>
      <c r="C1748">
        <v>1.4</v>
      </c>
      <c r="D1748">
        <v>1.7000000000000004</v>
      </c>
    </row>
    <row r="1749" spans="1:6" x14ac:dyDescent="0.15">
      <c r="A1749" t="s">
        <v>2914</v>
      </c>
      <c r="B1749" t="s">
        <v>319</v>
      </c>
      <c r="C1749">
        <v>1</v>
      </c>
      <c r="D1749">
        <v>0.88</v>
      </c>
    </row>
    <row r="1750" spans="1:6" x14ac:dyDescent="0.15">
      <c r="A1750" t="s">
        <v>2915</v>
      </c>
      <c r="B1750" t="s">
        <v>319</v>
      </c>
      <c r="C1750">
        <v>0.94</v>
      </c>
      <c r="D1750">
        <v>1.28</v>
      </c>
    </row>
    <row r="1751" spans="1:6" x14ac:dyDescent="0.15">
      <c r="A1751" t="s">
        <v>2916</v>
      </c>
      <c r="B1751" t="s">
        <v>319</v>
      </c>
      <c r="C1751">
        <v>0.3</v>
      </c>
      <c r="D1751">
        <v>6.8199999999999994</v>
      </c>
    </row>
    <row r="1752" spans="1:6" x14ac:dyDescent="0.15">
      <c r="A1752" t="s">
        <v>2917</v>
      </c>
      <c r="B1752" t="s">
        <v>319</v>
      </c>
      <c r="C1752">
        <v>2.1</v>
      </c>
      <c r="D1752">
        <v>0.33999999999999997</v>
      </c>
    </row>
    <row r="1753" spans="1:6" x14ac:dyDescent="0.15">
      <c r="A1753" t="s">
        <v>2918</v>
      </c>
      <c r="B1753" t="s">
        <v>319</v>
      </c>
      <c r="C1753">
        <v>7.6651009999999999</v>
      </c>
      <c r="D1753">
        <v>1.1771905458258145</v>
      </c>
    </row>
    <row r="1754" spans="1:6" x14ac:dyDescent="0.15">
      <c r="A1754" t="s">
        <v>2919</v>
      </c>
      <c r="B1754" t="s">
        <v>319</v>
      </c>
      <c r="C1754">
        <v>0.45</v>
      </c>
      <c r="D1754">
        <v>1.1000000000000001</v>
      </c>
    </row>
    <row r="1755" spans="1:6" x14ac:dyDescent="0.15">
      <c r="A1755" t="s">
        <v>2920</v>
      </c>
      <c r="B1755" t="s">
        <v>319</v>
      </c>
      <c r="C1755">
        <v>18</v>
      </c>
      <c r="D1755">
        <v>1</v>
      </c>
    </row>
    <row r="1756" spans="1:6" x14ac:dyDescent="0.15">
      <c r="A1756" t="s">
        <v>2921</v>
      </c>
      <c r="B1756" t="s">
        <v>319</v>
      </c>
      <c r="C1756">
        <v>1.7</v>
      </c>
      <c r="D1756">
        <v>0.3</v>
      </c>
    </row>
    <row r="1757" spans="1:6" x14ac:dyDescent="0.15">
      <c r="A1757" t="s">
        <v>2922</v>
      </c>
      <c r="B1757" t="s">
        <v>319</v>
      </c>
      <c r="C1757">
        <v>1.6</v>
      </c>
      <c r="D1757">
        <v>2.8999999999999995</v>
      </c>
    </row>
    <row r="1758" spans="1:6" x14ac:dyDescent="0.15">
      <c r="A1758" t="s">
        <v>2923</v>
      </c>
      <c r="B1758" t="s">
        <v>319</v>
      </c>
      <c r="C1758">
        <v>0.22500000000000001</v>
      </c>
      <c r="D1758">
        <v>0.89999999999999991</v>
      </c>
    </row>
    <row r="1759" spans="1:6" x14ac:dyDescent="0.15">
      <c r="A1759" t="s">
        <v>2924</v>
      </c>
      <c r="B1759" t="s">
        <v>319</v>
      </c>
      <c r="C1759">
        <v>0.35</v>
      </c>
      <c r="D1759">
        <v>1.69</v>
      </c>
    </row>
    <row r="1760" spans="1:6" x14ac:dyDescent="0.15">
      <c r="A1760" t="s">
        <v>754</v>
      </c>
      <c r="B1760" t="s">
        <v>319</v>
      </c>
      <c r="C1760">
        <v>25.522000000000002</v>
      </c>
      <c r="D1760">
        <v>2.5366609199905965</v>
      </c>
      <c r="E1760">
        <v>24.992000000000001</v>
      </c>
      <c r="F1760">
        <v>2.5341997439180539</v>
      </c>
    </row>
    <row r="1761" spans="1:6" x14ac:dyDescent="0.15">
      <c r="A1761" t="s">
        <v>2925</v>
      </c>
      <c r="B1761" t="s">
        <v>319</v>
      </c>
      <c r="C1761">
        <v>0.69599999999999995</v>
      </c>
      <c r="D1761">
        <v>2.5</v>
      </c>
    </row>
    <row r="1762" spans="1:6" x14ac:dyDescent="0.15">
      <c r="A1762" t="s">
        <v>755</v>
      </c>
      <c r="B1762" t="s">
        <v>319</v>
      </c>
      <c r="C1762">
        <v>38.17</v>
      </c>
      <c r="D1762">
        <v>0.25918784385643173</v>
      </c>
      <c r="E1762">
        <v>26.08</v>
      </c>
      <c r="F1762">
        <v>0.24</v>
      </c>
    </row>
    <row r="1763" spans="1:6" x14ac:dyDescent="0.15">
      <c r="A1763" t="s">
        <v>2926</v>
      </c>
      <c r="B1763" t="s">
        <v>319</v>
      </c>
      <c r="C1763">
        <v>12.1</v>
      </c>
      <c r="D1763">
        <v>1.8661157024793387</v>
      </c>
    </row>
    <row r="1764" spans="1:6" x14ac:dyDescent="0.15">
      <c r="A1764" t="s">
        <v>2927</v>
      </c>
      <c r="B1764" t="s">
        <v>319</v>
      </c>
      <c r="C1764">
        <v>1.1000000000000001</v>
      </c>
      <c r="D1764">
        <v>0.64</v>
      </c>
    </row>
    <row r="1765" spans="1:6" x14ac:dyDescent="0.15">
      <c r="A1765" t="s">
        <v>2928</v>
      </c>
      <c r="B1765" t="s">
        <v>319</v>
      </c>
      <c r="C1765">
        <v>1.19</v>
      </c>
      <c r="D1765">
        <v>1.0405882352941178</v>
      </c>
    </row>
    <row r="1766" spans="1:6" x14ac:dyDescent="0.15">
      <c r="A1766" t="s">
        <v>2929</v>
      </c>
      <c r="B1766" t="s">
        <v>319</v>
      </c>
      <c r="C1766">
        <v>2.1</v>
      </c>
      <c r="D1766">
        <v>2.5</v>
      </c>
    </row>
    <row r="1767" spans="1:6" x14ac:dyDescent="0.15">
      <c r="A1767" t="s">
        <v>2930</v>
      </c>
      <c r="B1767" t="s">
        <v>319</v>
      </c>
      <c r="C1767">
        <v>0.9</v>
      </c>
      <c r="D1767">
        <v>1.9999999999999998</v>
      </c>
    </row>
    <row r="1768" spans="1:6" x14ac:dyDescent="0.15">
      <c r="A1768" t="s">
        <v>2931</v>
      </c>
      <c r="B1768" t="s">
        <v>319</v>
      </c>
      <c r="C1768">
        <v>2.4</v>
      </c>
      <c r="D1768">
        <v>0.37</v>
      </c>
    </row>
    <row r="1769" spans="1:6" x14ac:dyDescent="0.15">
      <c r="A1769" t="s">
        <v>2932</v>
      </c>
      <c r="B1769" t="s">
        <v>319</v>
      </c>
      <c r="C1769">
        <v>1.4</v>
      </c>
      <c r="D1769">
        <v>1.7</v>
      </c>
    </row>
    <row r="1770" spans="1:6" x14ac:dyDescent="0.15">
      <c r="A1770" t="s">
        <v>2933</v>
      </c>
      <c r="B1770" t="s">
        <v>319</v>
      </c>
      <c r="C1770">
        <v>0.27</v>
      </c>
      <c r="D1770">
        <v>2.5</v>
      </c>
    </row>
    <row r="1771" spans="1:6" x14ac:dyDescent="0.15">
      <c r="A1771" t="s">
        <v>2934</v>
      </c>
      <c r="B1771" t="s">
        <v>319</v>
      </c>
      <c r="C1771">
        <v>1</v>
      </c>
      <c r="D1771">
        <v>2</v>
      </c>
    </row>
    <row r="1772" spans="1:6" x14ac:dyDescent="0.15">
      <c r="A1772" t="s">
        <v>2935</v>
      </c>
      <c r="B1772" t="s">
        <v>1402</v>
      </c>
      <c r="C1772">
        <v>1.0169999999999999</v>
      </c>
      <c r="D1772">
        <v>0.2</v>
      </c>
    </row>
    <row r="1773" spans="1:6" x14ac:dyDescent="0.15">
      <c r="A1773" t="s">
        <v>2936</v>
      </c>
      <c r="B1773" t="s">
        <v>1402</v>
      </c>
      <c r="C1773">
        <v>800</v>
      </c>
      <c r="D1773">
        <v>0.82499999999999996</v>
      </c>
    </row>
    <row r="1774" spans="1:6" x14ac:dyDescent="0.15">
      <c r="A1774" t="s">
        <v>2937</v>
      </c>
      <c r="B1774" t="s">
        <v>1402</v>
      </c>
      <c r="C1774">
        <v>591.12903225806451</v>
      </c>
      <c r="D1774">
        <v>0.62</v>
      </c>
    </row>
    <row r="1775" spans="1:6" x14ac:dyDescent="0.15">
      <c r="A1775" t="s">
        <v>2938</v>
      </c>
      <c r="B1775" t="s">
        <v>1402</v>
      </c>
      <c r="C1775">
        <v>315.625</v>
      </c>
      <c r="D1775">
        <v>0.32</v>
      </c>
    </row>
    <row r="1776" spans="1:6" x14ac:dyDescent="0.15">
      <c r="A1776" t="s">
        <v>2939</v>
      </c>
      <c r="B1776" t="s">
        <v>1402</v>
      </c>
      <c r="C1776">
        <v>7.7</v>
      </c>
      <c r="D1776">
        <v>1.2</v>
      </c>
    </row>
    <row r="1777" spans="1:4" x14ac:dyDescent="0.15">
      <c r="A1777" t="s">
        <v>2940</v>
      </c>
      <c r="B1777" t="s">
        <v>1402</v>
      </c>
      <c r="C1777">
        <v>1.4444444444444442</v>
      </c>
      <c r="D1777">
        <v>0.9</v>
      </c>
    </row>
    <row r="1778" spans="1:4" x14ac:dyDescent="0.15">
      <c r="A1778" t="s">
        <v>2941</v>
      </c>
      <c r="B1778" t="s">
        <v>1402</v>
      </c>
      <c r="C1778">
        <v>2.4</v>
      </c>
      <c r="D1778">
        <v>1.05</v>
      </c>
    </row>
    <row r="1779" spans="1:4" x14ac:dyDescent="0.15">
      <c r="A1779" t="s">
        <v>2942</v>
      </c>
      <c r="B1779" t="s">
        <v>1402</v>
      </c>
      <c r="C1779">
        <v>43</v>
      </c>
      <c r="D1779">
        <v>2.9348837209302325</v>
      </c>
    </row>
    <row r="1780" spans="1:4" x14ac:dyDescent="0.15">
      <c r="A1780" t="s">
        <v>2943</v>
      </c>
      <c r="B1780" t="s">
        <v>1402</v>
      </c>
      <c r="C1780">
        <v>790</v>
      </c>
      <c r="D1780">
        <v>0.23</v>
      </c>
    </row>
    <row r="1781" spans="1:4" x14ac:dyDescent="0.15">
      <c r="A1781" t="s">
        <v>2944</v>
      </c>
      <c r="B1781" t="s">
        <v>1402</v>
      </c>
      <c r="C1781">
        <v>1.0640000000000001</v>
      </c>
      <c r="D1781">
        <v>2.3265084586466163</v>
      </c>
    </row>
    <row r="1782" spans="1:4" x14ac:dyDescent="0.15">
      <c r="A1782" t="s">
        <v>2945</v>
      </c>
      <c r="B1782" t="s">
        <v>1402</v>
      </c>
      <c r="C1782">
        <v>6.5</v>
      </c>
      <c r="D1782">
        <v>0.3</v>
      </c>
    </row>
    <row r="1783" spans="1:4" x14ac:dyDescent="0.15">
      <c r="A1783" t="s">
        <v>2946</v>
      </c>
      <c r="B1783" t="s">
        <v>1402</v>
      </c>
      <c r="C1783">
        <v>3</v>
      </c>
      <c r="D1783">
        <v>0.82</v>
      </c>
    </row>
    <row r="1784" spans="1:4" x14ac:dyDescent="0.15">
      <c r="A1784" t="s">
        <v>2947</v>
      </c>
      <c r="B1784" t="s">
        <v>1402</v>
      </c>
      <c r="C1784">
        <v>800</v>
      </c>
      <c r="D1784">
        <v>0.6</v>
      </c>
    </row>
    <row r="1785" spans="1:4" x14ac:dyDescent="0.15">
      <c r="A1785" t="s">
        <v>2948</v>
      </c>
      <c r="B1785" t="s">
        <v>1402</v>
      </c>
      <c r="C1785">
        <v>300</v>
      </c>
      <c r="D1785">
        <v>0.5</v>
      </c>
    </row>
    <row r="1786" spans="1:4" x14ac:dyDescent="0.15">
      <c r="A1786" t="s">
        <v>2949</v>
      </c>
      <c r="B1786" t="s">
        <v>1402</v>
      </c>
      <c r="C1786">
        <v>6.5616399999999997</v>
      </c>
      <c r="D1786">
        <v>0.26</v>
      </c>
    </row>
    <row r="1787" spans="1:4" x14ac:dyDescent="0.15">
      <c r="A1787" t="s">
        <v>2950</v>
      </c>
      <c r="B1787" t="s">
        <v>1402</v>
      </c>
      <c r="C1787">
        <v>0.14499999999999999</v>
      </c>
      <c r="D1787">
        <v>1.21</v>
      </c>
    </row>
    <row r="1788" spans="1:4" x14ac:dyDescent="0.15">
      <c r="A1788" t="s">
        <v>2951</v>
      </c>
      <c r="B1788" t="s">
        <v>1402</v>
      </c>
      <c r="C1788">
        <v>1</v>
      </c>
      <c r="D1788">
        <v>0.5</v>
      </c>
    </row>
    <row r="1789" spans="1:4" x14ac:dyDescent="0.15">
      <c r="A1789" t="s">
        <v>2952</v>
      </c>
      <c r="B1789" t="s">
        <v>1402</v>
      </c>
      <c r="C1789">
        <v>520</v>
      </c>
      <c r="D1789">
        <v>1.1543269230769232E-2</v>
      </c>
    </row>
    <row r="1790" spans="1:4" x14ac:dyDescent="0.15">
      <c r="A1790" t="s">
        <v>2953</v>
      </c>
      <c r="B1790" t="s">
        <v>1402</v>
      </c>
      <c r="C1790">
        <v>2.5</v>
      </c>
      <c r="D1790">
        <v>0.6</v>
      </c>
    </row>
    <row r="1791" spans="1:4" x14ac:dyDescent="0.15">
      <c r="A1791" t="s">
        <v>2954</v>
      </c>
      <c r="B1791" t="s">
        <v>1402</v>
      </c>
      <c r="C1791">
        <v>852</v>
      </c>
      <c r="D1791">
        <v>0.18157276995305166</v>
      </c>
    </row>
    <row r="1792" spans="1:4" x14ac:dyDescent="0.15">
      <c r="A1792" t="s">
        <v>2955</v>
      </c>
      <c r="B1792" t="s">
        <v>1402</v>
      </c>
      <c r="C1792">
        <v>485</v>
      </c>
      <c r="D1792">
        <v>0.2</v>
      </c>
    </row>
    <row r="1793" spans="1:6" x14ac:dyDescent="0.15">
      <c r="A1793" t="s">
        <v>2956</v>
      </c>
      <c r="B1793" t="s">
        <v>1402</v>
      </c>
      <c r="C1793">
        <v>1091.3</v>
      </c>
      <c r="D1793">
        <v>0.32130385778429399</v>
      </c>
    </row>
    <row r="1794" spans="1:6" x14ac:dyDescent="0.15">
      <c r="A1794" t="s">
        <v>2957</v>
      </c>
      <c r="B1794" t="s">
        <v>2958</v>
      </c>
      <c r="C1794">
        <v>0.6</v>
      </c>
      <c r="D1794">
        <v>0.1</v>
      </c>
    </row>
    <row r="1795" spans="1:6" x14ac:dyDescent="0.15">
      <c r="A1795" t="s">
        <v>2959</v>
      </c>
      <c r="B1795" t="s">
        <v>2958</v>
      </c>
      <c r="C1795">
        <v>29</v>
      </c>
      <c r="D1795">
        <v>1</v>
      </c>
    </row>
    <row r="1796" spans="1:6" x14ac:dyDescent="0.15">
      <c r="A1796" t="s">
        <v>2960</v>
      </c>
      <c r="B1796" t="s">
        <v>2958</v>
      </c>
      <c r="C1796">
        <v>1.3</v>
      </c>
      <c r="D1796">
        <v>1.7</v>
      </c>
    </row>
    <row r="1797" spans="1:6" x14ac:dyDescent="0.15">
      <c r="A1797" t="s">
        <v>2961</v>
      </c>
      <c r="B1797" t="s">
        <v>2958</v>
      </c>
      <c r="C1797">
        <v>210</v>
      </c>
      <c r="D1797">
        <v>0.35</v>
      </c>
    </row>
    <row r="1798" spans="1:6" x14ac:dyDescent="0.15">
      <c r="A1798" t="s">
        <v>2962</v>
      </c>
      <c r="B1798" t="s">
        <v>2958</v>
      </c>
      <c r="C1798">
        <v>18</v>
      </c>
      <c r="D1798">
        <v>0.8</v>
      </c>
    </row>
    <row r="1799" spans="1:6" x14ac:dyDescent="0.15">
      <c r="A1799" t="s">
        <v>2963</v>
      </c>
      <c r="B1799" t="s">
        <v>2958</v>
      </c>
      <c r="C1799">
        <v>66</v>
      </c>
      <c r="D1799">
        <v>0.34</v>
      </c>
    </row>
    <row r="1800" spans="1:6" x14ac:dyDescent="0.15">
      <c r="A1800" t="s">
        <v>2964</v>
      </c>
      <c r="B1800" t="s">
        <v>1407</v>
      </c>
      <c r="C1800">
        <v>50</v>
      </c>
      <c r="D1800">
        <v>0.17</v>
      </c>
    </row>
    <row r="1801" spans="1:6" x14ac:dyDescent="0.15">
      <c r="A1801" t="s">
        <v>2965</v>
      </c>
      <c r="B1801" t="s">
        <v>87</v>
      </c>
      <c r="C1801">
        <v>165.1</v>
      </c>
      <c r="D1801">
        <v>0.01</v>
      </c>
    </row>
    <row r="1802" spans="1:6" x14ac:dyDescent="0.15">
      <c r="A1802" t="s">
        <v>1436</v>
      </c>
      <c r="B1802" t="s">
        <v>87</v>
      </c>
      <c r="C1802">
        <v>315</v>
      </c>
      <c r="D1802">
        <v>0.13</v>
      </c>
    </row>
    <row r="1803" spans="1:6" x14ac:dyDescent="0.15">
      <c r="A1803" t="s">
        <v>756</v>
      </c>
      <c r="B1803" t="s">
        <v>87</v>
      </c>
      <c r="C1803">
        <v>374.84848484848482</v>
      </c>
      <c r="D1803">
        <v>5.8819725141471296E-2</v>
      </c>
      <c r="E1803">
        <v>122.12121212121211</v>
      </c>
      <c r="F1803">
        <v>6.70471464019851E-2</v>
      </c>
    </row>
    <row r="1804" spans="1:6" x14ac:dyDescent="0.15">
      <c r="A1804" t="s">
        <v>757</v>
      </c>
      <c r="B1804" t="s">
        <v>87</v>
      </c>
      <c r="C1804">
        <v>79.004999999999995</v>
      </c>
      <c r="D1804">
        <v>4.1925954053540923E-2</v>
      </c>
      <c r="E1804">
        <v>61.122</v>
      </c>
      <c r="F1804">
        <v>3.989332809790256E-2</v>
      </c>
    </row>
    <row r="1805" spans="1:6" x14ac:dyDescent="0.15">
      <c r="A1805" t="s">
        <v>758</v>
      </c>
      <c r="B1805" t="s">
        <v>87</v>
      </c>
      <c r="C1805">
        <v>42.9</v>
      </c>
      <c r="D1805">
        <v>1.5244755244755248E-2</v>
      </c>
      <c r="E1805">
        <v>35</v>
      </c>
      <c r="F1805">
        <v>0.01</v>
      </c>
    </row>
    <row r="1806" spans="1:6" x14ac:dyDescent="0.15">
      <c r="A1806" t="s">
        <v>2966</v>
      </c>
      <c r="B1806" t="s">
        <v>87</v>
      </c>
      <c r="C1806">
        <v>23.630000000000003</v>
      </c>
      <c r="D1806">
        <v>4.1399999999999999E-2</v>
      </c>
    </row>
    <row r="1807" spans="1:6" x14ac:dyDescent="0.15">
      <c r="A1807" t="s">
        <v>759</v>
      </c>
      <c r="B1807" t="s">
        <v>87</v>
      </c>
      <c r="C1807">
        <v>59.3</v>
      </c>
      <c r="D1807">
        <v>0.5887566844919786</v>
      </c>
      <c r="E1807">
        <v>11.9</v>
      </c>
      <c r="F1807">
        <v>0.38</v>
      </c>
    </row>
    <row r="1808" spans="1:6" x14ac:dyDescent="0.15">
      <c r="A1808" t="s">
        <v>1414</v>
      </c>
      <c r="B1808" t="s">
        <v>87</v>
      </c>
      <c r="C1808">
        <v>23.09</v>
      </c>
      <c r="D1808">
        <v>4.1399999999999999E-2</v>
      </c>
    </row>
    <row r="1809" spans="1:6" x14ac:dyDescent="0.15">
      <c r="A1809" t="s">
        <v>2967</v>
      </c>
      <c r="B1809" t="s">
        <v>87</v>
      </c>
      <c r="C1809">
        <v>48.8</v>
      </c>
      <c r="D1809">
        <v>7.0000000000000007E-2</v>
      </c>
    </row>
    <row r="1810" spans="1:6" x14ac:dyDescent="0.15">
      <c r="A1810" t="s">
        <v>760</v>
      </c>
      <c r="B1810" t="s">
        <v>87</v>
      </c>
      <c r="C1810">
        <v>819.38775510204073</v>
      </c>
      <c r="D1810">
        <v>6.2425902864259031E-2</v>
      </c>
      <c r="E1810">
        <v>81.020408163265301</v>
      </c>
      <c r="F1810">
        <v>6.3753148614609567E-2</v>
      </c>
    </row>
    <row r="1811" spans="1:6" x14ac:dyDescent="0.15">
      <c r="A1811" t="s">
        <v>761</v>
      </c>
      <c r="B1811" t="s">
        <v>87</v>
      </c>
      <c r="C1811">
        <v>760.40000000000009</v>
      </c>
      <c r="D1811">
        <v>5.1566806943713836E-2</v>
      </c>
      <c r="E1811">
        <v>57.71</v>
      </c>
      <c r="F1811">
        <v>3.7771616704210711E-2</v>
      </c>
    </row>
    <row r="1812" spans="1:6" x14ac:dyDescent="0.15">
      <c r="A1812" t="s">
        <v>1415</v>
      </c>
      <c r="B1812" t="s">
        <v>87</v>
      </c>
      <c r="C1812">
        <v>259.81</v>
      </c>
      <c r="D1812">
        <v>6.0118009314499059E-2</v>
      </c>
    </row>
    <row r="1813" spans="1:6" x14ac:dyDescent="0.15">
      <c r="A1813" t="s">
        <v>2968</v>
      </c>
      <c r="B1813" t="s">
        <v>87</v>
      </c>
      <c r="C1813">
        <v>33.703703703703702</v>
      </c>
      <c r="D1813">
        <v>0.54</v>
      </c>
    </row>
    <row r="1814" spans="1:6" x14ac:dyDescent="0.15">
      <c r="A1814" t="s">
        <v>762</v>
      </c>
      <c r="B1814" t="s">
        <v>87</v>
      </c>
      <c r="C1814">
        <v>56.200959999999995</v>
      </c>
      <c r="D1814">
        <v>0.01</v>
      </c>
      <c r="E1814">
        <v>24.125</v>
      </c>
      <c r="F1814">
        <v>0.01</v>
      </c>
    </row>
    <row r="1815" spans="1:6" x14ac:dyDescent="0.15">
      <c r="A1815" t="s">
        <v>1416</v>
      </c>
      <c r="B1815" t="s">
        <v>87</v>
      </c>
      <c r="C1815">
        <v>586.5</v>
      </c>
      <c r="D1815">
        <v>4.4265984654731458E-2</v>
      </c>
    </row>
    <row r="1816" spans="1:6" x14ac:dyDescent="0.15">
      <c r="A1816" t="s">
        <v>763</v>
      </c>
      <c r="B1816" t="s">
        <v>87</v>
      </c>
      <c r="C1816">
        <v>175.7</v>
      </c>
      <c r="D1816">
        <v>3.2128628343767784E-2</v>
      </c>
      <c r="E1816">
        <v>46.7</v>
      </c>
      <c r="F1816">
        <v>4.1177730192719482E-2</v>
      </c>
    </row>
    <row r="1817" spans="1:6" x14ac:dyDescent="0.15">
      <c r="A1817" t="s">
        <v>960</v>
      </c>
      <c r="B1817" t="s">
        <v>87</v>
      </c>
      <c r="C1817">
        <v>148.61700000000002</v>
      </c>
      <c r="D1817">
        <v>0.01</v>
      </c>
    </row>
    <row r="1818" spans="1:6" x14ac:dyDescent="0.15">
      <c r="A1818" t="s">
        <v>764</v>
      </c>
      <c r="B1818" t="s">
        <v>87</v>
      </c>
      <c r="C1818">
        <v>29.03</v>
      </c>
      <c r="D1818">
        <v>4.1399999999999999E-2</v>
      </c>
      <c r="E1818">
        <v>12.2</v>
      </c>
      <c r="F1818">
        <v>4.1399999999999999E-2</v>
      </c>
    </row>
    <row r="1819" spans="1:6" x14ac:dyDescent="0.15">
      <c r="A1819" t="s">
        <v>1417</v>
      </c>
      <c r="B1819" t="s">
        <v>87</v>
      </c>
      <c r="C1819">
        <v>5.08</v>
      </c>
      <c r="D1819">
        <v>4.1399999999999999E-2</v>
      </c>
    </row>
    <row r="1820" spans="1:6" x14ac:dyDescent="0.15">
      <c r="A1820" t="s">
        <v>1418</v>
      </c>
      <c r="B1820" t="s">
        <v>87</v>
      </c>
      <c r="C1820">
        <v>6.6</v>
      </c>
      <c r="D1820">
        <v>4.1399999999999999E-2</v>
      </c>
    </row>
    <row r="1821" spans="1:6" x14ac:dyDescent="0.15">
      <c r="A1821" t="s">
        <v>1419</v>
      </c>
      <c r="B1821" t="s">
        <v>87</v>
      </c>
      <c r="C1821">
        <v>354.97199999999998</v>
      </c>
      <c r="D1821">
        <v>7.6246436338640811E-2</v>
      </c>
    </row>
    <row r="1822" spans="1:6" x14ac:dyDescent="0.15">
      <c r="A1822" t="s">
        <v>1420</v>
      </c>
      <c r="B1822" t="s">
        <v>87</v>
      </c>
      <c r="C1822">
        <v>20.478999999999999</v>
      </c>
      <c r="D1822">
        <v>1.0737550661653401E-2</v>
      </c>
    </row>
    <row r="1823" spans="1:6" x14ac:dyDescent="0.15">
      <c r="A1823" t="s">
        <v>2969</v>
      </c>
      <c r="B1823" t="s">
        <v>87</v>
      </c>
      <c r="C1823">
        <v>1.075</v>
      </c>
      <c r="D1823">
        <v>1.0999999999999999E-2</v>
      </c>
    </row>
    <row r="1824" spans="1:6" x14ac:dyDescent="0.15">
      <c r="A1824" t="s">
        <v>1421</v>
      </c>
      <c r="B1824" t="s">
        <v>87</v>
      </c>
      <c r="C1824">
        <v>32.56</v>
      </c>
      <c r="D1824">
        <v>4.6606142506142499E-2</v>
      </c>
    </row>
    <row r="1825" spans="1:6" x14ac:dyDescent="0.15">
      <c r="A1825" t="s">
        <v>2970</v>
      </c>
      <c r="B1825" t="s">
        <v>87</v>
      </c>
      <c r="C1825">
        <v>68.400000000000006</v>
      </c>
      <c r="D1825">
        <v>0.01</v>
      </c>
    </row>
    <row r="1826" spans="1:6" x14ac:dyDescent="0.15">
      <c r="A1826" t="s">
        <v>765</v>
      </c>
      <c r="B1826" t="s">
        <v>87</v>
      </c>
      <c r="C1826">
        <v>515</v>
      </c>
      <c r="D1826">
        <v>4.7545631067961176E-2</v>
      </c>
      <c r="E1826">
        <v>255.8</v>
      </c>
      <c r="F1826">
        <v>4.7623143080531664E-2</v>
      </c>
    </row>
    <row r="1827" spans="1:6" x14ac:dyDescent="0.15">
      <c r="A1827" t="s">
        <v>2971</v>
      </c>
      <c r="B1827" t="s">
        <v>87</v>
      </c>
      <c r="C1827">
        <v>48.1</v>
      </c>
      <c r="D1827">
        <v>0.01</v>
      </c>
    </row>
    <row r="1828" spans="1:6" x14ac:dyDescent="0.15">
      <c r="A1828" t="s">
        <v>1422</v>
      </c>
      <c r="B1828" t="s">
        <v>87</v>
      </c>
      <c r="C1828">
        <v>21.7</v>
      </c>
      <c r="D1828">
        <v>3.0061443932411679E-2</v>
      </c>
    </row>
    <row r="1829" spans="1:6" x14ac:dyDescent="0.15">
      <c r="A1829" t="s">
        <v>2972</v>
      </c>
      <c r="B1829" t="s">
        <v>87</v>
      </c>
      <c r="C1829">
        <v>106.30000000000001</v>
      </c>
      <c r="D1829">
        <v>0.01</v>
      </c>
    </row>
    <row r="1830" spans="1:6" x14ac:dyDescent="0.15">
      <c r="A1830" t="s">
        <v>2973</v>
      </c>
      <c r="B1830" t="s">
        <v>87</v>
      </c>
      <c r="C1830">
        <v>2.5</v>
      </c>
      <c r="D1830">
        <v>0.01</v>
      </c>
    </row>
    <row r="1831" spans="1:6" x14ac:dyDescent="0.15">
      <c r="A1831" t="s">
        <v>1423</v>
      </c>
      <c r="B1831" t="s">
        <v>87</v>
      </c>
      <c r="C1831">
        <v>109.6</v>
      </c>
      <c r="D1831">
        <v>4.1399999999999992E-2</v>
      </c>
    </row>
    <row r="1832" spans="1:6" x14ac:dyDescent="0.15">
      <c r="A1832" t="s">
        <v>766</v>
      </c>
      <c r="B1832" t="s">
        <v>87</v>
      </c>
      <c r="C1832">
        <v>35.400000000000006</v>
      </c>
      <c r="D1832">
        <v>0.01</v>
      </c>
      <c r="E1832">
        <v>34.200000000000003</v>
      </c>
      <c r="F1832">
        <v>0.01</v>
      </c>
    </row>
    <row r="1833" spans="1:6" x14ac:dyDescent="0.15">
      <c r="A1833" t="s">
        <v>1424</v>
      </c>
      <c r="B1833" t="s">
        <v>87</v>
      </c>
      <c r="C1833">
        <v>148.79</v>
      </c>
      <c r="D1833">
        <v>4.0526003091605617E-2</v>
      </c>
    </row>
    <row r="1834" spans="1:6" x14ac:dyDescent="0.15">
      <c r="A1834" t="s">
        <v>767</v>
      </c>
      <c r="B1834" t="s">
        <v>87</v>
      </c>
      <c r="C1834">
        <v>201.81</v>
      </c>
      <c r="D1834">
        <v>7.8847430751697145E-2</v>
      </c>
      <c r="E1834">
        <v>48.38</v>
      </c>
      <c r="F1834">
        <v>0.1038053777208707</v>
      </c>
    </row>
    <row r="1835" spans="1:6" x14ac:dyDescent="0.15">
      <c r="A1835" t="s">
        <v>1425</v>
      </c>
      <c r="B1835" t="s">
        <v>87</v>
      </c>
      <c r="C1835">
        <v>24.677</v>
      </c>
      <c r="D1835">
        <v>8.9997047568875582E-2</v>
      </c>
    </row>
    <row r="1836" spans="1:6" x14ac:dyDescent="0.15">
      <c r="A1836" t="s">
        <v>2974</v>
      </c>
      <c r="B1836" t="s">
        <v>87</v>
      </c>
      <c r="C1836">
        <v>213.17073170731709</v>
      </c>
      <c r="D1836">
        <v>9.7482837528604122E-2</v>
      </c>
    </row>
    <row r="1837" spans="1:6" x14ac:dyDescent="0.15">
      <c r="A1837" t="s">
        <v>768</v>
      </c>
      <c r="B1837" t="s">
        <v>87</v>
      </c>
      <c r="C1837">
        <v>151.22</v>
      </c>
      <c r="D1837">
        <v>0.10006480624256049</v>
      </c>
      <c r="E1837">
        <v>59.52</v>
      </c>
      <c r="F1837">
        <v>9.9180107526881708E-2</v>
      </c>
    </row>
    <row r="1838" spans="1:6" x14ac:dyDescent="0.15">
      <c r="A1838" t="s">
        <v>2975</v>
      </c>
      <c r="B1838" t="s">
        <v>87</v>
      </c>
      <c r="C1838">
        <v>19.390243902438996</v>
      </c>
      <c r="D1838">
        <v>4.1399999999999999E-2</v>
      </c>
    </row>
    <row r="1839" spans="1:6" x14ac:dyDescent="0.15">
      <c r="A1839" t="s">
        <v>1443</v>
      </c>
      <c r="B1839" t="s">
        <v>87</v>
      </c>
      <c r="C1839">
        <v>24.634146341463417</v>
      </c>
      <c r="D1839">
        <v>8.5300000000000015E-2</v>
      </c>
    </row>
    <row r="1840" spans="1:6" x14ac:dyDescent="0.15">
      <c r="A1840" t="s">
        <v>2976</v>
      </c>
      <c r="B1840" t="s">
        <v>87</v>
      </c>
      <c r="C1840">
        <v>101.99999999999999</v>
      </c>
      <c r="D1840">
        <v>3.7458823529411774E-2</v>
      </c>
    </row>
    <row r="1841" spans="1:6" x14ac:dyDescent="0.15">
      <c r="A1841" t="s">
        <v>769</v>
      </c>
      <c r="B1841" t="s">
        <v>87</v>
      </c>
      <c r="C1841">
        <v>15.89</v>
      </c>
      <c r="D1841">
        <v>2.5999999999999999E-2</v>
      </c>
      <c r="E1841">
        <v>4.5578099999999999</v>
      </c>
      <c r="F1841">
        <v>2.5999999999999999E-2</v>
      </c>
    </row>
    <row r="1842" spans="1:6" x14ac:dyDescent="0.15">
      <c r="A1842" t="s">
        <v>770</v>
      </c>
      <c r="B1842" t="s">
        <v>87</v>
      </c>
      <c r="C1842">
        <v>905.1219512195122</v>
      </c>
      <c r="D1842">
        <v>4.5735650767987059E-2</v>
      </c>
      <c r="E1842">
        <v>321.70731707317077</v>
      </c>
      <c r="F1842">
        <v>3.8760424564063686E-2</v>
      </c>
    </row>
    <row r="1843" spans="1:6" x14ac:dyDescent="0.15">
      <c r="A1843" t="s">
        <v>771</v>
      </c>
      <c r="B1843" t="s">
        <v>87</v>
      </c>
      <c r="C1843">
        <v>39.4</v>
      </c>
      <c r="D1843">
        <v>0.01</v>
      </c>
      <c r="E1843">
        <v>24.2</v>
      </c>
      <c r="F1843">
        <v>0.01</v>
      </c>
    </row>
    <row r="1844" spans="1:6" x14ac:dyDescent="0.15">
      <c r="A1844" t="s">
        <v>856</v>
      </c>
      <c r="B1844" t="s">
        <v>87</v>
      </c>
      <c r="C1844">
        <v>22.5</v>
      </c>
      <c r="D1844">
        <v>0.01</v>
      </c>
      <c r="E1844">
        <v>21.1</v>
      </c>
      <c r="F1844">
        <v>0.01</v>
      </c>
    </row>
    <row r="1845" spans="1:6" x14ac:dyDescent="0.15">
      <c r="A1845" t="s">
        <v>772</v>
      </c>
      <c r="B1845" t="s">
        <v>87</v>
      </c>
      <c r="C1845">
        <v>138.9</v>
      </c>
      <c r="D1845">
        <v>5.4341252699784001E-2</v>
      </c>
      <c r="E1845">
        <v>30</v>
      </c>
      <c r="F1845">
        <v>0.02</v>
      </c>
    </row>
    <row r="1846" spans="1:6" x14ac:dyDescent="0.15">
      <c r="A1846" t="s">
        <v>773</v>
      </c>
      <c r="B1846" t="s">
        <v>87</v>
      </c>
      <c r="C1846">
        <v>44.692999999999998</v>
      </c>
      <c r="D1846">
        <v>4.8321195712975183E-2</v>
      </c>
      <c r="E1846">
        <v>32.439</v>
      </c>
      <c r="F1846">
        <v>5.2031042880483366E-2</v>
      </c>
    </row>
    <row r="1847" spans="1:6" x14ac:dyDescent="0.15">
      <c r="A1847" t="s">
        <v>2977</v>
      </c>
      <c r="B1847" t="s">
        <v>87</v>
      </c>
      <c r="C1847">
        <v>11.547000000000001</v>
      </c>
      <c r="D1847">
        <v>4.7731012384169047E-2</v>
      </c>
    </row>
    <row r="1848" spans="1:6" x14ac:dyDescent="0.15">
      <c r="A1848" t="s">
        <v>1428</v>
      </c>
      <c r="B1848" t="s">
        <v>87</v>
      </c>
      <c r="C1848">
        <v>17.47</v>
      </c>
      <c r="D1848">
        <v>4.1399999999999999E-2</v>
      </c>
    </row>
    <row r="1849" spans="1:6" x14ac:dyDescent="0.15">
      <c r="A1849" t="s">
        <v>774</v>
      </c>
      <c r="B1849" t="s">
        <v>87</v>
      </c>
      <c r="C1849">
        <v>477.2</v>
      </c>
      <c r="D1849">
        <v>3.8977367979882653E-2</v>
      </c>
      <c r="E1849">
        <v>45.8</v>
      </c>
      <c r="F1849">
        <v>0.03</v>
      </c>
    </row>
    <row r="1850" spans="1:6" x14ac:dyDescent="0.15">
      <c r="A1850" t="s">
        <v>775</v>
      </c>
      <c r="B1850" t="s">
        <v>87</v>
      </c>
      <c r="C1850">
        <v>3709.3999999999996</v>
      </c>
      <c r="D1850">
        <v>0.10000000000000002</v>
      </c>
      <c r="E1850">
        <v>1295.8</v>
      </c>
      <c r="F1850">
        <v>0.10000000000000002</v>
      </c>
    </row>
    <row r="1851" spans="1:6" x14ac:dyDescent="0.15">
      <c r="A1851" t="s">
        <v>1442</v>
      </c>
      <c r="B1851" t="s">
        <v>87</v>
      </c>
      <c r="C1851">
        <v>39.74</v>
      </c>
      <c r="D1851">
        <v>8.5000000000000006E-2</v>
      </c>
    </row>
    <row r="1852" spans="1:6" x14ac:dyDescent="0.15">
      <c r="A1852" t="s">
        <v>776</v>
      </c>
      <c r="B1852" t="s">
        <v>87</v>
      </c>
      <c r="C1852">
        <v>29.19</v>
      </c>
      <c r="D1852">
        <v>2.0000000000000004E-2</v>
      </c>
      <c r="E1852">
        <v>18.73</v>
      </c>
      <c r="F1852">
        <v>0.02</v>
      </c>
    </row>
    <row r="1853" spans="1:6" x14ac:dyDescent="0.15">
      <c r="A1853" t="s">
        <v>962</v>
      </c>
      <c r="B1853" t="s">
        <v>87</v>
      </c>
      <c r="C1853">
        <v>121.42099999999999</v>
      </c>
      <c r="D1853">
        <v>9.215851211899094E-2</v>
      </c>
    </row>
    <row r="1854" spans="1:6" x14ac:dyDescent="0.15">
      <c r="A1854" t="s">
        <v>777</v>
      </c>
      <c r="B1854" t="s">
        <v>87</v>
      </c>
      <c r="C1854">
        <v>254.14000000000001</v>
      </c>
      <c r="D1854">
        <v>0.13891595183756986</v>
      </c>
      <c r="E1854">
        <v>103.79</v>
      </c>
      <c r="F1854">
        <v>0.12</v>
      </c>
    </row>
    <row r="1855" spans="1:6" x14ac:dyDescent="0.15">
      <c r="A1855" t="s">
        <v>2978</v>
      </c>
      <c r="B1855" t="s">
        <v>87</v>
      </c>
      <c r="C1855">
        <v>33.299999999999997</v>
      </c>
      <c r="D1855">
        <v>0.23</v>
      </c>
    </row>
    <row r="1856" spans="1:6" x14ac:dyDescent="0.15">
      <c r="A1856" t="s">
        <v>778</v>
      </c>
      <c r="B1856" t="s">
        <v>87</v>
      </c>
      <c r="C1856">
        <v>141</v>
      </c>
      <c r="D1856">
        <v>0.62748538011695909</v>
      </c>
      <c r="E1856">
        <v>35</v>
      </c>
      <c r="F1856">
        <v>0.54</v>
      </c>
    </row>
    <row r="1857" spans="1:6" x14ac:dyDescent="0.15">
      <c r="A1857" t="s">
        <v>779</v>
      </c>
      <c r="B1857" t="s">
        <v>87</v>
      </c>
      <c r="C1857">
        <v>183.29411764705881</v>
      </c>
      <c r="D1857">
        <v>4.0000000000000001E-3</v>
      </c>
      <c r="E1857">
        <v>16</v>
      </c>
      <c r="F1857">
        <v>4.0000000000000001E-3</v>
      </c>
    </row>
    <row r="1858" spans="1:6" x14ac:dyDescent="0.15">
      <c r="A1858" t="s">
        <v>857</v>
      </c>
      <c r="B1858" t="s">
        <v>87</v>
      </c>
      <c r="C1858">
        <v>6</v>
      </c>
      <c r="D1858">
        <v>0.01</v>
      </c>
      <c r="E1858">
        <v>4.8</v>
      </c>
      <c r="F1858">
        <v>0.01</v>
      </c>
    </row>
    <row r="1859" spans="1:6" x14ac:dyDescent="0.15">
      <c r="A1859" t="s">
        <v>780</v>
      </c>
      <c r="B1859" t="s">
        <v>87</v>
      </c>
      <c r="C1859">
        <v>100.17199999999998</v>
      </c>
      <c r="D1859">
        <v>2.0900000000000002E-2</v>
      </c>
      <c r="E1859">
        <v>45.211634000000004</v>
      </c>
      <c r="F1859">
        <v>2.0899999999999998E-2</v>
      </c>
    </row>
    <row r="1860" spans="1:6" x14ac:dyDescent="0.15">
      <c r="A1860" t="s">
        <v>968</v>
      </c>
      <c r="B1860" t="s">
        <v>87</v>
      </c>
      <c r="C1860">
        <v>1910</v>
      </c>
      <c r="D1860">
        <v>0.13</v>
      </c>
    </row>
    <row r="1861" spans="1:6" x14ac:dyDescent="0.15">
      <c r="A1861" t="s">
        <v>2979</v>
      </c>
      <c r="B1861" t="s">
        <v>87</v>
      </c>
      <c r="C1861">
        <v>1.44</v>
      </c>
      <c r="D1861">
        <v>1.3</v>
      </c>
    </row>
    <row r="1862" spans="1:6" x14ac:dyDescent="0.15">
      <c r="A1862" t="s">
        <v>2980</v>
      </c>
      <c r="B1862" t="s">
        <v>87</v>
      </c>
      <c r="C1862">
        <v>5.1340000000000003</v>
      </c>
      <c r="D1862">
        <v>2.7100000000000003E-2</v>
      </c>
    </row>
    <row r="1863" spans="1:6" x14ac:dyDescent="0.15">
      <c r="A1863" t="s">
        <v>1429</v>
      </c>
      <c r="B1863" t="s">
        <v>87</v>
      </c>
      <c r="C1863">
        <v>63.3</v>
      </c>
      <c r="D1863">
        <v>2.1661296998420222E-2</v>
      </c>
    </row>
    <row r="1864" spans="1:6" x14ac:dyDescent="0.15">
      <c r="A1864" t="s">
        <v>1437</v>
      </c>
      <c r="B1864" t="s">
        <v>87</v>
      </c>
      <c r="C1864">
        <v>18.128</v>
      </c>
      <c r="D1864">
        <v>0.11411187113857017</v>
      </c>
    </row>
    <row r="1865" spans="1:6" x14ac:dyDescent="0.15">
      <c r="A1865" t="s">
        <v>858</v>
      </c>
      <c r="B1865" t="s">
        <v>87</v>
      </c>
      <c r="C1865">
        <v>181.60000000000002</v>
      </c>
      <c r="D1865">
        <v>0.09</v>
      </c>
      <c r="E1865">
        <v>94.4</v>
      </c>
      <c r="F1865">
        <v>0.09</v>
      </c>
    </row>
    <row r="1866" spans="1:6" x14ac:dyDescent="0.15">
      <c r="A1866" t="s">
        <v>2981</v>
      </c>
      <c r="B1866" t="s">
        <v>87</v>
      </c>
      <c r="C1866">
        <v>26.01</v>
      </c>
      <c r="D1866">
        <v>0.64</v>
      </c>
    </row>
    <row r="1867" spans="1:6" x14ac:dyDescent="0.15">
      <c r="A1867" t="s">
        <v>2982</v>
      </c>
      <c r="B1867" t="s">
        <v>87</v>
      </c>
      <c r="C1867">
        <v>13.41</v>
      </c>
      <c r="D1867">
        <v>0.01</v>
      </c>
    </row>
    <row r="1868" spans="1:6" x14ac:dyDescent="0.15">
      <c r="A1868" t="s">
        <v>2983</v>
      </c>
      <c r="B1868" t="s">
        <v>87</v>
      </c>
      <c r="C1868">
        <v>84.995568000000006</v>
      </c>
      <c r="D1868">
        <v>8.7800000000000003E-2</v>
      </c>
    </row>
    <row r="1869" spans="1:6" x14ac:dyDescent="0.15">
      <c r="A1869" t="s">
        <v>2984</v>
      </c>
      <c r="B1869" t="s">
        <v>87</v>
      </c>
      <c r="C1869">
        <v>42.57</v>
      </c>
      <c r="D1869">
        <v>0.01</v>
      </c>
    </row>
    <row r="1870" spans="1:6" x14ac:dyDescent="0.15">
      <c r="A1870" t="s">
        <v>1444</v>
      </c>
      <c r="B1870" t="s">
        <v>87</v>
      </c>
      <c r="C1870">
        <v>605.33333333333337</v>
      </c>
      <c r="D1870">
        <v>7.0000000000000007E-2</v>
      </c>
    </row>
    <row r="1871" spans="1:6" x14ac:dyDescent="0.15">
      <c r="A1871" t="s">
        <v>781</v>
      </c>
      <c r="B1871" t="s">
        <v>87</v>
      </c>
      <c r="C1871">
        <v>270.5</v>
      </c>
      <c r="D1871">
        <v>3.0129390018484289E-2</v>
      </c>
      <c r="E1871">
        <v>76.900000000000006</v>
      </c>
      <c r="F1871">
        <v>1.9596879063719114E-2</v>
      </c>
    </row>
    <row r="1872" spans="1:6" x14ac:dyDescent="0.15">
      <c r="A1872" t="s">
        <v>782</v>
      </c>
      <c r="B1872" t="s">
        <v>87</v>
      </c>
      <c r="C1872">
        <v>3.6</v>
      </c>
      <c r="D1872">
        <v>4.1399999999999999E-2</v>
      </c>
      <c r="E1872">
        <v>3.6</v>
      </c>
      <c r="F1872">
        <v>4.1399999999999999E-2</v>
      </c>
    </row>
    <row r="1873" spans="1:6" x14ac:dyDescent="0.15">
      <c r="A1873" t="s">
        <v>1431</v>
      </c>
      <c r="B1873" t="s">
        <v>87</v>
      </c>
      <c r="C1873">
        <v>605.79</v>
      </c>
      <c r="D1873">
        <v>4.33055415242906E-2</v>
      </c>
    </row>
    <row r="1874" spans="1:6" x14ac:dyDescent="0.15">
      <c r="A1874" t="s">
        <v>783</v>
      </c>
      <c r="B1874" t="s">
        <v>87</v>
      </c>
      <c r="C1874">
        <v>241.70000000000002</v>
      </c>
      <c r="D1874">
        <v>2.8700868845676457E-2</v>
      </c>
      <c r="E1874">
        <v>97.5</v>
      </c>
      <c r="F1874">
        <v>1.4266666666666667E-2</v>
      </c>
    </row>
    <row r="1875" spans="1:6" x14ac:dyDescent="0.15">
      <c r="A1875" t="s">
        <v>1432</v>
      </c>
      <c r="B1875" t="s">
        <v>87</v>
      </c>
      <c r="C1875">
        <v>132.480493</v>
      </c>
      <c r="D1875">
        <v>7.7653716241831927E-2</v>
      </c>
    </row>
    <row r="1876" spans="1:6" x14ac:dyDescent="0.15">
      <c r="A1876" t="s">
        <v>1433</v>
      </c>
      <c r="B1876" t="s">
        <v>87</v>
      </c>
      <c r="C1876">
        <v>102.58000000000001</v>
      </c>
      <c r="D1876">
        <v>7.0668853577695451E-2</v>
      </c>
    </row>
    <row r="1877" spans="1:6" x14ac:dyDescent="0.15">
      <c r="A1877" t="s">
        <v>784</v>
      </c>
      <c r="B1877" t="s">
        <v>87</v>
      </c>
      <c r="C1877">
        <v>466.7</v>
      </c>
      <c r="D1877">
        <v>3.4883222626955222E-2</v>
      </c>
      <c r="E1877">
        <v>34.299999999999997</v>
      </c>
      <c r="F1877">
        <v>1.0612244897959186E-2</v>
      </c>
    </row>
    <row r="1878" spans="1:6" x14ac:dyDescent="0.15">
      <c r="A1878" t="s">
        <v>785</v>
      </c>
      <c r="B1878" t="s">
        <v>87</v>
      </c>
      <c r="C1878">
        <v>642.9</v>
      </c>
      <c r="D1878">
        <v>5.7475501633224457E-2</v>
      </c>
      <c r="E1878">
        <v>3.2</v>
      </c>
      <c r="F1878">
        <v>0.03</v>
      </c>
    </row>
    <row r="1879" spans="1:6" x14ac:dyDescent="0.15">
      <c r="A1879" t="s">
        <v>786</v>
      </c>
      <c r="B1879" t="s">
        <v>87</v>
      </c>
      <c r="C1879">
        <v>352.6</v>
      </c>
      <c r="D1879">
        <v>4.7878615995462281E-2</v>
      </c>
      <c r="E1879">
        <v>41.9</v>
      </c>
      <c r="F1879">
        <v>1.6109958506224063E-2</v>
      </c>
    </row>
    <row r="1880" spans="1:6" x14ac:dyDescent="0.15">
      <c r="A1880" t="s">
        <v>787</v>
      </c>
      <c r="B1880" t="s">
        <v>87</v>
      </c>
      <c r="C1880">
        <v>261.88235294117646</v>
      </c>
      <c r="D1880">
        <v>3.0134770889487877E-2</v>
      </c>
      <c r="E1880">
        <v>48</v>
      </c>
      <c r="F1880">
        <v>1.323529411764706E-2</v>
      </c>
    </row>
    <row r="1881" spans="1:6" x14ac:dyDescent="0.15">
      <c r="A1881" t="s">
        <v>2985</v>
      </c>
      <c r="B1881" t="s">
        <v>87</v>
      </c>
      <c r="C1881">
        <v>50.933</v>
      </c>
      <c r="D1881">
        <v>3.9721039467945925E-2</v>
      </c>
    </row>
    <row r="1882" spans="1:6" x14ac:dyDescent="0.15">
      <c r="A1882" t="s">
        <v>1439</v>
      </c>
      <c r="B1882" t="s">
        <v>87</v>
      </c>
      <c r="C1882">
        <v>46.966000000000001</v>
      </c>
      <c r="D1882">
        <v>0.1</v>
      </c>
    </row>
    <row r="1883" spans="1:6" x14ac:dyDescent="0.15">
      <c r="A1883" t="s">
        <v>1440</v>
      </c>
      <c r="B1883" t="s">
        <v>87</v>
      </c>
      <c r="C1883">
        <v>687.03</v>
      </c>
      <c r="D1883">
        <v>7.2732486208753638E-2</v>
      </c>
    </row>
    <row r="1884" spans="1:6" x14ac:dyDescent="0.15">
      <c r="A1884" t="s">
        <v>1434</v>
      </c>
      <c r="B1884" t="s">
        <v>87</v>
      </c>
      <c r="C1884">
        <v>16.331</v>
      </c>
      <c r="D1884">
        <v>3.1399999999999997E-2</v>
      </c>
    </row>
    <row r="1885" spans="1:6" x14ac:dyDescent="0.15">
      <c r="A1885" t="s">
        <v>2986</v>
      </c>
      <c r="B1885" t="s">
        <v>87</v>
      </c>
      <c r="C1885">
        <v>2.78</v>
      </c>
      <c r="D1885">
        <v>0.01</v>
      </c>
    </row>
    <row r="1886" spans="1:6" x14ac:dyDescent="0.15">
      <c r="A1886" t="s">
        <v>788</v>
      </c>
      <c r="B1886" t="s">
        <v>87</v>
      </c>
      <c r="C1886">
        <v>421.58</v>
      </c>
      <c r="D1886">
        <v>4.1234024384458466E-2</v>
      </c>
      <c r="E1886">
        <v>73.12</v>
      </c>
      <c r="F1886">
        <v>3.8750957330415753E-2</v>
      </c>
    </row>
    <row r="1887" spans="1:6" x14ac:dyDescent="0.15">
      <c r="A1887" t="s">
        <v>1435</v>
      </c>
      <c r="B1887" t="s">
        <v>87</v>
      </c>
      <c r="C1887">
        <v>77.42</v>
      </c>
      <c r="D1887">
        <v>7.2053022474812697E-2</v>
      </c>
    </row>
    <row r="1888" spans="1:6" x14ac:dyDescent="0.15">
      <c r="A1888" t="s">
        <v>2987</v>
      </c>
      <c r="B1888" t="s">
        <v>2988</v>
      </c>
      <c r="C1888">
        <v>10</v>
      </c>
      <c r="D1888">
        <v>0.13</v>
      </c>
    </row>
    <row r="1889" spans="1:6" x14ac:dyDescent="0.15">
      <c r="A1889" t="s">
        <v>2989</v>
      </c>
      <c r="B1889" t="s">
        <v>2988</v>
      </c>
      <c r="C1889">
        <v>34.200000000000003</v>
      </c>
      <c r="D1889">
        <v>0.1</v>
      </c>
    </row>
    <row r="1890" spans="1:6" x14ac:dyDescent="0.15">
      <c r="A1890" t="s">
        <v>2990</v>
      </c>
      <c r="B1890" t="s">
        <v>2988</v>
      </c>
      <c r="C1890">
        <v>1.4</v>
      </c>
      <c r="D1890">
        <v>0.3</v>
      </c>
    </row>
    <row r="1891" spans="1:6" x14ac:dyDescent="0.15">
      <c r="A1891" t="s">
        <v>2991</v>
      </c>
      <c r="B1891" t="s">
        <v>2988</v>
      </c>
      <c r="C1891">
        <v>5</v>
      </c>
      <c r="D1891">
        <v>0.11</v>
      </c>
    </row>
    <row r="1892" spans="1:6" x14ac:dyDescent="0.15">
      <c r="A1892" t="s">
        <v>970</v>
      </c>
      <c r="B1892" t="s">
        <v>320</v>
      </c>
      <c r="C1892">
        <v>6.3280000000000003</v>
      </c>
      <c r="D1892">
        <v>0.48825537294563842</v>
      </c>
    </row>
    <row r="1893" spans="1:6" x14ac:dyDescent="0.15">
      <c r="A1893" t="s">
        <v>2992</v>
      </c>
      <c r="B1893" t="s">
        <v>320</v>
      </c>
      <c r="C1893">
        <v>41</v>
      </c>
      <c r="D1893">
        <v>1.3</v>
      </c>
    </row>
    <row r="1894" spans="1:6" x14ac:dyDescent="0.15">
      <c r="A1894" t="s">
        <v>2993</v>
      </c>
      <c r="B1894" t="s">
        <v>320</v>
      </c>
      <c r="C1894">
        <v>17.399999999999999</v>
      </c>
      <c r="D1894">
        <v>0.76724137931034497</v>
      </c>
    </row>
    <row r="1895" spans="1:6" x14ac:dyDescent="0.15">
      <c r="A1895" t="s">
        <v>2994</v>
      </c>
      <c r="B1895" t="s">
        <v>320</v>
      </c>
      <c r="C1895">
        <v>37</v>
      </c>
      <c r="D1895">
        <v>0.35</v>
      </c>
    </row>
    <row r="1896" spans="1:6" x14ac:dyDescent="0.15">
      <c r="A1896" t="s">
        <v>2995</v>
      </c>
      <c r="B1896" t="s">
        <v>320</v>
      </c>
      <c r="C1896">
        <v>20</v>
      </c>
      <c r="D1896">
        <v>0.55000000000000004</v>
      </c>
    </row>
    <row r="1897" spans="1:6" x14ac:dyDescent="0.15">
      <c r="A1897" t="s">
        <v>2996</v>
      </c>
      <c r="B1897" t="s">
        <v>320</v>
      </c>
      <c r="C1897">
        <v>1.5</v>
      </c>
      <c r="D1897">
        <v>0.48699999999999999</v>
      </c>
    </row>
    <row r="1898" spans="1:6" x14ac:dyDescent="0.15">
      <c r="A1898" t="s">
        <v>789</v>
      </c>
      <c r="B1898" t="s">
        <v>320</v>
      </c>
      <c r="C1898">
        <v>43.2</v>
      </c>
      <c r="D1898">
        <v>1.8135416666666666</v>
      </c>
      <c r="E1898">
        <v>7.3</v>
      </c>
      <c r="F1898">
        <v>4.99</v>
      </c>
    </row>
    <row r="1899" spans="1:6" x14ac:dyDescent="0.15">
      <c r="A1899" t="s">
        <v>2997</v>
      </c>
      <c r="B1899" t="s">
        <v>320</v>
      </c>
      <c r="C1899">
        <v>4.2</v>
      </c>
      <c r="D1899">
        <v>0.45</v>
      </c>
    </row>
    <row r="1900" spans="1:6" x14ac:dyDescent="0.15">
      <c r="A1900" t="s">
        <v>2998</v>
      </c>
      <c r="B1900" t="s">
        <v>320</v>
      </c>
      <c r="C1900">
        <v>3.4</v>
      </c>
      <c r="D1900">
        <v>0.5</v>
      </c>
    </row>
    <row r="1901" spans="1:6" x14ac:dyDescent="0.15">
      <c r="A1901" t="s">
        <v>790</v>
      </c>
      <c r="B1901" t="s">
        <v>320</v>
      </c>
      <c r="C1901">
        <v>12.033000000000001</v>
      </c>
      <c r="D1901">
        <v>0.57107038976148916</v>
      </c>
      <c r="E1901">
        <v>2.1890000000000001</v>
      </c>
      <c r="F1901">
        <v>0.67</v>
      </c>
    </row>
    <row r="1902" spans="1:6" x14ac:dyDescent="0.15">
      <c r="A1902" t="s">
        <v>2999</v>
      </c>
      <c r="B1902" t="s">
        <v>320</v>
      </c>
      <c r="C1902">
        <v>1</v>
      </c>
      <c r="D1902">
        <v>1.33</v>
      </c>
    </row>
    <row r="1903" spans="1:6" x14ac:dyDescent="0.15">
      <c r="A1903" t="s">
        <v>3000</v>
      </c>
      <c r="B1903" t="s">
        <v>320</v>
      </c>
      <c r="C1903">
        <v>1</v>
      </c>
      <c r="D1903">
        <v>1.85</v>
      </c>
    </row>
    <row r="1904" spans="1:6" x14ac:dyDescent="0.15">
      <c r="A1904" t="s">
        <v>3001</v>
      </c>
      <c r="B1904" t="s">
        <v>320</v>
      </c>
      <c r="C1904">
        <v>1.9</v>
      </c>
      <c r="D1904">
        <v>1.5</v>
      </c>
    </row>
    <row r="1905" spans="1:6" x14ac:dyDescent="0.15">
      <c r="A1905" t="s">
        <v>3002</v>
      </c>
      <c r="B1905" t="s">
        <v>320</v>
      </c>
      <c r="C1905">
        <v>34</v>
      </c>
      <c r="D1905">
        <v>0.42</v>
      </c>
    </row>
    <row r="1906" spans="1:6" x14ac:dyDescent="0.15">
      <c r="A1906" t="s">
        <v>3003</v>
      </c>
      <c r="B1906" t="s">
        <v>320</v>
      </c>
      <c r="C1906">
        <v>61</v>
      </c>
      <c r="D1906">
        <v>1</v>
      </c>
    </row>
    <row r="1907" spans="1:6" x14ac:dyDescent="0.15">
      <c r="A1907" t="s">
        <v>3004</v>
      </c>
      <c r="B1907" t="s">
        <v>320</v>
      </c>
      <c r="C1907">
        <v>6</v>
      </c>
      <c r="D1907">
        <v>0.56999999999999995</v>
      </c>
    </row>
    <row r="1908" spans="1:6" x14ac:dyDescent="0.15">
      <c r="A1908" t="s">
        <v>3005</v>
      </c>
      <c r="B1908" t="s">
        <v>320</v>
      </c>
      <c r="C1908">
        <v>30.35</v>
      </c>
      <c r="D1908">
        <v>0.67</v>
      </c>
    </row>
    <row r="1909" spans="1:6" x14ac:dyDescent="0.15">
      <c r="A1909" t="s">
        <v>3006</v>
      </c>
      <c r="B1909" t="s">
        <v>320</v>
      </c>
      <c r="C1909">
        <v>108</v>
      </c>
      <c r="D1909">
        <v>0.692962962962963</v>
      </c>
    </row>
    <row r="1910" spans="1:6" x14ac:dyDescent="0.15">
      <c r="A1910" t="s">
        <v>3007</v>
      </c>
      <c r="B1910" t="s">
        <v>320</v>
      </c>
      <c r="C1910">
        <v>3</v>
      </c>
      <c r="D1910">
        <v>1.1000000000000001</v>
      </c>
    </row>
    <row r="1911" spans="1:6" x14ac:dyDescent="0.15">
      <c r="A1911" t="s">
        <v>3008</v>
      </c>
      <c r="B1911" t="s">
        <v>320</v>
      </c>
      <c r="C1911">
        <v>0.65</v>
      </c>
      <c r="D1911">
        <v>3.5</v>
      </c>
    </row>
    <row r="1912" spans="1:6" x14ac:dyDescent="0.15">
      <c r="A1912" t="s">
        <v>791</v>
      </c>
      <c r="B1912" t="s">
        <v>320</v>
      </c>
      <c r="C1912">
        <v>205</v>
      </c>
      <c r="D1912">
        <v>0.46039024390243904</v>
      </c>
      <c r="E1912">
        <v>123</v>
      </c>
      <c r="F1912">
        <v>0.49</v>
      </c>
    </row>
    <row r="1913" spans="1:6" x14ac:dyDescent="0.15">
      <c r="A1913" t="s">
        <v>3009</v>
      </c>
      <c r="B1913" t="s">
        <v>320</v>
      </c>
      <c r="C1913">
        <v>1.3</v>
      </c>
      <c r="D1913">
        <v>3</v>
      </c>
    </row>
    <row r="1914" spans="1:6" x14ac:dyDescent="0.15">
      <c r="A1914" t="s">
        <v>3010</v>
      </c>
      <c r="B1914" t="s">
        <v>320</v>
      </c>
      <c r="C1914">
        <v>4</v>
      </c>
      <c r="D1914">
        <v>1.2</v>
      </c>
    </row>
    <row r="1915" spans="1:6" x14ac:dyDescent="0.15">
      <c r="A1915" t="s">
        <v>3011</v>
      </c>
      <c r="B1915" t="s">
        <v>320</v>
      </c>
      <c r="C1915">
        <v>1</v>
      </c>
      <c r="D1915">
        <v>1.5</v>
      </c>
    </row>
    <row r="1916" spans="1:6" x14ac:dyDescent="0.15">
      <c r="A1916" t="s">
        <v>3012</v>
      </c>
      <c r="B1916" t="s">
        <v>320</v>
      </c>
      <c r="C1916">
        <v>13.326000000000001</v>
      </c>
      <c r="D1916">
        <v>0.74100480264145274</v>
      </c>
    </row>
    <row r="1917" spans="1:6" x14ac:dyDescent="0.15">
      <c r="A1917" t="s">
        <v>3013</v>
      </c>
      <c r="B1917" t="s">
        <v>320</v>
      </c>
      <c r="C1917">
        <v>22.5</v>
      </c>
      <c r="D1917">
        <v>0.13</v>
      </c>
    </row>
    <row r="1918" spans="1:6" x14ac:dyDescent="0.15">
      <c r="A1918" t="s">
        <v>3014</v>
      </c>
      <c r="B1918" t="s">
        <v>320</v>
      </c>
      <c r="C1918">
        <v>1</v>
      </c>
      <c r="D1918">
        <v>1.27</v>
      </c>
    </row>
    <row r="1919" spans="1:6" x14ac:dyDescent="0.15">
      <c r="A1919" t="s">
        <v>3015</v>
      </c>
      <c r="B1919" t="s">
        <v>3016</v>
      </c>
      <c r="C1919">
        <v>3.64</v>
      </c>
      <c r="D1919">
        <v>0.6</v>
      </c>
    </row>
    <row r="1920" spans="1:6" x14ac:dyDescent="0.15">
      <c r="A1920" t="s">
        <v>3017</v>
      </c>
      <c r="B1920" t="s">
        <v>3016</v>
      </c>
      <c r="C1920">
        <v>8.4</v>
      </c>
      <c r="D1920">
        <v>0.93</v>
      </c>
    </row>
    <row r="1921" spans="1:6" x14ac:dyDescent="0.15">
      <c r="A1921" t="s">
        <v>3018</v>
      </c>
      <c r="B1921" t="s">
        <v>3016</v>
      </c>
      <c r="C1921">
        <v>42.1</v>
      </c>
      <c r="D1921">
        <v>1.2503087885985749</v>
      </c>
    </row>
    <row r="1922" spans="1:6" x14ac:dyDescent="0.15">
      <c r="A1922" t="s">
        <v>3019</v>
      </c>
      <c r="B1922" t="s">
        <v>3016</v>
      </c>
      <c r="C1922">
        <v>67.8</v>
      </c>
      <c r="D1922">
        <v>1.037787610619469</v>
      </c>
    </row>
    <row r="1923" spans="1:6" x14ac:dyDescent="0.15">
      <c r="A1923" t="s">
        <v>3020</v>
      </c>
      <c r="B1923" t="s">
        <v>3021</v>
      </c>
      <c r="C1923">
        <v>20</v>
      </c>
      <c r="D1923">
        <v>5.9</v>
      </c>
    </row>
    <row r="1924" spans="1:6" x14ac:dyDescent="0.15">
      <c r="A1924" t="s">
        <v>3022</v>
      </c>
      <c r="B1924" t="s">
        <v>72</v>
      </c>
      <c r="C1924">
        <v>7.5</v>
      </c>
      <c r="D1924">
        <v>0.9</v>
      </c>
    </row>
    <row r="1925" spans="1:6" x14ac:dyDescent="0.15">
      <c r="A1925" t="s">
        <v>792</v>
      </c>
      <c r="B1925" t="s">
        <v>72</v>
      </c>
      <c r="C1925">
        <v>3073</v>
      </c>
      <c r="D1925">
        <v>0.18530100878620243</v>
      </c>
      <c r="E1925">
        <v>1227</v>
      </c>
      <c r="F1925">
        <v>0.23000000000000004</v>
      </c>
    </row>
    <row r="1926" spans="1:6" x14ac:dyDescent="0.15">
      <c r="A1926" t="s">
        <v>3023</v>
      </c>
      <c r="B1926" t="s">
        <v>72</v>
      </c>
      <c r="C1926">
        <v>0.6</v>
      </c>
      <c r="D1926">
        <v>0.11</v>
      </c>
    </row>
    <row r="1927" spans="1:6" x14ac:dyDescent="0.15">
      <c r="A1927" t="s">
        <v>3024</v>
      </c>
      <c r="B1927" t="s">
        <v>72</v>
      </c>
      <c r="C1927">
        <v>0.40489999999999998</v>
      </c>
      <c r="D1927">
        <v>0.55141269449246733</v>
      </c>
    </row>
    <row r="1928" spans="1:6" x14ac:dyDescent="0.15">
      <c r="A1928" t="s">
        <v>793</v>
      </c>
      <c r="B1928" t="s">
        <v>72</v>
      </c>
      <c r="C1928">
        <v>29.56</v>
      </c>
      <c r="D1928">
        <v>0.67165087956698233</v>
      </c>
      <c r="E1928">
        <v>10.39</v>
      </c>
      <c r="F1928">
        <v>0.56448508180943213</v>
      </c>
    </row>
    <row r="1929" spans="1:6" x14ac:dyDescent="0.15">
      <c r="A1929" t="s">
        <v>3025</v>
      </c>
      <c r="B1929" t="s">
        <v>72</v>
      </c>
      <c r="C1929">
        <v>0.33</v>
      </c>
      <c r="D1929">
        <v>0.04</v>
      </c>
    </row>
    <row r="1930" spans="1:6" x14ac:dyDescent="0.15">
      <c r="A1930" t="s">
        <v>3026</v>
      </c>
      <c r="B1930" t="s">
        <v>72</v>
      </c>
      <c r="C1930">
        <v>0.53</v>
      </c>
      <c r="D1930">
        <v>0.5</v>
      </c>
    </row>
    <row r="1931" spans="1:6" x14ac:dyDescent="0.15">
      <c r="A1931" t="s">
        <v>3027</v>
      </c>
      <c r="B1931" t="s">
        <v>72</v>
      </c>
      <c r="C1931">
        <v>0.57999999999999996</v>
      </c>
      <c r="D1931">
        <v>0.6</v>
      </c>
    </row>
    <row r="1932" spans="1:6" x14ac:dyDescent="0.15">
      <c r="A1932" t="s">
        <v>3028</v>
      </c>
      <c r="B1932" t="s">
        <v>72</v>
      </c>
      <c r="C1932">
        <v>3.5000000000000003E-2</v>
      </c>
      <c r="D1932">
        <v>0.18</v>
      </c>
    </row>
    <row r="1933" spans="1:6" x14ac:dyDescent="0.15">
      <c r="A1933" t="s">
        <v>794</v>
      </c>
      <c r="B1933" t="s">
        <v>72</v>
      </c>
      <c r="C1933">
        <v>122.5</v>
      </c>
      <c r="D1933">
        <v>5.1657142857142867E-2</v>
      </c>
      <c r="E1933">
        <v>39.799999999999997</v>
      </c>
      <c r="F1933">
        <v>4.6281407035175887E-2</v>
      </c>
    </row>
    <row r="1934" spans="1:6" x14ac:dyDescent="0.15">
      <c r="A1934" t="s">
        <v>3029</v>
      </c>
      <c r="B1934" t="s">
        <v>72</v>
      </c>
      <c r="C1934">
        <v>0.05</v>
      </c>
      <c r="D1934">
        <v>1.84</v>
      </c>
    </row>
    <row r="1935" spans="1:6" x14ac:dyDescent="0.15">
      <c r="A1935" t="s">
        <v>3030</v>
      </c>
      <c r="B1935" t="s">
        <v>72</v>
      </c>
      <c r="C1935">
        <v>0.156</v>
      </c>
      <c r="D1935">
        <v>0.27</v>
      </c>
    </row>
    <row r="1936" spans="1:6" x14ac:dyDescent="0.15">
      <c r="A1936" t="s">
        <v>3031</v>
      </c>
      <c r="B1936" t="s">
        <v>72</v>
      </c>
      <c r="C1936">
        <v>0.125</v>
      </c>
      <c r="D1936">
        <v>0.2</v>
      </c>
    </row>
    <row r="1937" spans="1:4" x14ac:dyDescent="0.15">
      <c r="A1937" t="s">
        <v>3032</v>
      </c>
      <c r="B1937" t="s">
        <v>72</v>
      </c>
      <c r="C1937">
        <v>0.12</v>
      </c>
      <c r="D1937">
        <v>0.32</v>
      </c>
    </row>
    <row r="1938" spans="1:4" x14ac:dyDescent="0.15">
      <c r="A1938" t="s">
        <v>3033</v>
      </c>
      <c r="B1938" t="s">
        <v>72</v>
      </c>
      <c r="C1938">
        <v>0.64500000000000002</v>
      </c>
      <c r="D1938">
        <v>0.66</v>
      </c>
    </row>
    <row r="1939" spans="1:4" x14ac:dyDescent="0.15">
      <c r="A1939" t="s">
        <v>1450</v>
      </c>
      <c r="B1939" t="s">
        <v>72</v>
      </c>
      <c r="C1939">
        <v>2</v>
      </c>
      <c r="D1939">
        <v>0.21</v>
      </c>
    </row>
    <row r="1940" spans="1:4" x14ac:dyDescent="0.15">
      <c r="A1940" t="s">
        <v>3034</v>
      </c>
      <c r="B1940" t="s">
        <v>72</v>
      </c>
      <c r="C1940">
        <v>1064.0999999999999</v>
      </c>
      <c r="D1940">
        <v>0.21480499953011939</v>
      </c>
    </row>
    <row r="1941" spans="1:4" x14ac:dyDescent="0.15">
      <c r="A1941" t="s">
        <v>3035</v>
      </c>
      <c r="B1941" t="s">
        <v>72</v>
      </c>
      <c r="C1941">
        <v>5.1399140000000001</v>
      </c>
      <c r="D1941">
        <v>1.2470000000000001</v>
      </c>
    </row>
    <row r="1942" spans="1:4" x14ac:dyDescent="0.15">
      <c r="A1942" t="s">
        <v>3036</v>
      </c>
      <c r="B1942" t="s">
        <v>72</v>
      </c>
      <c r="C1942">
        <v>5.4</v>
      </c>
      <c r="D1942">
        <v>0.8</v>
      </c>
    </row>
    <row r="1943" spans="1:4" x14ac:dyDescent="0.15">
      <c r="A1943" t="s">
        <v>3037</v>
      </c>
      <c r="B1943" t="s">
        <v>72</v>
      </c>
      <c r="C1943">
        <v>0.38999999999999996</v>
      </c>
      <c r="D1943">
        <v>0.34597435897435902</v>
      </c>
    </row>
    <row r="1944" spans="1:4" x14ac:dyDescent="0.15">
      <c r="A1944" t="s">
        <v>3038</v>
      </c>
      <c r="B1944" t="s">
        <v>72</v>
      </c>
      <c r="C1944">
        <v>16</v>
      </c>
      <c r="D1944">
        <v>1.42</v>
      </c>
    </row>
    <row r="1945" spans="1:4" x14ac:dyDescent="0.15">
      <c r="A1945" t="s">
        <v>3039</v>
      </c>
      <c r="B1945" t="s">
        <v>72</v>
      </c>
      <c r="C1945">
        <v>0.54</v>
      </c>
      <c r="D1945">
        <v>0.30666666666666664</v>
      </c>
    </row>
    <row r="1946" spans="1:4" x14ac:dyDescent="0.15">
      <c r="A1946" t="s">
        <v>3040</v>
      </c>
      <c r="B1946" t="s">
        <v>72</v>
      </c>
      <c r="C1946">
        <v>2.343</v>
      </c>
      <c r="D1946">
        <v>0.73</v>
      </c>
    </row>
    <row r="1947" spans="1:4" x14ac:dyDescent="0.15">
      <c r="A1947" t="s">
        <v>3041</v>
      </c>
      <c r="B1947" t="s">
        <v>72</v>
      </c>
      <c r="C1947">
        <v>0.29599999999999999</v>
      </c>
      <c r="D1947">
        <v>0.53</v>
      </c>
    </row>
    <row r="1948" spans="1:4" x14ac:dyDescent="0.15">
      <c r="A1948" t="s">
        <v>3042</v>
      </c>
      <c r="B1948" t="s">
        <v>72</v>
      </c>
      <c r="C1948">
        <v>2.2999999999999998</v>
      </c>
      <c r="D1948">
        <v>1.7</v>
      </c>
    </row>
    <row r="1949" spans="1:4" x14ac:dyDescent="0.15">
      <c r="A1949" t="s">
        <v>3043</v>
      </c>
      <c r="B1949" t="s">
        <v>72</v>
      </c>
      <c r="C1949">
        <v>10.9</v>
      </c>
      <c r="D1949">
        <v>0.31</v>
      </c>
    </row>
    <row r="1950" spans="1:4" x14ac:dyDescent="0.15">
      <c r="A1950" t="s">
        <v>3044</v>
      </c>
      <c r="B1950" t="s">
        <v>72</v>
      </c>
      <c r="C1950">
        <v>0.7</v>
      </c>
      <c r="D1950">
        <v>1.66</v>
      </c>
    </row>
    <row r="1951" spans="1:4" x14ac:dyDescent="0.15">
      <c r="A1951" t="s">
        <v>3045</v>
      </c>
      <c r="B1951" t="s">
        <v>72</v>
      </c>
      <c r="C1951">
        <v>10</v>
      </c>
      <c r="D1951">
        <v>1.8239999999999998</v>
      </c>
    </row>
    <row r="1952" spans="1:4" x14ac:dyDescent="0.15">
      <c r="A1952" t="s">
        <v>1448</v>
      </c>
      <c r="B1952" t="s">
        <v>72</v>
      </c>
      <c r="C1952">
        <v>6.37</v>
      </c>
      <c r="D1952">
        <v>0.04</v>
      </c>
    </row>
    <row r="1953" spans="1:6" x14ac:dyDescent="0.15">
      <c r="A1953" t="s">
        <v>3046</v>
      </c>
      <c r="B1953" t="s">
        <v>72</v>
      </c>
      <c r="C1953">
        <v>4.9599919999999997</v>
      </c>
      <c r="D1953">
        <v>1.35</v>
      </c>
    </row>
    <row r="1954" spans="1:6" x14ac:dyDescent="0.15">
      <c r="A1954" t="s">
        <v>3047</v>
      </c>
      <c r="B1954" t="s">
        <v>72</v>
      </c>
      <c r="C1954">
        <v>0.2</v>
      </c>
      <c r="D1954">
        <v>0.7</v>
      </c>
    </row>
    <row r="1955" spans="1:6" x14ac:dyDescent="0.15">
      <c r="A1955" t="s">
        <v>3048</v>
      </c>
      <c r="B1955" t="s">
        <v>72</v>
      </c>
      <c r="C1955">
        <v>6</v>
      </c>
      <c r="D1955">
        <v>0.72</v>
      </c>
    </row>
    <row r="1956" spans="1:6" x14ac:dyDescent="0.15">
      <c r="A1956" t="s">
        <v>3049</v>
      </c>
      <c r="B1956" t="s">
        <v>72</v>
      </c>
      <c r="C1956">
        <v>44</v>
      </c>
      <c r="D1956">
        <v>0.27</v>
      </c>
    </row>
    <row r="1957" spans="1:6" x14ac:dyDescent="0.15">
      <c r="A1957" t="s">
        <v>3050</v>
      </c>
      <c r="B1957" t="s">
        <v>72</v>
      </c>
      <c r="C1957">
        <v>0.16900000000000001</v>
      </c>
      <c r="D1957">
        <v>0.89</v>
      </c>
    </row>
    <row r="1958" spans="1:6" x14ac:dyDescent="0.15">
      <c r="A1958" t="s">
        <v>1447</v>
      </c>
      <c r="B1958" t="s">
        <v>72</v>
      </c>
      <c r="C1958">
        <v>3062</v>
      </c>
      <c r="D1958">
        <v>1.1971913781841934E-2</v>
      </c>
    </row>
    <row r="1959" spans="1:6" x14ac:dyDescent="0.15">
      <c r="A1959" t="s">
        <v>3051</v>
      </c>
      <c r="B1959" t="s">
        <v>72</v>
      </c>
      <c r="C1959">
        <v>0.01</v>
      </c>
      <c r="D1959">
        <v>0.23</v>
      </c>
    </row>
    <row r="1960" spans="1:6" x14ac:dyDescent="0.15">
      <c r="A1960" t="s">
        <v>3052</v>
      </c>
      <c r="B1960" t="s">
        <v>72</v>
      </c>
      <c r="C1960">
        <v>63.86</v>
      </c>
      <c r="D1960">
        <v>1.05</v>
      </c>
    </row>
    <row r="1961" spans="1:6" x14ac:dyDescent="0.15">
      <c r="A1961" t="s">
        <v>795</v>
      </c>
      <c r="B1961" t="s">
        <v>72</v>
      </c>
      <c r="C1961">
        <v>5.479000000000001</v>
      </c>
      <c r="D1961">
        <v>2.7817849972622737</v>
      </c>
      <c r="E1961">
        <v>3.4750000000000001</v>
      </c>
      <c r="F1961">
        <v>2.5</v>
      </c>
    </row>
    <row r="1962" spans="1:6" x14ac:dyDescent="0.15">
      <c r="A1962" t="s">
        <v>3053</v>
      </c>
      <c r="B1962" t="s">
        <v>3054</v>
      </c>
      <c r="C1962">
        <v>7.3</v>
      </c>
      <c r="D1962">
        <v>0.3</v>
      </c>
    </row>
    <row r="1963" spans="1:6" x14ac:dyDescent="0.15">
      <c r="A1963" t="s">
        <v>796</v>
      </c>
      <c r="B1963" t="s">
        <v>875</v>
      </c>
      <c r="C1963">
        <v>62.848200312989036</v>
      </c>
      <c r="D1963">
        <v>0.53101053820097865</v>
      </c>
      <c r="E1963">
        <v>20.79029733959311</v>
      </c>
      <c r="F1963">
        <v>0.53101053820097865</v>
      </c>
    </row>
    <row r="1964" spans="1:6" x14ac:dyDescent="0.15">
      <c r="A1964" t="s">
        <v>797</v>
      </c>
      <c r="B1964" t="s">
        <v>875</v>
      </c>
      <c r="C1964">
        <v>62.48982785602503</v>
      </c>
      <c r="D1964">
        <v>0.12117875835816783</v>
      </c>
      <c r="E1964">
        <v>14.682316118935837</v>
      </c>
      <c r="F1964">
        <v>9.9686527392879989E-2</v>
      </c>
    </row>
    <row r="1965" spans="1:6" x14ac:dyDescent="0.15">
      <c r="A1965" t="s">
        <v>1460</v>
      </c>
      <c r="B1965" t="s">
        <v>875</v>
      </c>
      <c r="C1965">
        <v>58.2</v>
      </c>
      <c r="D1965">
        <v>0.33360824742268042</v>
      </c>
    </row>
    <row r="1966" spans="1:6" x14ac:dyDescent="0.15">
      <c r="A1966" t="s">
        <v>3055</v>
      </c>
      <c r="B1966" t="s">
        <v>875</v>
      </c>
      <c r="C1966">
        <v>113.1</v>
      </c>
      <c r="D1966">
        <v>0.1</v>
      </c>
    </row>
    <row r="1967" spans="1:6" x14ac:dyDescent="0.15">
      <c r="A1967" t="s">
        <v>1461</v>
      </c>
      <c r="B1967" t="s">
        <v>875</v>
      </c>
      <c r="C1967">
        <v>57.823</v>
      </c>
      <c r="D1967">
        <v>0.10982763991278165</v>
      </c>
    </row>
    <row r="1968" spans="1:6" x14ac:dyDescent="0.15">
      <c r="A1968" t="s">
        <v>3056</v>
      </c>
      <c r="B1968" t="s">
        <v>3057</v>
      </c>
      <c r="C1968">
        <v>76.400000000000006</v>
      </c>
      <c r="D1968">
        <v>1.59</v>
      </c>
    </row>
    <row r="1969" spans="1:6" x14ac:dyDescent="0.15">
      <c r="A1969" t="s">
        <v>3058</v>
      </c>
      <c r="B1969" t="s">
        <v>3057</v>
      </c>
      <c r="C1969">
        <v>200</v>
      </c>
      <c r="D1969">
        <v>0.50519999999999998</v>
      </c>
    </row>
    <row r="1970" spans="1:6" x14ac:dyDescent="0.15">
      <c r="A1970" t="s">
        <v>3059</v>
      </c>
      <c r="B1970" t="s">
        <v>79</v>
      </c>
      <c r="C1970">
        <v>1.88</v>
      </c>
      <c r="D1970">
        <v>0.47</v>
      </c>
    </row>
    <row r="1971" spans="1:6" x14ac:dyDescent="0.15">
      <c r="A1971" t="s">
        <v>3060</v>
      </c>
      <c r="B1971" t="s">
        <v>79</v>
      </c>
      <c r="C1971">
        <v>4</v>
      </c>
      <c r="D1971">
        <v>2.87</v>
      </c>
    </row>
    <row r="1972" spans="1:6" x14ac:dyDescent="0.15">
      <c r="A1972" t="s">
        <v>3061</v>
      </c>
      <c r="B1972" t="s">
        <v>79</v>
      </c>
      <c r="C1972">
        <v>2</v>
      </c>
      <c r="D1972">
        <v>0.4</v>
      </c>
    </row>
    <row r="1973" spans="1:6" x14ac:dyDescent="0.15">
      <c r="A1973" t="s">
        <v>3062</v>
      </c>
      <c r="B1973" t="s">
        <v>79</v>
      </c>
      <c r="C1973">
        <v>5.8</v>
      </c>
      <c r="D1973">
        <v>0.6</v>
      </c>
    </row>
    <row r="1974" spans="1:6" x14ac:dyDescent="0.15">
      <c r="A1974" t="s">
        <v>3063</v>
      </c>
      <c r="B1974" t="s">
        <v>79</v>
      </c>
      <c r="C1974">
        <v>200</v>
      </c>
      <c r="D1974">
        <v>0.18</v>
      </c>
    </row>
    <row r="1975" spans="1:6" x14ac:dyDescent="0.15">
      <c r="A1975" t="s">
        <v>3064</v>
      </c>
      <c r="B1975" t="s">
        <v>79</v>
      </c>
      <c r="C1975">
        <v>145</v>
      </c>
      <c r="D1975">
        <v>0.22</v>
      </c>
    </row>
    <row r="1976" spans="1:6" x14ac:dyDescent="0.15">
      <c r="A1976" t="s">
        <v>3065</v>
      </c>
      <c r="B1976" t="s">
        <v>79</v>
      </c>
      <c r="C1976">
        <v>26</v>
      </c>
      <c r="D1976">
        <v>0.32</v>
      </c>
    </row>
    <row r="1977" spans="1:6" x14ac:dyDescent="0.15">
      <c r="A1977" t="s">
        <v>3066</v>
      </c>
      <c r="B1977" t="s">
        <v>79</v>
      </c>
      <c r="C1977">
        <v>0.09</v>
      </c>
      <c r="D1977">
        <v>3.18</v>
      </c>
    </row>
    <row r="1978" spans="1:6" x14ac:dyDescent="0.15">
      <c r="A1978" t="s">
        <v>3067</v>
      </c>
      <c r="B1978" t="s">
        <v>79</v>
      </c>
      <c r="C1978">
        <v>20.5</v>
      </c>
      <c r="D1978">
        <v>1.37</v>
      </c>
    </row>
    <row r="1979" spans="1:6" x14ac:dyDescent="0.15">
      <c r="A1979" t="s">
        <v>798</v>
      </c>
      <c r="B1979" t="s">
        <v>79</v>
      </c>
      <c r="C1979">
        <v>11.925000000000001</v>
      </c>
      <c r="D1979">
        <v>2.9463916142557651</v>
      </c>
      <c r="E1979">
        <v>5.8360000000000003</v>
      </c>
      <c r="F1979">
        <v>2.75</v>
      </c>
    </row>
    <row r="1980" spans="1:6" x14ac:dyDescent="0.15">
      <c r="A1980" t="s">
        <v>3068</v>
      </c>
      <c r="B1980" t="s">
        <v>79</v>
      </c>
      <c r="C1980">
        <v>3.9000000000000004</v>
      </c>
      <c r="D1980">
        <v>5.2</v>
      </c>
    </row>
    <row r="1981" spans="1:6" x14ac:dyDescent="0.15">
      <c r="A1981" t="s">
        <v>3069</v>
      </c>
      <c r="B1981" t="s">
        <v>79</v>
      </c>
      <c r="C1981">
        <v>445.73</v>
      </c>
      <c r="D1981">
        <v>0.38</v>
      </c>
    </row>
    <row r="1982" spans="1:6" x14ac:dyDescent="0.15">
      <c r="A1982" t="s">
        <v>799</v>
      </c>
      <c r="B1982" t="s">
        <v>79</v>
      </c>
      <c r="C1982">
        <v>157.28100000000001</v>
      </c>
      <c r="D1982">
        <v>0.12264386670990138</v>
      </c>
      <c r="E1982">
        <v>58.884</v>
      </c>
      <c r="F1982">
        <v>0.11</v>
      </c>
    </row>
    <row r="1983" spans="1:6" x14ac:dyDescent="0.15">
      <c r="A1983" t="s">
        <v>3070</v>
      </c>
      <c r="B1983" t="s">
        <v>79</v>
      </c>
      <c r="C1983">
        <v>3.7</v>
      </c>
      <c r="D1983">
        <v>0.25</v>
      </c>
    </row>
    <row r="1984" spans="1:6" x14ac:dyDescent="0.15">
      <c r="A1984" t="s">
        <v>3071</v>
      </c>
      <c r="B1984" t="s">
        <v>79</v>
      </c>
      <c r="C1984">
        <v>270.5</v>
      </c>
      <c r="D1984">
        <v>0.28000000000000003</v>
      </c>
    </row>
    <row r="1985" spans="1:4" x14ac:dyDescent="0.15">
      <c r="A1985" t="s">
        <v>3072</v>
      </c>
      <c r="B1985" t="s">
        <v>79</v>
      </c>
      <c r="C1985">
        <v>14.938999999999998</v>
      </c>
      <c r="D1985">
        <v>1.4115476270165339</v>
      </c>
    </row>
    <row r="1986" spans="1:4" x14ac:dyDescent="0.15">
      <c r="A1986" t="s">
        <v>3073</v>
      </c>
      <c r="B1986" t="s">
        <v>79</v>
      </c>
      <c r="C1986">
        <v>80</v>
      </c>
      <c r="D1986">
        <v>0.5</v>
      </c>
    </row>
    <row r="1987" spans="1:4" x14ac:dyDescent="0.15">
      <c r="A1987" t="s">
        <v>3074</v>
      </c>
      <c r="B1987" t="s">
        <v>79</v>
      </c>
      <c r="C1987">
        <v>186.2</v>
      </c>
      <c r="D1987">
        <v>0.3</v>
      </c>
    </row>
    <row r="1988" spans="1:4" x14ac:dyDescent="0.15">
      <c r="A1988" t="s">
        <v>3075</v>
      </c>
      <c r="B1988" t="s">
        <v>79</v>
      </c>
      <c r="C1988">
        <v>0.04</v>
      </c>
      <c r="D1988">
        <v>1.6</v>
      </c>
    </row>
    <row r="1989" spans="1:4" x14ac:dyDescent="0.15">
      <c r="A1989" t="s">
        <v>3076</v>
      </c>
      <c r="B1989" t="s">
        <v>79</v>
      </c>
      <c r="C1989">
        <v>533.18299999999999</v>
      </c>
      <c r="D1989">
        <v>0.19220042649521835</v>
      </c>
    </row>
    <row r="1990" spans="1:4" x14ac:dyDescent="0.15">
      <c r="A1990" t="s">
        <v>3077</v>
      </c>
      <c r="B1990" t="s">
        <v>79</v>
      </c>
      <c r="C1990">
        <v>12</v>
      </c>
      <c r="D1990">
        <v>1.56</v>
      </c>
    </row>
    <row r="1991" spans="1:4" x14ac:dyDescent="0.15">
      <c r="A1991" t="s">
        <v>3078</v>
      </c>
      <c r="B1991" t="s">
        <v>79</v>
      </c>
      <c r="C1991">
        <v>1.9</v>
      </c>
      <c r="D1991">
        <v>0.84499999999999997</v>
      </c>
    </row>
    <row r="1992" spans="1:4" x14ac:dyDescent="0.15">
      <c r="A1992" t="s">
        <v>3079</v>
      </c>
      <c r="B1992" t="s">
        <v>79</v>
      </c>
      <c r="C1992">
        <v>8.3640000000000008</v>
      </c>
      <c r="D1992">
        <v>2.0252510760401718</v>
      </c>
    </row>
    <row r="1993" spans="1:4" x14ac:dyDescent="0.15">
      <c r="A1993" t="s">
        <v>3080</v>
      </c>
      <c r="B1993" t="s">
        <v>79</v>
      </c>
      <c r="C1993">
        <v>15.7</v>
      </c>
      <c r="D1993">
        <v>0.61108280254777081</v>
      </c>
    </row>
    <row r="1994" spans="1:4" x14ac:dyDescent="0.15">
      <c r="A1994" t="s">
        <v>3081</v>
      </c>
      <c r="B1994" t="s">
        <v>79</v>
      </c>
      <c r="C1994">
        <v>236.7</v>
      </c>
      <c r="D1994">
        <v>0.28999999999999998</v>
      </c>
    </row>
    <row r="1995" spans="1:4" x14ac:dyDescent="0.15">
      <c r="A1995" t="s">
        <v>3082</v>
      </c>
      <c r="B1995" t="s">
        <v>79</v>
      </c>
      <c r="C1995">
        <v>0.65800000000000003</v>
      </c>
      <c r="D1995">
        <v>0.63</v>
      </c>
    </row>
    <row r="1996" spans="1:4" x14ac:dyDescent="0.15">
      <c r="A1996" t="s">
        <v>3083</v>
      </c>
      <c r="B1996" t="s">
        <v>79</v>
      </c>
      <c r="C1996">
        <v>3.62</v>
      </c>
      <c r="D1996">
        <v>1</v>
      </c>
    </row>
    <row r="1997" spans="1:4" x14ac:dyDescent="0.15">
      <c r="A1997" t="s">
        <v>3084</v>
      </c>
      <c r="B1997" t="s">
        <v>79</v>
      </c>
      <c r="C1997">
        <v>0.19</v>
      </c>
      <c r="D1997">
        <v>2.27</v>
      </c>
    </row>
    <row r="1998" spans="1:4" x14ac:dyDescent="0.15">
      <c r="A1998" t="s">
        <v>3085</v>
      </c>
      <c r="B1998" t="s">
        <v>79</v>
      </c>
      <c r="C1998">
        <v>3.3</v>
      </c>
      <c r="D1998">
        <v>1.1100000000000001</v>
      </c>
    </row>
    <row r="1999" spans="1:4" x14ac:dyDescent="0.15">
      <c r="A1999" t="s">
        <v>3086</v>
      </c>
      <c r="B1999" t="s">
        <v>79</v>
      </c>
      <c r="C1999">
        <v>81.942999999999998</v>
      </c>
      <c r="D1999">
        <v>0.23913769327459336</v>
      </c>
    </row>
    <row r="2000" spans="1:4" x14ac:dyDescent="0.15">
      <c r="A2000" t="s">
        <v>3087</v>
      </c>
      <c r="B2000" t="s">
        <v>79</v>
      </c>
      <c r="C2000">
        <v>11.23</v>
      </c>
      <c r="D2000">
        <v>1.56</v>
      </c>
    </row>
    <row r="2001" spans="1:4" x14ac:dyDescent="0.15">
      <c r="A2001" t="s">
        <v>3088</v>
      </c>
      <c r="B2001" t="s">
        <v>79</v>
      </c>
      <c r="C2001">
        <v>3.3</v>
      </c>
      <c r="D2001">
        <v>1.1100000000000001</v>
      </c>
    </row>
    <row r="2002" spans="1:4" x14ac:dyDescent="0.15">
      <c r="A2002" t="s">
        <v>3089</v>
      </c>
      <c r="B2002" t="s">
        <v>79</v>
      </c>
      <c r="C2002">
        <v>0.57299999999999995</v>
      </c>
      <c r="D2002">
        <v>0.8</v>
      </c>
    </row>
    <row r="2003" spans="1:4" x14ac:dyDescent="0.15">
      <c r="A2003" t="s">
        <v>3090</v>
      </c>
      <c r="B2003" t="s">
        <v>79</v>
      </c>
      <c r="C2003">
        <v>5.0999999999999996</v>
      </c>
      <c r="D2003">
        <v>0.8</v>
      </c>
    </row>
    <row r="2004" spans="1:4" x14ac:dyDescent="0.15">
      <c r="A2004" t="s">
        <v>3091</v>
      </c>
      <c r="B2004" t="s">
        <v>79</v>
      </c>
      <c r="C2004">
        <v>0.73</v>
      </c>
      <c r="D2004">
        <v>3.23</v>
      </c>
    </row>
    <row r="2005" spans="1:4" x14ac:dyDescent="0.15">
      <c r="A2005" t="s">
        <v>3092</v>
      </c>
      <c r="B2005" t="s">
        <v>79</v>
      </c>
      <c r="C2005">
        <v>0.96299999999999997</v>
      </c>
      <c r="D2005">
        <v>1.31</v>
      </c>
    </row>
    <row r="2006" spans="1:4" x14ac:dyDescent="0.15">
      <c r="A2006" t="s">
        <v>3093</v>
      </c>
      <c r="B2006" t="s">
        <v>79</v>
      </c>
      <c r="C2006">
        <v>33.83</v>
      </c>
      <c r="D2006">
        <v>0.12816435116760272</v>
      </c>
    </row>
    <row r="2007" spans="1:4" x14ac:dyDescent="0.15">
      <c r="A2007" t="s">
        <v>3094</v>
      </c>
      <c r="B2007" t="s">
        <v>79</v>
      </c>
      <c r="C2007">
        <v>11.23</v>
      </c>
      <c r="D2007">
        <v>1.56</v>
      </c>
    </row>
    <row r="2008" spans="1:4" x14ac:dyDescent="0.15">
      <c r="A2008" t="s">
        <v>3095</v>
      </c>
      <c r="B2008" t="s">
        <v>79</v>
      </c>
      <c r="C2008">
        <v>0.5</v>
      </c>
      <c r="D2008">
        <v>2.4</v>
      </c>
    </row>
    <row r="2009" spans="1:4" x14ac:dyDescent="0.15">
      <c r="A2009" t="s">
        <v>3096</v>
      </c>
      <c r="B2009" t="s">
        <v>79</v>
      </c>
      <c r="C2009">
        <v>1.2</v>
      </c>
      <c r="D2009">
        <v>1.5</v>
      </c>
    </row>
    <row r="2010" spans="1:4" x14ac:dyDescent="0.15">
      <c r="A2010" t="s">
        <v>3097</v>
      </c>
      <c r="B2010" t="s">
        <v>79</v>
      </c>
      <c r="C2010">
        <v>11.582000000000001</v>
      </c>
      <c r="D2010">
        <v>1.33</v>
      </c>
    </row>
    <row r="2011" spans="1:4" x14ac:dyDescent="0.15">
      <c r="A2011" t="s">
        <v>3098</v>
      </c>
      <c r="B2011" t="s">
        <v>79</v>
      </c>
      <c r="C2011">
        <v>1.778</v>
      </c>
      <c r="D2011">
        <v>0.2</v>
      </c>
    </row>
    <row r="2012" spans="1:4" x14ac:dyDescent="0.15">
      <c r="A2012" t="s">
        <v>3099</v>
      </c>
      <c r="B2012" t="s">
        <v>79</v>
      </c>
      <c r="C2012">
        <v>0.34399999999999997</v>
      </c>
      <c r="D2012">
        <v>1.1599999999999999</v>
      </c>
    </row>
    <row r="2013" spans="1:4" x14ac:dyDescent="0.15">
      <c r="A2013" t="s">
        <v>3100</v>
      </c>
      <c r="B2013" t="s">
        <v>79</v>
      </c>
      <c r="C2013">
        <v>51</v>
      </c>
      <c r="D2013">
        <v>0.36470588235294121</v>
      </c>
    </row>
    <row r="2014" spans="1:4" x14ac:dyDescent="0.15">
      <c r="A2014" t="s">
        <v>3101</v>
      </c>
      <c r="B2014" t="s">
        <v>79</v>
      </c>
      <c r="C2014">
        <v>53</v>
      </c>
      <c r="D2014">
        <v>1.1134339622641509</v>
      </c>
    </row>
    <row r="2015" spans="1:4" x14ac:dyDescent="0.15">
      <c r="A2015" t="s">
        <v>3102</v>
      </c>
      <c r="B2015" t="s">
        <v>79</v>
      </c>
      <c r="C2015">
        <v>2.5</v>
      </c>
      <c r="D2015">
        <v>3</v>
      </c>
    </row>
    <row r="2016" spans="1:4" x14ac:dyDescent="0.15">
      <c r="A2016" t="s">
        <v>3103</v>
      </c>
      <c r="B2016" t="s">
        <v>79</v>
      </c>
      <c r="C2016">
        <v>4.867</v>
      </c>
      <c r="D2016">
        <v>0.43147729607561131</v>
      </c>
    </row>
    <row r="2017" spans="1:4" x14ac:dyDescent="0.15">
      <c r="A2017" t="s">
        <v>3104</v>
      </c>
      <c r="B2017" t="s">
        <v>79</v>
      </c>
      <c r="C2017">
        <v>120.29900000000001</v>
      </c>
      <c r="D2017">
        <v>0.16800000000000001</v>
      </c>
    </row>
    <row r="2018" spans="1:4" x14ac:dyDescent="0.15">
      <c r="A2018" t="s">
        <v>3105</v>
      </c>
      <c r="B2018" t="s">
        <v>79</v>
      </c>
      <c r="C2018">
        <v>1.4</v>
      </c>
      <c r="D2018">
        <v>1.68</v>
      </c>
    </row>
    <row r="2019" spans="1:4" x14ac:dyDescent="0.15">
      <c r="A2019" t="s">
        <v>3106</v>
      </c>
      <c r="B2019" t="s">
        <v>79</v>
      </c>
      <c r="C2019">
        <v>20</v>
      </c>
      <c r="D2019">
        <v>2.33</v>
      </c>
    </row>
    <row r="2020" spans="1:4" x14ac:dyDescent="0.15">
      <c r="A2020" t="s">
        <v>3107</v>
      </c>
      <c r="B2020" t="s">
        <v>79</v>
      </c>
      <c r="C2020">
        <v>5.0999999999999996</v>
      </c>
      <c r="D2020">
        <v>0.39</v>
      </c>
    </row>
    <row r="2021" spans="1:4" x14ac:dyDescent="0.15">
      <c r="A2021" t="s">
        <v>3108</v>
      </c>
      <c r="B2021" t="s">
        <v>79</v>
      </c>
      <c r="C2021">
        <v>8</v>
      </c>
      <c r="D2021">
        <v>0.41</v>
      </c>
    </row>
    <row r="2022" spans="1:4" x14ac:dyDescent="0.15">
      <c r="A2022" t="s">
        <v>3109</v>
      </c>
      <c r="B2022" t="s">
        <v>79</v>
      </c>
      <c r="C2022">
        <v>24.099999999999998</v>
      </c>
      <c r="D2022">
        <v>0.3279834024896266</v>
      </c>
    </row>
    <row r="2023" spans="1:4" x14ac:dyDescent="0.15">
      <c r="A2023" t="s">
        <v>3110</v>
      </c>
      <c r="B2023" t="s">
        <v>79</v>
      </c>
      <c r="C2023">
        <v>120</v>
      </c>
      <c r="D2023">
        <v>0.17</v>
      </c>
    </row>
    <row r="2024" spans="1:4" x14ac:dyDescent="0.15">
      <c r="A2024" t="s">
        <v>3111</v>
      </c>
      <c r="B2024" t="s">
        <v>79</v>
      </c>
      <c r="C2024">
        <v>1</v>
      </c>
      <c r="D2024">
        <v>1.38</v>
      </c>
    </row>
    <row r="2025" spans="1:4" x14ac:dyDescent="0.15">
      <c r="A2025" t="s">
        <v>3112</v>
      </c>
      <c r="B2025" t="s">
        <v>79</v>
      </c>
      <c r="C2025">
        <v>140</v>
      </c>
      <c r="D2025">
        <v>0.27</v>
      </c>
    </row>
    <row r="2026" spans="1:4" x14ac:dyDescent="0.15">
      <c r="A2026" t="s">
        <v>3113</v>
      </c>
      <c r="B2026" t="s">
        <v>79</v>
      </c>
      <c r="C2026">
        <v>0.92347500000000005</v>
      </c>
      <c r="D2026">
        <v>1.36</v>
      </c>
    </row>
    <row r="2027" spans="1:4" x14ac:dyDescent="0.15">
      <c r="A2027" t="s">
        <v>3114</v>
      </c>
      <c r="B2027" t="s">
        <v>79</v>
      </c>
      <c r="C2027">
        <v>30.038</v>
      </c>
      <c r="D2027">
        <v>0.3084030228377389</v>
      </c>
    </row>
    <row r="2028" spans="1:4" x14ac:dyDescent="0.15">
      <c r="A2028" t="s">
        <v>3115</v>
      </c>
      <c r="B2028" t="s">
        <v>79</v>
      </c>
      <c r="C2028">
        <v>13</v>
      </c>
      <c r="D2028">
        <v>0.39</v>
      </c>
    </row>
    <row r="2029" spans="1:4" x14ac:dyDescent="0.15">
      <c r="A2029" t="s">
        <v>3116</v>
      </c>
      <c r="B2029" t="s">
        <v>79</v>
      </c>
      <c r="C2029">
        <v>31.479999999999997</v>
      </c>
      <c r="D2029">
        <v>0.1210864040660737</v>
      </c>
    </row>
    <row r="2030" spans="1:4" x14ac:dyDescent="0.15">
      <c r="A2030" t="s">
        <v>3117</v>
      </c>
      <c r="B2030" t="s">
        <v>3118</v>
      </c>
      <c r="C2030">
        <v>19.5</v>
      </c>
      <c r="D2030">
        <v>1.87</v>
      </c>
    </row>
    <row r="2031" spans="1:4" x14ac:dyDescent="0.15">
      <c r="A2031" t="s">
        <v>3119</v>
      </c>
      <c r="B2031" t="s">
        <v>3120</v>
      </c>
      <c r="C2031">
        <v>200</v>
      </c>
      <c r="D2031">
        <v>0.3</v>
      </c>
    </row>
    <row r="2032" spans="1:4" x14ac:dyDescent="0.15">
      <c r="A2032" t="s">
        <v>3121</v>
      </c>
      <c r="B2032" t="s">
        <v>3120</v>
      </c>
      <c r="C2032">
        <v>0.5</v>
      </c>
      <c r="D2032">
        <v>1</v>
      </c>
    </row>
    <row r="2033" spans="1:6" x14ac:dyDescent="0.15">
      <c r="A2033" t="s">
        <v>3122</v>
      </c>
      <c r="B2033" t="s">
        <v>3120</v>
      </c>
      <c r="C2033">
        <v>0.72100000000000009</v>
      </c>
      <c r="D2033">
        <v>0.6805963938973647</v>
      </c>
    </row>
    <row r="2034" spans="1:6" x14ac:dyDescent="0.15">
      <c r="A2034" t="s">
        <v>3123</v>
      </c>
      <c r="B2034" t="s">
        <v>3120</v>
      </c>
      <c r="C2034">
        <v>25.826398000000001</v>
      </c>
      <c r="D2034">
        <v>0.85257276527683035</v>
      </c>
    </row>
    <row r="2035" spans="1:6" x14ac:dyDescent="0.15">
      <c r="A2035" t="s">
        <v>3124</v>
      </c>
      <c r="B2035" t="s">
        <v>437</v>
      </c>
      <c r="C2035">
        <v>437</v>
      </c>
      <c r="D2035">
        <v>0.4</v>
      </c>
    </row>
    <row r="2036" spans="1:6" x14ac:dyDescent="0.15">
      <c r="A2036" t="s">
        <v>3125</v>
      </c>
      <c r="B2036" t="s">
        <v>437</v>
      </c>
      <c r="C2036">
        <v>0.51</v>
      </c>
      <c r="D2036">
        <v>2.2000000000000002</v>
      </c>
    </row>
    <row r="2037" spans="1:6" x14ac:dyDescent="0.15">
      <c r="A2037" t="s">
        <v>3126</v>
      </c>
      <c r="B2037" t="s">
        <v>437</v>
      </c>
      <c r="C2037">
        <v>200</v>
      </c>
      <c r="D2037">
        <v>0.4</v>
      </c>
    </row>
    <row r="2038" spans="1:6" x14ac:dyDescent="0.15">
      <c r="A2038" t="s">
        <v>3127</v>
      </c>
      <c r="B2038" t="s">
        <v>437</v>
      </c>
      <c r="C2038">
        <v>28.9</v>
      </c>
      <c r="D2038">
        <v>3.8846020761245672</v>
      </c>
    </row>
    <row r="2039" spans="1:6" x14ac:dyDescent="0.15">
      <c r="A2039" t="s">
        <v>3128</v>
      </c>
      <c r="B2039" t="s">
        <v>437</v>
      </c>
      <c r="C2039">
        <v>1.22</v>
      </c>
      <c r="D2039">
        <v>0.75573770491803272</v>
      </c>
    </row>
    <row r="2040" spans="1:6" x14ac:dyDescent="0.15">
      <c r="A2040" t="s">
        <v>3129</v>
      </c>
      <c r="B2040" t="s">
        <v>437</v>
      </c>
      <c r="C2040">
        <v>2821</v>
      </c>
      <c r="D2040">
        <v>0.26512938674228997</v>
      </c>
    </row>
    <row r="2041" spans="1:6" x14ac:dyDescent="0.15">
      <c r="A2041" t="s">
        <v>3130</v>
      </c>
      <c r="B2041" t="s">
        <v>437</v>
      </c>
      <c r="C2041">
        <v>4.5359999999999996</v>
      </c>
      <c r="D2041">
        <v>1.95</v>
      </c>
    </row>
    <row r="2042" spans="1:6" x14ac:dyDescent="0.15">
      <c r="A2042" t="s">
        <v>3131</v>
      </c>
      <c r="B2042" t="s">
        <v>437</v>
      </c>
      <c r="C2042">
        <v>96.073707999999996</v>
      </c>
      <c r="D2042">
        <v>6.8000000000000005E-2</v>
      </c>
    </row>
    <row r="2043" spans="1:6" x14ac:dyDescent="0.15">
      <c r="A2043" t="s">
        <v>1484</v>
      </c>
      <c r="B2043" t="s">
        <v>437</v>
      </c>
      <c r="C2043">
        <v>330.2208</v>
      </c>
      <c r="D2043">
        <v>0.84</v>
      </c>
    </row>
    <row r="2044" spans="1:6" x14ac:dyDescent="0.15">
      <c r="A2044" t="s">
        <v>3132</v>
      </c>
      <c r="B2044" t="s">
        <v>437</v>
      </c>
      <c r="C2044">
        <v>21.299999999999997</v>
      </c>
      <c r="D2044">
        <v>0.22990610328638503</v>
      </c>
    </row>
    <row r="2045" spans="1:6" x14ac:dyDescent="0.15">
      <c r="A2045" t="s">
        <v>800</v>
      </c>
      <c r="B2045" t="s">
        <v>437</v>
      </c>
      <c r="C2045">
        <v>2501</v>
      </c>
      <c r="D2045">
        <v>0.29261095561775291</v>
      </c>
      <c r="E2045">
        <v>1253</v>
      </c>
      <c r="F2045">
        <v>0.32719872306464487</v>
      </c>
    </row>
    <row r="2046" spans="1:6" x14ac:dyDescent="0.15">
      <c r="A2046" t="s">
        <v>3133</v>
      </c>
      <c r="B2046" t="s">
        <v>437</v>
      </c>
      <c r="C2046">
        <v>177.81120000000001</v>
      </c>
      <c r="D2046">
        <v>0.505</v>
      </c>
    </row>
    <row r="2047" spans="1:6" x14ac:dyDescent="0.15">
      <c r="A2047" t="s">
        <v>3134</v>
      </c>
      <c r="B2047" t="s">
        <v>437</v>
      </c>
      <c r="C2047">
        <v>0.4</v>
      </c>
      <c r="D2047">
        <v>1.75</v>
      </c>
    </row>
    <row r="2048" spans="1:6" x14ac:dyDescent="0.15">
      <c r="A2048" t="s">
        <v>3135</v>
      </c>
      <c r="B2048" t="s">
        <v>437</v>
      </c>
      <c r="C2048">
        <v>140</v>
      </c>
      <c r="D2048">
        <v>0.2</v>
      </c>
    </row>
    <row r="2049" spans="1:6" x14ac:dyDescent="0.15">
      <c r="A2049" t="s">
        <v>3136</v>
      </c>
      <c r="B2049" t="s">
        <v>437</v>
      </c>
      <c r="C2049">
        <v>453.6</v>
      </c>
      <c r="D2049">
        <v>0.4</v>
      </c>
    </row>
    <row r="2050" spans="1:6" x14ac:dyDescent="0.15">
      <c r="A2050" t="s">
        <v>3137</v>
      </c>
      <c r="B2050" t="s">
        <v>437</v>
      </c>
      <c r="C2050">
        <v>49.896000000000001</v>
      </c>
      <c r="D2050">
        <v>0.50000000000000011</v>
      </c>
    </row>
    <row r="2051" spans="1:6" x14ac:dyDescent="0.15">
      <c r="A2051" t="s">
        <v>1489</v>
      </c>
      <c r="B2051" t="s">
        <v>437</v>
      </c>
      <c r="C2051">
        <v>9.2534399999999994</v>
      </c>
      <c r="D2051">
        <v>0.25</v>
      </c>
    </row>
    <row r="2052" spans="1:6" x14ac:dyDescent="0.15">
      <c r="A2052" t="s">
        <v>3138</v>
      </c>
      <c r="B2052" t="s">
        <v>437</v>
      </c>
      <c r="C2052">
        <v>3.8200000000000003</v>
      </c>
      <c r="D2052">
        <v>1.7872251308900524</v>
      </c>
    </row>
    <row r="2053" spans="1:6" x14ac:dyDescent="0.15">
      <c r="A2053" t="s">
        <v>3139</v>
      </c>
      <c r="B2053" t="s">
        <v>437</v>
      </c>
      <c r="C2053">
        <v>0.75</v>
      </c>
      <c r="D2053">
        <v>0.13</v>
      </c>
    </row>
    <row r="2054" spans="1:6" x14ac:dyDescent="0.15">
      <c r="A2054" t="s">
        <v>801</v>
      </c>
      <c r="B2054" t="s">
        <v>437</v>
      </c>
      <c r="C2054">
        <v>781</v>
      </c>
      <c r="D2054">
        <v>0.51706786171574903</v>
      </c>
      <c r="E2054">
        <v>690</v>
      </c>
      <c r="F2054">
        <v>0.45089855072463769</v>
      </c>
    </row>
    <row r="2055" spans="1:6" x14ac:dyDescent="0.15">
      <c r="A2055" t="s">
        <v>1473</v>
      </c>
      <c r="B2055" t="s">
        <v>437</v>
      </c>
      <c r="C2055">
        <v>385.46927999999997</v>
      </c>
      <c r="D2055">
        <v>0.43106848670275361</v>
      </c>
    </row>
    <row r="2056" spans="1:6" x14ac:dyDescent="0.15">
      <c r="A2056" t="s">
        <v>3140</v>
      </c>
      <c r="B2056" t="s">
        <v>437</v>
      </c>
      <c r="C2056">
        <v>30.527000000000001</v>
      </c>
      <c r="D2056">
        <v>2.3928387984407244</v>
      </c>
    </row>
    <row r="2057" spans="1:6" x14ac:dyDescent="0.15">
      <c r="A2057" t="s">
        <v>3141</v>
      </c>
      <c r="B2057" t="s">
        <v>437</v>
      </c>
      <c r="C2057">
        <v>129.94999999999999</v>
      </c>
      <c r="D2057">
        <v>0.19414697960754138</v>
      </c>
    </row>
    <row r="2058" spans="1:6" x14ac:dyDescent="0.15">
      <c r="A2058" t="s">
        <v>3142</v>
      </c>
      <c r="B2058" t="s">
        <v>437</v>
      </c>
      <c r="C2058">
        <v>5.9570280000000002</v>
      </c>
      <c r="D2058">
        <v>0.51296416938110756</v>
      </c>
    </row>
    <row r="2059" spans="1:6" x14ac:dyDescent="0.15">
      <c r="A2059" t="s">
        <v>3143</v>
      </c>
      <c r="B2059" t="s">
        <v>437</v>
      </c>
      <c r="C2059">
        <v>54.4</v>
      </c>
      <c r="D2059">
        <v>0.5</v>
      </c>
    </row>
    <row r="2060" spans="1:6" x14ac:dyDescent="0.15">
      <c r="A2060" t="s">
        <v>1487</v>
      </c>
      <c r="B2060" t="s">
        <v>437</v>
      </c>
      <c r="C2060">
        <v>23.437606499999998</v>
      </c>
      <c r="D2060">
        <v>0.17006519714374418</v>
      </c>
    </row>
    <row r="2061" spans="1:6" x14ac:dyDescent="0.15">
      <c r="A2061" t="s">
        <v>3144</v>
      </c>
      <c r="B2061" t="s">
        <v>437</v>
      </c>
      <c r="C2061">
        <v>453.6</v>
      </c>
      <c r="D2061">
        <v>0.3</v>
      </c>
    </row>
    <row r="2062" spans="1:6" x14ac:dyDescent="0.15">
      <c r="A2062" t="s">
        <v>3145</v>
      </c>
      <c r="B2062" t="s">
        <v>437</v>
      </c>
      <c r="C2062">
        <v>40</v>
      </c>
      <c r="D2062">
        <v>0.83</v>
      </c>
    </row>
    <row r="2063" spans="1:6" x14ac:dyDescent="0.15">
      <c r="A2063" t="s">
        <v>3146</v>
      </c>
      <c r="B2063" t="s">
        <v>437</v>
      </c>
      <c r="C2063">
        <v>3</v>
      </c>
      <c r="D2063">
        <v>1.7</v>
      </c>
    </row>
    <row r="2064" spans="1:6" x14ac:dyDescent="0.15">
      <c r="A2064" t="s">
        <v>3147</v>
      </c>
      <c r="B2064" t="s">
        <v>437</v>
      </c>
      <c r="C2064">
        <v>1297</v>
      </c>
      <c r="D2064">
        <v>5.8000000000000003E-2</v>
      </c>
    </row>
    <row r="2065" spans="1:6" x14ac:dyDescent="0.15">
      <c r="A2065" t="s">
        <v>802</v>
      </c>
      <c r="B2065" t="s">
        <v>437</v>
      </c>
      <c r="C2065">
        <v>5112.9719424000004</v>
      </c>
      <c r="D2065">
        <v>0.48182044261240958</v>
      </c>
      <c r="E2065">
        <v>685.84320000000002</v>
      </c>
      <c r="F2065">
        <v>0.24</v>
      </c>
    </row>
    <row r="2066" spans="1:6" x14ac:dyDescent="0.15">
      <c r="A2066" t="s">
        <v>3148</v>
      </c>
      <c r="B2066" t="s">
        <v>437</v>
      </c>
      <c r="C2066">
        <v>4.6774999999999997E-2</v>
      </c>
      <c r="D2066">
        <v>6.793158738642438E-2</v>
      </c>
    </row>
    <row r="2067" spans="1:6" x14ac:dyDescent="0.15">
      <c r="A2067" t="s">
        <v>3149</v>
      </c>
      <c r="B2067" t="s">
        <v>437</v>
      </c>
      <c r="C2067">
        <v>0.49932288000000002</v>
      </c>
      <c r="D2067">
        <v>5.84</v>
      </c>
    </row>
    <row r="2068" spans="1:6" x14ac:dyDescent="0.15">
      <c r="A2068" t="s">
        <v>3150</v>
      </c>
      <c r="B2068" t="s">
        <v>437</v>
      </c>
      <c r="C2068">
        <v>16</v>
      </c>
      <c r="D2068">
        <v>0.15</v>
      </c>
    </row>
    <row r="2069" spans="1:6" x14ac:dyDescent="0.15">
      <c r="A2069" t="s">
        <v>3151</v>
      </c>
      <c r="B2069" t="s">
        <v>437</v>
      </c>
      <c r="C2069">
        <v>5.0460000000000003</v>
      </c>
      <c r="D2069">
        <v>0.44838882282996434</v>
      </c>
    </row>
    <row r="2070" spans="1:6" x14ac:dyDescent="0.15">
      <c r="A2070" t="s">
        <v>803</v>
      </c>
      <c r="B2070" t="s">
        <v>437</v>
      </c>
      <c r="C2070">
        <v>7.1179999999999994</v>
      </c>
      <c r="D2070">
        <v>0.52131286878336613</v>
      </c>
      <c r="E2070">
        <v>5.7050000000000001</v>
      </c>
      <c r="F2070">
        <v>0.54700000000000004</v>
      </c>
    </row>
    <row r="2071" spans="1:6" x14ac:dyDescent="0.15">
      <c r="A2071" t="s">
        <v>3152</v>
      </c>
      <c r="B2071" t="s">
        <v>437</v>
      </c>
      <c r="C2071">
        <v>18</v>
      </c>
      <c r="D2071">
        <v>0.55600000000000005</v>
      </c>
    </row>
    <row r="2072" spans="1:6" x14ac:dyDescent="0.15">
      <c r="A2072" t="s">
        <v>3153</v>
      </c>
      <c r="B2072" t="s">
        <v>437</v>
      </c>
      <c r="C2072">
        <v>26</v>
      </c>
      <c r="D2072">
        <v>0.04</v>
      </c>
    </row>
    <row r="2073" spans="1:6" x14ac:dyDescent="0.15">
      <c r="A2073" t="s">
        <v>3154</v>
      </c>
      <c r="B2073" t="s">
        <v>437</v>
      </c>
      <c r="C2073">
        <v>198.67680000000001</v>
      </c>
      <c r="D2073">
        <v>0.3</v>
      </c>
    </row>
    <row r="2074" spans="1:6" x14ac:dyDescent="0.15">
      <c r="A2074" t="s">
        <v>804</v>
      </c>
      <c r="B2074" t="s">
        <v>437</v>
      </c>
      <c r="C2074">
        <v>2149</v>
      </c>
      <c r="D2074">
        <v>0.29870637505816655</v>
      </c>
      <c r="E2074">
        <v>237</v>
      </c>
      <c r="F2074">
        <v>0.45147679324894513</v>
      </c>
    </row>
    <row r="2075" spans="1:6" x14ac:dyDescent="0.15">
      <c r="A2075" t="s">
        <v>3155</v>
      </c>
      <c r="B2075" t="s">
        <v>437</v>
      </c>
      <c r="C2075">
        <v>201</v>
      </c>
      <c r="D2075">
        <v>0.39</v>
      </c>
    </row>
    <row r="2076" spans="1:6" x14ac:dyDescent="0.15">
      <c r="A2076" t="s">
        <v>3156</v>
      </c>
      <c r="B2076" t="s">
        <v>437</v>
      </c>
      <c r="C2076">
        <v>4.7699999999999996</v>
      </c>
      <c r="D2076">
        <v>0.3</v>
      </c>
    </row>
    <row r="2077" spans="1:6" x14ac:dyDescent="0.15">
      <c r="A2077" t="s">
        <v>805</v>
      </c>
      <c r="B2077" t="s">
        <v>437</v>
      </c>
      <c r="C2077">
        <v>113</v>
      </c>
      <c r="D2077">
        <v>0.39911504424778754</v>
      </c>
      <c r="E2077">
        <v>79</v>
      </c>
      <c r="F2077">
        <v>0.35569620253164552</v>
      </c>
    </row>
    <row r="2078" spans="1:6" x14ac:dyDescent="0.15">
      <c r="A2078" t="s">
        <v>3157</v>
      </c>
      <c r="B2078" t="s">
        <v>437</v>
      </c>
      <c r="C2078">
        <v>250</v>
      </c>
      <c r="D2078">
        <v>0.46</v>
      </c>
    </row>
    <row r="2079" spans="1:6" x14ac:dyDescent="0.15">
      <c r="A2079" t="s">
        <v>3158</v>
      </c>
      <c r="B2079" t="s">
        <v>437</v>
      </c>
      <c r="C2079">
        <v>205.113384</v>
      </c>
      <c r="D2079">
        <v>0.19725040359141069</v>
      </c>
    </row>
    <row r="2080" spans="1:6" x14ac:dyDescent="0.15">
      <c r="A2080" t="s">
        <v>3159</v>
      </c>
      <c r="B2080" t="s">
        <v>437</v>
      </c>
      <c r="C2080">
        <v>1406</v>
      </c>
      <c r="D2080">
        <v>0.34</v>
      </c>
    </row>
    <row r="2081" spans="1:4" x14ac:dyDescent="0.15">
      <c r="A2081" t="s">
        <v>3160</v>
      </c>
      <c r="B2081" t="s">
        <v>437</v>
      </c>
      <c r="C2081">
        <v>226.8</v>
      </c>
      <c r="D2081">
        <v>0.4</v>
      </c>
    </row>
    <row r="2082" spans="1:4" x14ac:dyDescent="0.15">
      <c r="A2082" t="s">
        <v>3161</v>
      </c>
      <c r="B2082" t="s">
        <v>437</v>
      </c>
      <c r="C2082">
        <v>1.1975040000000001</v>
      </c>
      <c r="D2082">
        <v>1.2</v>
      </c>
    </row>
    <row r="2083" spans="1:4" x14ac:dyDescent="0.15">
      <c r="A2083" t="s">
        <v>3162</v>
      </c>
      <c r="B2083" t="s">
        <v>437</v>
      </c>
      <c r="C2083">
        <v>301.98964319999999</v>
      </c>
      <c r="D2083">
        <v>0.6413348614069293</v>
      </c>
    </row>
    <row r="2084" spans="1:4" x14ac:dyDescent="0.15">
      <c r="A2084" t="s">
        <v>3163</v>
      </c>
      <c r="B2084" t="s">
        <v>437</v>
      </c>
      <c r="C2084">
        <v>301.98147840000001</v>
      </c>
      <c r="D2084">
        <v>0.22507477348650534</v>
      </c>
    </row>
    <row r="2085" spans="1:4" x14ac:dyDescent="0.15">
      <c r="A2085" t="s">
        <v>3164</v>
      </c>
      <c r="B2085" t="s">
        <v>437</v>
      </c>
      <c r="C2085">
        <v>109.76</v>
      </c>
      <c r="D2085">
        <v>0.16806878644314868</v>
      </c>
    </row>
    <row r="2086" spans="1:4" x14ac:dyDescent="0.15">
      <c r="A2086" t="s">
        <v>3165</v>
      </c>
      <c r="B2086" t="s">
        <v>437</v>
      </c>
      <c r="C2086">
        <v>134.60000000000002</v>
      </c>
      <c r="D2086">
        <v>1.1105720653789002</v>
      </c>
    </row>
    <row r="2087" spans="1:4" x14ac:dyDescent="0.15">
      <c r="A2087" t="s">
        <v>1488</v>
      </c>
      <c r="B2087" t="s">
        <v>437</v>
      </c>
      <c r="C2087">
        <v>0.36288000000000004</v>
      </c>
      <c r="D2087">
        <v>0.16</v>
      </c>
    </row>
    <row r="2088" spans="1:4" x14ac:dyDescent="0.15">
      <c r="A2088" t="s">
        <v>3166</v>
      </c>
      <c r="B2088" t="s">
        <v>437</v>
      </c>
      <c r="C2088">
        <v>5.4</v>
      </c>
      <c r="D2088">
        <v>1.9</v>
      </c>
    </row>
    <row r="2089" spans="1:4" x14ac:dyDescent="0.15">
      <c r="A2089" t="s">
        <v>3167</v>
      </c>
      <c r="B2089" t="s">
        <v>437</v>
      </c>
      <c r="C2089">
        <v>71.113</v>
      </c>
      <c r="D2089">
        <v>0.20902858830312321</v>
      </c>
    </row>
    <row r="2090" spans="1:4" x14ac:dyDescent="0.15">
      <c r="A2090" t="s">
        <v>3168</v>
      </c>
      <c r="B2090" t="s">
        <v>437</v>
      </c>
      <c r="C2090">
        <v>5592.3436799999999</v>
      </c>
      <c r="D2090">
        <v>6.4490169359548377E-2</v>
      </c>
    </row>
    <row r="2091" spans="1:4" x14ac:dyDescent="0.15">
      <c r="A2091" t="s">
        <v>3169</v>
      </c>
      <c r="B2091" t="s">
        <v>437</v>
      </c>
      <c r="C2091">
        <v>15.4</v>
      </c>
      <c r="D2091">
        <v>0.6</v>
      </c>
    </row>
    <row r="2092" spans="1:4" x14ac:dyDescent="0.15">
      <c r="A2092" t="s">
        <v>3170</v>
      </c>
      <c r="B2092" t="s">
        <v>437</v>
      </c>
      <c r="C2092">
        <v>22.68</v>
      </c>
      <c r="D2092">
        <v>0.5</v>
      </c>
    </row>
    <row r="2093" spans="1:4" x14ac:dyDescent="0.15">
      <c r="A2093" t="s">
        <v>3171</v>
      </c>
      <c r="B2093" t="s">
        <v>437</v>
      </c>
      <c r="C2093">
        <v>2.9</v>
      </c>
      <c r="D2093">
        <v>0.2</v>
      </c>
    </row>
    <row r="2094" spans="1:4" x14ac:dyDescent="0.15">
      <c r="A2094" t="s">
        <v>1478</v>
      </c>
      <c r="B2094" t="s">
        <v>437</v>
      </c>
      <c r="C2094">
        <v>246.75839999999999</v>
      </c>
      <c r="D2094">
        <v>0.25</v>
      </c>
    </row>
    <row r="2095" spans="1:4" x14ac:dyDescent="0.15">
      <c r="A2095" t="s">
        <v>3172</v>
      </c>
      <c r="B2095" t="s">
        <v>437</v>
      </c>
      <c r="C2095">
        <v>90.72</v>
      </c>
      <c r="D2095">
        <v>0.77</v>
      </c>
    </row>
    <row r="2096" spans="1:4" x14ac:dyDescent="0.15">
      <c r="A2096" t="s">
        <v>3173</v>
      </c>
      <c r="B2096" t="s">
        <v>437</v>
      </c>
      <c r="C2096">
        <v>20.87</v>
      </c>
      <c r="D2096">
        <v>0.43</v>
      </c>
    </row>
    <row r="2097" spans="1:6" x14ac:dyDescent="0.15">
      <c r="A2097" t="s">
        <v>3174</v>
      </c>
      <c r="B2097" t="s">
        <v>437</v>
      </c>
      <c r="C2097">
        <v>90.72</v>
      </c>
      <c r="D2097">
        <v>0.53</v>
      </c>
    </row>
    <row r="2098" spans="1:6" x14ac:dyDescent="0.15">
      <c r="A2098" t="s">
        <v>806</v>
      </c>
      <c r="B2098" t="s">
        <v>437</v>
      </c>
      <c r="C2098">
        <v>4.3120000000000003</v>
      </c>
      <c r="D2098">
        <v>2.8727968460111319</v>
      </c>
      <c r="E2098">
        <v>4.4889999999999999</v>
      </c>
      <c r="F2098">
        <v>2.4391846736466922</v>
      </c>
    </row>
    <row r="2099" spans="1:6" x14ac:dyDescent="0.15">
      <c r="A2099" t="s">
        <v>3175</v>
      </c>
      <c r="B2099" t="s">
        <v>437</v>
      </c>
      <c r="C2099">
        <v>2.08656</v>
      </c>
      <c r="D2099">
        <v>1.0108695652173914</v>
      </c>
    </row>
    <row r="2100" spans="1:6" x14ac:dyDescent="0.15">
      <c r="A2100" t="s">
        <v>3176</v>
      </c>
      <c r="B2100" t="s">
        <v>437</v>
      </c>
      <c r="C2100">
        <v>2.1137760000000001</v>
      </c>
      <c r="D2100">
        <v>0.6</v>
      </c>
    </row>
    <row r="2101" spans="1:6" x14ac:dyDescent="0.15">
      <c r="A2101" t="s">
        <v>3177</v>
      </c>
      <c r="B2101" t="s">
        <v>437</v>
      </c>
      <c r="C2101">
        <v>149.54103359999999</v>
      </c>
      <c r="D2101">
        <v>0.26</v>
      </c>
    </row>
    <row r="2102" spans="1:6" x14ac:dyDescent="0.15">
      <c r="A2102" t="s">
        <v>3178</v>
      </c>
      <c r="B2102" t="s">
        <v>437</v>
      </c>
      <c r="C2102">
        <v>19.065838579200001</v>
      </c>
      <c r="D2102">
        <v>0.29011897600967185</v>
      </c>
    </row>
    <row r="2103" spans="1:6" x14ac:dyDescent="0.15">
      <c r="A2103" t="s">
        <v>3179</v>
      </c>
      <c r="B2103" t="s">
        <v>437</v>
      </c>
      <c r="C2103">
        <v>25.292736000000001</v>
      </c>
      <c r="D2103">
        <v>0.42077474892395983</v>
      </c>
    </row>
    <row r="2104" spans="1:6" x14ac:dyDescent="0.15">
      <c r="A2104" t="s">
        <v>807</v>
      </c>
      <c r="B2104" t="s">
        <v>437</v>
      </c>
      <c r="C2104">
        <v>447.24959999999999</v>
      </c>
      <c r="D2104">
        <v>0.31840770791075051</v>
      </c>
      <c r="E2104">
        <v>308.40536159999999</v>
      </c>
      <c r="F2104">
        <v>0.35799999999999998</v>
      </c>
    </row>
    <row r="2105" spans="1:6" x14ac:dyDescent="0.15">
      <c r="A2105" t="s">
        <v>3180</v>
      </c>
      <c r="B2105" t="s">
        <v>437</v>
      </c>
      <c r="C2105">
        <v>21.41</v>
      </c>
      <c r="D2105">
        <v>0.57999999999999996</v>
      </c>
    </row>
    <row r="2106" spans="1:6" x14ac:dyDescent="0.15">
      <c r="A2106" t="s">
        <v>1486</v>
      </c>
      <c r="B2106" t="s">
        <v>437</v>
      </c>
      <c r="C2106">
        <v>0.50803200000000004</v>
      </c>
      <c r="D2106">
        <v>0.35</v>
      </c>
    </row>
    <row r="2107" spans="1:6" x14ac:dyDescent="0.15">
      <c r="A2107" t="s">
        <v>3181</v>
      </c>
      <c r="B2107" t="s">
        <v>437</v>
      </c>
      <c r="C2107">
        <v>167.94200000000001</v>
      </c>
      <c r="D2107">
        <v>0.2213</v>
      </c>
    </row>
    <row r="2108" spans="1:6" x14ac:dyDescent="0.15">
      <c r="A2108" t="s">
        <v>808</v>
      </c>
      <c r="B2108" t="s">
        <v>437</v>
      </c>
      <c r="C2108">
        <v>2.198</v>
      </c>
      <c r="D2108">
        <v>0.60255232029117378</v>
      </c>
      <c r="E2108">
        <v>0.63700000000000001</v>
      </c>
      <c r="F2108">
        <v>0.46</v>
      </c>
    </row>
    <row r="2109" spans="1:6" x14ac:dyDescent="0.15">
      <c r="A2109" t="s">
        <v>3182</v>
      </c>
      <c r="B2109" t="s">
        <v>437</v>
      </c>
      <c r="C2109">
        <v>39</v>
      </c>
      <c r="D2109">
        <v>0.4</v>
      </c>
    </row>
    <row r="2110" spans="1:6" x14ac:dyDescent="0.15">
      <c r="A2110" t="s">
        <v>3183</v>
      </c>
      <c r="B2110" t="s">
        <v>437</v>
      </c>
      <c r="C2110">
        <v>1900</v>
      </c>
      <c r="D2110">
        <v>0.33400000000000002</v>
      </c>
    </row>
    <row r="2111" spans="1:6" x14ac:dyDescent="0.15">
      <c r="A2111" t="s">
        <v>3184</v>
      </c>
      <c r="B2111" t="s">
        <v>437</v>
      </c>
      <c r="C2111">
        <v>40</v>
      </c>
      <c r="D2111">
        <v>0.5</v>
      </c>
    </row>
    <row r="2112" spans="1:6" x14ac:dyDescent="0.15">
      <c r="A2112" t="s">
        <v>809</v>
      </c>
      <c r="B2112" t="s">
        <v>437</v>
      </c>
      <c r="C2112">
        <v>1.0623312</v>
      </c>
      <c r="D2112">
        <v>0.40600000000000003</v>
      </c>
      <c r="E2112">
        <v>1.0623312</v>
      </c>
      <c r="F2112">
        <v>0.40600000000000003</v>
      </c>
    </row>
    <row r="2113" spans="1:6" x14ac:dyDescent="0.15">
      <c r="A2113" t="s">
        <v>810</v>
      </c>
      <c r="B2113" t="s">
        <v>437</v>
      </c>
      <c r="C2113">
        <v>1025.9524799999999</v>
      </c>
      <c r="D2113">
        <v>0.27985940401450182</v>
      </c>
      <c r="E2113">
        <v>703.48264892640009</v>
      </c>
      <c r="F2113">
        <v>0.28999999999999998</v>
      </c>
    </row>
    <row r="2114" spans="1:6" x14ac:dyDescent="0.15">
      <c r="A2114" t="s">
        <v>3185</v>
      </c>
      <c r="B2114" t="s">
        <v>437</v>
      </c>
      <c r="C2114">
        <v>9.1329999999999991</v>
      </c>
      <c r="D2114">
        <v>1.3</v>
      </c>
    </row>
    <row r="2115" spans="1:6" x14ac:dyDescent="0.15">
      <c r="A2115" t="s">
        <v>3186</v>
      </c>
      <c r="B2115" t="s">
        <v>437</v>
      </c>
      <c r="C2115">
        <v>302</v>
      </c>
      <c r="D2115">
        <v>0.36</v>
      </c>
    </row>
    <row r="2116" spans="1:6" x14ac:dyDescent="0.15">
      <c r="A2116" t="s">
        <v>3187</v>
      </c>
      <c r="B2116" t="s">
        <v>437</v>
      </c>
      <c r="C2116">
        <v>205.78017600000001</v>
      </c>
      <c r="D2116">
        <v>3.8009522549927253E-2</v>
      </c>
    </row>
    <row r="2117" spans="1:6" x14ac:dyDescent="0.15">
      <c r="A2117" t="s">
        <v>3188</v>
      </c>
      <c r="B2117" t="s">
        <v>437</v>
      </c>
      <c r="C2117">
        <v>124.50594240000002</v>
      </c>
      <c r="D2117">
        <v>9.9999999999999978E-2</v>
      </c>
    </row>
    <row r="2118" spans="1:6" x14ac:dyDescent="0.15">
      <c r="A2118" t="s">
        <v>1467</v>
      </c>
      <c r="B2118" t="s">
        <v>437</v>
      </c>
      <c r="C2118">
        <v>3.55</v>
      </c>
      <c r="D2118">
        <v>0.34</v>
      </c>
    </row>
    <row r="2119" spans="1:6" x14ac:dyDescent="0.15">
      <c r="A2119" t="s">
        <v>3189</v>
      </c>
      <c r="B2119" t="s">
        <v>437</v>
      </c>
      <c r="C2119">
        <v>60</v>
      </c>
      <c r="D2119">
        <v>0.15</v>
      </c>
    </row>
    <row r="2120" spans="1:6" x14ac:dyDescent="0.15">
      <c r="A2120" t="s">
        <v>3190</v>
      </c>
      <c r="B2120" t="s">
        <v>437</v>
      </c>
      <c r="C2120">
        <v>8.211974399999999</v>
      </c>
      <c r="D2120">
        <v>0.57130026513477683</v>
      </c>
    </row>
    <row r="2121" spans="1:6" x14ac:dyDescent="0.15">
      <c r="A2121" t="s">
        <v>3191</v>
      </c>
      <c r="B2121" t="s">
        <v>437</v>
      </c>
      <c r="C2121">
        <v>1.1603088000000001</v>
      </c>
      <c r="D2121">
        <v>0.28925723221266614</v>
      </c>
    </row>
    <row r="2122" spans="1:6" x14ac:dyDescent="0.15">
      <c r="A2122" t="s">
        <v>3192</v>
      </c>
      <c r="B2122" t="s">
        <v>437</v>
      </c>
      <c r="C2122">
        <v>13.6</v>
      </c>
      <c r="D2122">
        <v>0.4</v>
      </c>
    </row>
    <row r="2123" spans="1:6" x14ac:dyDescent="0.15">
      <c r="A2123" t="s">
        <v>811</v>
      </c>
      <c r="B2123" t="s">
        <v>437</v>
      </c>
      <c r="C2123">
        <v>60.056640000000002</v>
      </c>
      <c r="D2123">
        <v>0.33600000000000002</v>
      </c>
      <c r="E2123">
        <v>60.056640000000002</v>
      </c>
      <c r="F2123">
        <v>0.33600000000000002</v>
      </c>
    </row>
    <row r="2124" spans="1:6" x14ac:dyDescent="0.15">
      <c r="A2124" t="s">
        <v>3193</v>
      </c>
      <c r="B2124" t="s">
        <v>437</v>
      </c>
      <c r="C2124">
        <v>3.6288</v>
      </c>
      <c r="D2124">
        <v>2</v>
      </c>
    </row>
    <row r="2125" spans="1:6" x14ac:dyDescent="0.15">
      <c r="A2125" t="s">
        <v>3194</v>
      </c>
      <c r="B2125" t="s">
        <v>437</v>
      </c>
      <c r="C2125">
        <v>5.4432</v>
      </c>
      <c r="D2125">
        <v>2.2000000000000002</v>
      </c>
    </row>
    <row r="2126" spans="1:6" x14ac:dyDescent="0.15">
      <c r="A2126" t="s">
        <v>3195</v>
      </c>
      <c r="B2126" t="s">
        <v>437</v>
      </c>
      <c r="C2126">
        <v>285.15110399999998</v>
      </c>
      <c r="D2126">
        <v>0.28108653601425299</v>
      </c>
    </row>
    <row r="2127" spans="1:6" x14ac:dyDescent="0.15">
      <c r="A2127" t="s">
        <v>3196</v>
      </c>
      <c r="B2127" t="s">
        <v>437</v>
      </c>
      <c r="C2127">
        <v>2.1869999999999998</v>
      </c>
      <c r="D2127">
        <v>2.8747050754458163</v>
      </c>
    </row>
    <row r="2128" spans="1:6" x14ac:dyDescent="0.15">
      <c r="A2128" t="s">
        <v>3197</v>
      </c>
      <c r="B2128" t="s">
        <v>437</v>
      </c>
      <c r="C2128">
        <v>9.432228300000002</v>
      </c>
      <c r="D2128">
        <v>1.598823624741992</v>
      </c>
    </row>
    <row r="2129" spans="1:6" x14ac:dyDescent="0.15">
      <c r="A2129" t="s">
        <v>3198</v>
      </c>
      <c r="B2129" t="s">
        <v>437</v>
      </c>
      <c r="C2129">
        <v>1000</v>
      </c>
      <c r="D2129">
        <v>0.3</v>
      </c>
    </row>
    <row r="2130" spans="1:6" x14ac:dyDescent="0.15">
      <c r="A2130" t="s">
        <v>3199</v>
      </c>
      <c r="B2130" t="s">
        <v>437</v>
      </c>
      <c r="C2130">
        <v>18.143999999999998</v>
      </c>
      <c r="D2130">
        <v>0.42</v>
      </c>
    </row>
    <row r="2131" spans="1:6" x14ac:dyDescent="0.15">
      <c r="A2131" t="s">
        <v>3200</v>
      </c>
      <c r="B2131" t="s">
        <v>437</v>
      </c>
      <c r="C2131">
        <v>3.7</v>
      </c>
      <c r="D2131">
        <v>0.95</v>
      </c>
    </row>
    <row r="2132" spans="1:6" x14ac:dyDescent="0.15">
      <c r="A2132" t="s">
        <v>812</v>
      </c>
      <c r="B2132" t="s">
        <v>437</v>
      </c>
      <c r="C2132">
        <v>648.42755040000009</v>
      </c>
      <c r="D2132">
        <v>9.08134960553027E-2</v>
      </c>
      <c r="E2132">
        <v>280.5207552</v>
      </c>
      <c r="F2132">
        <v>0.1</v>
      </c>
    </row>
    <row r="2133" spans="1:6" x14ac:dyDescent="0.15">
      <c r="A2133" t="s">
        <v>3201</v>
      </c>
      <c r="B2133" t="s">
        <v>437</v>
      </c>
      <c r="C2133">
        <v>283.22742399999998</v>
      </c>
      <c r="D2133">
        <v>0.33491932736005109</v>
      </c>
    </row>
    <row r="2134" spans="1:6" x14ac:dyDescent="0.15">
      <c r="A2134" t="s">
        <v>3202</v>
      </c>
      <c r="B2134" t="s">
        <v>437</v>
      </c>
      <c r="C2134">
        <v>22.240090845087686</v>
      </c>
      <c r="D2134">
        <v>0.52212393850427763</v>
      </c>
    </row>
    <row r="2135" spans="1:6" x14ac:dyDescent="0.15">
      <c r="A2135" t="s">
        <v>1490</v>
      </c>
      <c r="B2135" t="s">
        <v>437</v>
      </c>
      <c r="C2135">
        <v>4.54</v>
      </c>
      <c r="D2135">
        <v>1.89</v>
      </c>
    </row>
    <row r="2136" spans="1:6" x14ac:dyDescent="0.15">
      <c r="A2136" t="s">
        <v>3203</v>
      </c>
      <c r="B2136" t="s">
        <v>437</v>
      </c>
      <c r="C2136">
        <v>6.7132800000000001</v>
      </c>
      <c r="D2136">
        <v>2.2000000000000002</v>
      </c>
    </row>
    <row r="2137" spans="1:6" x14ac:dyDescent="0.15">
      <c r="A2137" t="s">
        <v>3204</v>
      </c>
      <c r="B2137" t="s">
        <v>437</v>
      </c>
      <c r="C2137">
        <v>85.276799999999994</v>
      </c>
      <c r="D2137">
        <v>0.74</v>
      </c>
    </row>
    <row r="2138" spans="1:6" x14ac:dyDescent="0.15">
      <c r="A2138" t="s">
        <v>3205</v>
      </c>
      <c r="B2138" t="s">
        <v>437</v>
      </c>
      <c r="C2138">
        <v>679</v>
      </c>
      <c r="D2138">
        <v>0.47</v>
      </c>
    </row>
    <row r="2139" spans="1:6" x14ac:dyDescent="0.15">
      <c r="A2139" t="s">
        <v>3206</v>
      </c>
      <c r="B2139" t="s">
        <v>437</v>
      </c>
      <c r="C2139">
        <v>0.89127000000000001</v>
      </c>
      <c r="D2139">
        <v>1.8330904103133729</v>
      </c>
    </row>
    <row r="2140" spans="1:6" x14ac:dyDescent="0.15">
      <c r="A2140" t="s">
        <v>3207</v>
      </c>
      <c r="B2140" t="s">
        <v>437</v>
      </c>
      <c r="C2140">
        <v>17.372879999999999</v>
      </c>
      <c r="D2140">
        <v>0.41182767624020888</v>
      </c>
    </row>
    <row r="2141" spans="1:6" x14ac:dyDescent="0.15">
      <c r="A2141" t="s">
        <v>3208</v>
      </c>
      <c r="B2141" t="s">
        <v>437</v>
      </c>
      <c r="C2141">
        <v>18.143999999999998</v>
      </c>
      <c r="D2141">
        <v>0.4</v>
      </c>
    </row>
    <row r="2142" spans="1:6" x14ac:dyDescent="0.15">
      <c r="A2142" t="s">
        <v>3209</v>
      </c>
      <c r="B2142" t="s">
        <v>437</v>
      </c>
      <c r="C2142">
        <v>5.0893920000000001</v>
      </c>
      <c r="D2142">
        <v>0.47</v>
      </c>
    </row>
    <row r="2143" spans="1:6" x14ac:dyDescent="0.15">
      <c r="A2143" t="s">
        <v>3210</v>
      </c>
      <c r="B2143" t="s">
        <v>437</v>
      </c>
      <c r="C2143">
        <v>488.53445760000005</v>
      </c>
      <c r="D2143">
        <v>0.22512899901208519</v>
      </c>
    </row>
    <row r="2144" spans="1:6" x14ac:dyDescent="0.15">
      <c r="A2144" t="s">
        <v>3211</v>
      </c>
      <c r="B2144" t="s">
        <v>437</v>
      </c>
      <c r="C2144">
        <v>7.2</v>
      </c>
      <c r="D2144">
        <v>1</v>
      </c>
    </row>
    <row r="2145" spans="1:6" x14ac:dyDescent="0.15">
      <c r="A2145" t="s">
        <v>3212</v>
      </c>
      <c r="B2145" t="s">
        <v>437</v>
      </c>
      <c r="C2145">
        <v>145</v>
      </c>
      <c r="D2145">
        <v>0.2</v>
      </c>
    </row>
    <row r="2146" spans="1:6" x14ac:dyDescent="0.15">
      <c r="A2146" t="s">
        <v>3213</v>
      </c>
      <c r="B2146" t="s">
        <v>437</v>
      </c>
      <c r="C2146">
        <v>1964.088</v>
      </c>
      <c r="D2146">
        <v>0.50447482678983835</v>
      </c>
    </row>
    <row r="2147" spans="1:6" x14ac:dyDescent="0.15">
      <c r="A2147" t="s">
        <v>3214</v>
      </c>
      <c r="B2147" t="s">
        <v>437</v>
      </c>
      <c r="C2147">
        <v>136.08000000000001</v>
      </c>
      <c r="D2147">
        <v>0.36</v>
      </c>
    </row>
    <row r="2148" spans="1:6" x14ac:dyDescent="0.15">
      <c r="A2148" t="s">
        <v>1476</v>
      </c>
      <c r="B2148" t="s">
        <v>437</v>
      </c>
      <c r="C2148">
        <v>1102</v>
      </c>
      <c r="D2148">
        <v>0.57379310344827583</v>
      </c>
    </row>
    <row r="2149" spans="1:6" x14ac:dyDescent="0.15">
      <c r="A2149" t="s">
        <v>3215</v>
      </c>
      <c r="B2149" t="s">
        <v>437</v>
      </c>
      <c r="C2149">
        <v>498</v>
      </c>
      <c r="D2149">
        <v>0.39</v>
      </c>
    </row>
    <row r="2150" spans="1:6" x14ac:dyDescent="0.15">
      <c r="A2150" t="s">
        <v>3216</v>
      </c>
      <c r="B2150" t="s">
        <v>437</v>
      </c>
      <c r="C2150">
        <v>93</v>
      </c>
      <c r="D2150">
        <v>0.41</v>
      </c>
    </row>
    <row r="2151" spans="1:6" x14ac:dyDescent="0.15">
      <c r="A2151" t="s">
        <v>3217</v>
      </c>
      <c r="B2151" t="s">
        <v>437</v>
      </c>
      <c r="C2151">
        <v>13.2</v>
      </c>
      <c r="D2151">
        <v>0.4</v>
      </c>
    </row>
    <row r="2152" spans="1:6" x14ac:dyDescent="0.15">
      <c r="A2152" t="s">
        <v>813</v>
      </c>
      <c r="B2152" t="s">
        <v>437</v>
      </c>
      <c r="C2152">
        <v>1291.7031120000001</v>
      </c>
      <c r="D2152">
        <v>9.8692344267418602E-2</v>
      </c>
      <c r="E2152">
        <v>356.18214239999998</v>
      </c>
      <c r="F2152">
        <v>0.11706302325166766</v>
      </c>
    </row>
    <row r="2153" spans="1:6" x14ac:dyDescent="0.15">
      <c r="A2153" t="s">
        <v>1485</v>
      </c>
      <c r="B2153" t="s">
        <v>437</v>
      </c>
      <c r="C2153">
        <v>7.2576000000000003E-3</v>
      </c>
      <c r="D2153">
        <v>0.88</v>
      </c>
    </row>
    <row r="2154" spans="1:6" x14ac:dyDescent="0.15">
      <c r="A2154" t="s">
        <v>814</v>
      </c>
      <c r="B2154" t="s">
        <v>437</v>
      </c>
      <c r="C2154">
        <v>313.39999999999998</v>
      </c>
      <c r="D2154">
        <v>0.39</v>
      </c>
      <c r="E2154">
        <v>313.39999999999998</v>
      </c>
      <c r="F2154">
        <v>0.39</v>
      </c>
    </row>
    <row r="2155" spans="1:6" x14ac:dyDescent="0.15">
      <c r="A2155" t="s">
        <v>3218</v>
      </c>
      <c r="B2155" t="s">
        <v>437</v>
      </c>
      <c r="C2155">
        <v>5</v>
      </c>
      <c r="D2155">
        <v>0.5</v>
      </c>
    </row>
    <row r="2156" spans="1:6" x14ac:dyDescent="0.15">
      <c r="A2156" t="s">
        <v>3219</v>
      </c>
      <c r="B2156" t="s">
        <v>437</v>
      </c>
      <c r="C2156">
        <v>105.7668192</v>
      </c>
      <c r="D2156">
        <v>0.73761892508534466</v>
      </c>
    </row>
    <row r="2157" spans="1:6" x14ac:dyDescent="0.15">
      <c r="A2157" t="s">
        <v>3220</v>
      </c>
      <c r="B2157" t="s">
        <v>437</v>
      </c>
      <c r="C2157">
        <v>54.493689599999996</v>
      </c>
      <c r="D2157">
        <v>0.48937870413531337</v>
      </c>
    </row>
    <row r="2158" spans="1:6" x14ac:dyDescent="0.15">
      <c r="A2158" t="s">
        <v>815</v>
      </c>
      <c r="B2158" t="s">
        <v>437</v>
      </c>
      <c r="C2158">
        <v>11075</v>
      </c>
      <c r="D2158">
        <v>0.24848487584650111</v>
      </c>
      <c r="E2158">
        <v>3574</v>
      </c>
      <c r="F2158">
        <v>0.2673307218802462</v>
      </c>
    </row>
    <row r="2159" spans="1:6" x14ac:dyDescent="0.15">
      <c r="A2159" t="s">
        <v>1471</v>
      </c>
      <c r="B2159" t="s">
        <v>437</v>
      </c>
      <c r="C2159">
        <v>131.54400000000001</v>
      </c>
      <c r="D2159">
        <v>0.28999999999999998</v>
      </c>
    </row>
    <row r="2160" spans="1:6" x14ac:dyDescent="0.15">
      <c r="A2160" t="s">
        <v>3221</v>
      </c>
      <c r="B2160" t="s">
        <v>437</v>
      </c>
      <c r="C2160">
        <v>3</v>
      </c>
      <c r="D2160">
        <v>1.3</v>
      </c>
    </row>
    <row r="2161" spans="1:6" x14ac:dyDescent="0.15">
      <c r="A2161" t="s">
        <v>3222</v>
      </c>
      <c r="B2161" t="s">
        <v>437</v>
      </c>
      <c r="C2161">
        <v>523</v>
      </c>
      <c r="D2161">
        <v>0.36</v>
      </c>
    </row>
    <row r="2162" spans="1:6" x14ac:dyDescent="0.15">
      <c r="A2162" t="s">
        <v>3223</v>
      </c>
      <c r="B2162" t="s">
        <v>437</v>
      </c>
      <c r="C2162">
        <v>2400</v>
      </c>
      <c r="D2162">
        <v>0.09</v>
      </c>
    </row>
    <row r="2163" spans="1:6" x14ac:dyDescent="0.15">
      <c r="A2163" t="s">
        <v>3224</v>
      </c>
      <c r="B2163" t="s">
        <v>437</v>
      </c>
      <c r="C2163">
        <v>58.968000000000004</v>
      </c>
      <c r="D2163">
        <v>0.35</v>
      </c>
    </row>
    <row r="2164" spans="1:6" x14ac:dyDescent="0.15">
      <c r="A2164" t="s">
        <v>3225</v>
      </c>
      <c r="B2164" t="s">
        <v>437</v>
      </c>
      <c r="C2164">
        <v>14.2</v>
      </c>
      <c r="D2164">
        <v>0.46</v>
      </c>
    </row>
    <row r="2165" spans="1:6" x14ac:dyDescent="0.15">
      <c r="A2165" t="s">
        <v>3226</v>
      </c>
      <c r="B2165" t="s">
        <v>437</v>
      </c>
      <c r="C2165">
        <v>9.0309999999999988</v>
      </c>
      <c r="D2165">
        <v>0.89740117373491324</v>
      </c>
    </row>
    <row r="2166" spans="1:6" x14ac:dyDescent="0.15">
      <c r="A2166" t="s">
        <v>3227</v>
      </c>
      <c r="B2166" t="s">
        <v>437</v>
      </c>
      <c r="C2166">
        <v>128</v>
      </c>
      <c r="D2166">
        <v>0.68</v>
      </c>
    </row>
    <row r="2167" spans="1:6" x14ac:dyDescent="0.15">
      <c r="A2167" t="s">
        <v>816</v>
      </c>
      <c r="B2167" t="s">
        <v>437</v>
      </c>
      <c r="C2167">
        <v>1068.8630400000002</v>
      </c>
      <c r="D2167">
        <v>0.22254360336432044</v>
      </c>
      <c r="E2167">
        <v>249.11712000000003</v>
      </c>
      <c r="F2167">
        <v>0.22254360336432044</v>
      </c>
    </row>
    <row r="2168" spans="1:6" x14ac:dyDescent="0.15">
      <c r="A2168" t="s">
        <v>3228</v>
      </c>
      <c r="B2168" t="s">
        <v>437</v>
      </c>
      <c r="C2168">
        <v>119.51452800000001</v>
      </c>
      <c r="D2168">
        <v>0.1796599362380446</v>
      </c>
    </row>
    <row r="2169" spans="1:6" x14ac:dyDescent="0.15">
      <c r="A2169" t="s">
        <v>1472</v>
      </c>
      <c r="B2169" t="s">
        <v>437</v>
      </c>
      <c r="C2169">
        <v>54.432000000000002</v>
      </c>
      <c r="D2169">
        <v>0.52</v>
      </c>
    </row>
    <row r="2170" spans="1:6" x14ac:dyDescent="0.15">
      <c r="A2170" t="s">
        <v>3229</v>
      </c>
      <c r="B2170" t="s">
        <v>437</v>
      </c>
      <c r="C2170">
        <v>10</v>
      </c>
      <c r="D2170">
        <v>0.5</v>
      </c>
    </row>
    <row r="2171" spans="1:6" x14ac:dyDescent="0.15">
      <c r="A2171" t="s">
        <v>3230</v>
      </c>
      <c r="B2171" t="s">
        <v>437</v>
      </c>
      <c r="C2171">
        <v>31.751999999999999</v>
      </c>
      <c r="D2171">
        <v>4</v>
      </c>
    </row>
    <row r="2172" spans="1:6" x14ac:dyDescent="0.15">
      <c r="A2172" t="s">
        <v>3231</v>
      </c>
      <c r="B2172" t="s">
        <v>437</v>
      </c>
      <c r="C2172">
        <v>11.758219199999999</v>
      </c>
      <c r="D2172">
        <v>1.5733778257850477</v>
      </c>
    </row>
    <row r="2173" spans="1:6" x14ac:dyDescent="0.15">
      <c r="A2173" t="s">
        <v>3232</v>
      </c>
      <c r="B2173" t="s">
        <v>437</v>
      </c>
      <c r="C2173">
        <v>290.30399999999997</v>
      </c>
      <c r="D2173">
        <v>0.35</v>
      </c>
    </row>
    <row r="2174" spans="1:6" x14ac:dyDescent="0.15">
      <c r="A2174" t="s">
        <v>3233</v>
      </c>
      <c r="B2174" t="s">
        <v>437</v>
      </c>
      <c r="C2174">
        <v>4.935168</v>
      </c>
      <c r="D2174">
        <v>0.25</v>
      </c>
    </row>
    <row r="2175" spans="1:6" x14ac:dyDescent="0.15">
      <c r="A2175" t="s">
        <v>3234</v>
      </c>
      <c r="B2175" t="s">
        <v>437</v>
      </c>
      <c r="C2175">
        <v>9.1329999999999991</v>
      </c>
      <c r="D2175">
        <v>1.3</v>
      </c>
    </row>
    <row r="2176" spans="1:6" x14ac:dyDescent="0.15">
      <c r="A2176" t="s">
        <v>3235</v>
      </c>
      <c r="B2176" t="s">
        <v>437</v>
      </c>
      <c r="C2176">
        <v>10899</v>
      </c>
      <c r="D2176">
        <v>0.34065785851913016</v>
      </c>
    </row>
    <row r="2177" spans="1:6" x14ac:dyDescent="0.15">
      <c r="A2177" t="s">
        <v>1000</v>
      </c>
      <c r="B2177" t="s">
        <v>437</v>
      </c>
      <c r="C2177">
        <v>2.7</v>
      </c>
      <c r="D2177">
        <v>1</v>
      </c>
    </row>
    <row r="2178" spans="1:6" x14ac:dyDescent="0.15">
      <c r="A2178" t="s">
        <v>817</v>
      </c>
      <c r="B2178" t="s">
        <v>437</v>
      </c>
      <c r="C2178">
        <v>789.9</v>
      </c>
      <c r="D2178">
        <v>0.15083175085453854</v>
      </c>
      <c r="E2178">
        <v>478.4</v>
      </c>
      <c r="F2178">
        <v>0.16874581939799332</v>
      </c>
    </row>
    <row r="2179" spans="1:6" x14ac:dyDescent="0.15">
      <c r="A2179" t="s">
        <v>3236</v>
      </c>
      <c r="B2179" t="s">
        <v>437</v>
      </c>
      <c r="C2179">
        <v>6.79</v>
      </c>
      <c r="D2179">
        <v>0.17</v>
      </c>
    </row>
    <row r="2180" spans="1:6" x14ac:dyDescent="0.15">
      <c r="A2180" t="s">
        <v>3237</v>
      </c>
      <c r="B2180" t="s">
        <v>437</v>
      </c>
      <c r="C2180">
        <v>1900</v>
      </c>
      <c r="D2180">
        <v>0.69</v>
      </c>
    </row>
    <row r="2181" spans="1:6" x14ac:dyDescent="0.15">
      <c r="A2181" t="s">
        <v>3238</v>
      </c>
      <c r="B2181" t="s">
        <v>437</v>
      </c>
      <c r="C2181">
        <v>25</v>
      </c>
      <c r="D2181">
        <v>0.36</v>
      </c>
    </row>
    <row r="2182" spans="1:6" x14ac:dyDescent="0.15">
      <c r="A2182" t="s">
        <v>3239</v>
      </c>
      <c r="B2182" t="s">
        <v>437</v>
      </c>
      <c r="C2182">
        <v>214</v>
      </c>
      <c r="D2182">
        <v>0.31186915887850464</v>
      </c>
    </row>
    <row r="2183" spans="1:6" x14ac:dyDescent="0.15">
      <c r="A2183" t="s">
        <v>818</v>
      </c>
      <c r="B2183" t="s">
        <v>437</v>
      </c>
      <c r="C2183">
        <v>1546</v>
      </c>
      <c r="D2183">
        <v>0.29271668822768437</v>
      </c>
      <c r="E2183">
        <v>473.8</v>
      </c>
      <c r="F2183">
        <v>0.31</v>
      </c>
    </row>
    <row r="2184" spans="1:6" x14ac:dyDescent="0.15">
      <c r="A2184" t="s">
        <v>819</v>
      </c>
      <c r="B2184" t="s">
        <v>437</v>
      </c>
      <c r="C2184">
        <v>603.10656000000017</v>
      </c>
      <c r="D2184">
        <v>0.54375752105896502</v>
      </c>
      <c r="E2184">
        <v>518.816807208</v>
      </c>
      <c r="F2184">
        <v>0.44113746693047934</v>
      </c>
    </row>
    <row r="2185" spans="1:6" x14ac:dyDescent="0.15">
      <c r="A2185" t="s">
        <v>3240</v>
      </c>
      <c r="B2185" t="s">
        <v>437</v>
      </c>
      <c r="C2185">
        <v>174.22182599999999</v>
      </c>
      <c r="D2185">
        <v>0.31929999999999997</v>
      </c>
    </row>
    <row r="2186" spans="1:6" x14ac:dyDescent="0.15">
      <c r="A2186" t="s">
        <v>820</v>
      </c>
      <c r="B2186" t="s">
        <v>437</v>
      </c>
      <c r="C2186">
        <v>857.3</v>
      </c>
      <c r="D2186">
        <v>0.37345270033827133</v>
      </c>
      <c r="E2186">
        <v>857.3</v>
      </c>
      <c r="F2186">
        <v>0.37345270033827133</v>
      </c>
    </row>
    <row r="2187" spans="1:6" x14ac:dyDescent="0.15">
      <c r="A2187" t="s">
        <v>3241</v>
      </c>
      <c r="B2187" t="s">
        <v>437</v>
      </c>
      <c r="C2187">
        <v>453.5</v>
      </c>
      <c r="D2187">
        <v>0.1</v>
      </c>
    </row>
    <row r="2188" spans="1:6" x14ac:dyDescent="0.15">
      <c r="A2188" t="s">
        <v>3242</v>
      </c>
      <c r="B2188" t="s">
        <v>437</v>
      </c>
      <c r="C2188">
        <v>370.30593599999997</v>
      </c>
      <c r="D2188">
        <v>2.8809473904841759E-2</v>
      </c>
    </row>
    <row r="2189" spans="1:6" x14ac:dyDescent="0.15">
      <c r="A2189" t="s">
        <v>3243</v>
      </c>
      <c r="B2189" t="s">
        <v>437</v>
      </c>
      <c r="C2189">
        <v>39</v>
      </c>
      <c r="D2189">
        <v>0.3923076923076923</v>
      </c>
    </row>
    <row r="2190" spans="1:6" x14ac:dyDescent="0.15">
      <c r="A2190" t="s">
        <v>3244</v>
      </c>
      <c r="B2190" t="s">
        <v>437</v>
      </c>
      <c r="C2190">
        <v>570</v>
      </c>
      <c r="D2190">
        <v>0.63</v>
      </c>
    </row>
    <row r="2191" spans="1:6" x14ac:dyDescent="0.15">
      <c r="A2191" t="s">
        <v>3245</v>
      </c>
      <c r="B2191" t="s">
        <v>437</v>
      </c>
      <c r="C2191">
        <v>1766</v>
      </c>
      <c r="D2191">
        <v>1.51</v>
      </c>
    </row>
    <row r="2192" spans="1:6" x14ac:dyDescent="0.15">
      <c r="A2192" t="s">
        <v>3246</v>
      </c>
      <c r="B2192" t="s">
        <v>437</v>
      </c>
      <c r="C2192">
        <v>1.3571712</v>
      </c>
      <c r="D2192">
        <v>0.14636363636363636</v>
      </c>
    </row>
    <row r="2193" spans="1:6" x14ac:dyDescent="0.15">
      <c r="A2193" t="s">
        <v>3247</v>
      </c>
      <c r="B2193" t="s">
        <v>437</v>
      </c>
      <c r="C2193">
        <v>27</v>
      </c>
      <c r="D2193">
        <v>0.1</v>
      </c>
    </row>
    <row r="2194" spans="1:6" x14ac:dyDescent="0.15">
      <c r="A2194" t="s">
        <v>821</v>
      </c>
      <c r="B2194" t="s">
        <v>437</v>
      </c>
      <c r="C2194">
        <v>370.05700000000002</v>
      </c>
      <c r="D2194">
        <v>0.45298297289336503</v>
      </c>
      <c r="E2194">
        <v>119.374</v>
      </c>
      <c r="F2194">
        <v>0.41</v>
      </c>
    </row>
    <row r="2195" spans="1:6" x14ac:dyDescent="0.15">
      <c r="A2195" t="s">
        <v>3248</v>
      </c>
      <c r="B2195" t="s">
        <v>437</v>
      </c>
      <c r="C2195">
        <v>123.9244272</v>
      </c>
      <c r="D2195">
        <v>0.7</v>
      </c>
    </row>
    <row r="2196" spans="1:6" x14ac:dyDescent="0.15">
      <c r="A2196" t="s">
        <v>822</v>
      </c>
      <c r="B2196" t="s">
        <v>437</v>
      </c>
      <c r="C2196">
        <v>721.84100000000001</v>
      </c>
      <c r="D2196">
        <v>0.43354084902353845</v>
      </c>
      <c r="E2196">
        <v>605.279</v>
      </c>
      <c r="F2196">
        <v>0.44</v>
      </c>
    </row>
    <row r="2197" spans="1:6" x14ac:dyDescent="0.15">
      <c r="A2197" t="s">
        <v>3249</v>
      </c>
      <c r="B2197" t="s">
        <v>437</v>
      </c>
      <c r="C2197">
        <v>55</v>
      </c>
      <c r="D2197">
        <v>0.2</v>
      </c>
    </row>
    <row r="2198" spans="1:6" x14ac:dyDescent="0.15">
      <c r="A2198" t="s">
        <v>823</v>
      </c>
      <c r="B2198" t="s">
        <v>437</v>
      </c>
      <c r="C2198">
        <v>545</v>
      </c>
      <c r="D2198">
        <v>0.49713761467889905</v>
      </c>
      <c r="E2198">
        <v>84</v>
      </c>
      <c r="F2198">
        <v>0.43357142857142861</v>
      </c>
    </row>
    <row r="2199" spans="1:6" x14ac:dyDescent="0.15">
      <c r="A2199" t="s">
        <v>3250</v>
      </c>
      <c r="B2199" t="s">
        <v>437</v>
      </c>
      <c r="C2199">
        <v>667.274584</v>
      </c>
      <c r="D2199">
        <v>0.54133381960191662</v>
      </c>
    </row>
    <row r="2200" spans="1:6" x14ac:dyDescent="0.15">
      <c r="A2200" t="s">
        <v>3251</v>
      </c>
      <c r="B2200" t="s">
        <v>437</v>
      </c>
      <c r="C2200">
        <v>148</v>
      </c>
      <c r="D2200">
        <v>0.28999999999999998</v>
      </c>
    </row>
    <row r="2201" spans="1:6" x14ac:dyDescent="0.15">
      <c r="A2201" t="s">
        <v>1483</v>
      </c>
      <c r="B2201" t="s">
        <v>437</v>
      </c>
      <c r="C2201">
        <v>192.32640000000001</v>
      </c>
      <c r="D2201">
        <v>0.42551886792452825</v>
      </c>
    </row>
    <row r="2202" spans="1:6" x14ac:dyDescent="0.15">
      <c r="A2202" t="s">
        <v>3252</v>
      </c>
      <c r="B2202" t="s">
        <v>437</v>
      </c>
      <c r="C2202">
        <v>159</v>
      </c>
      <c r="D2202">
        <v>0.46</v>
      </c>
    </row>
    <row r="2203" spans="1:6" x14ac:dyDescent="0.15">
      <c r="A2203" t="s">
        <v>3253</v>
      </c>
      <c r="B2203" t="s">
        <v>437</v>
      </c>
      <c r="C2203">
        <v>317.52</v>
      </c>
      <c r="D2203">
        <v>1</v>
      </c>
    </row>
    <row r="2204" spans="1:6" x14ac:dyDescent="0.15">
      <c r="A2204" t="s">
        <v>824</v>
      </c>
      <c r="B2204" t="s">
        <v>437</v>
      </c>
      <c r="C2204">
        <v>4339</v>
      </c>
      <c r="D2204">
        <v>0.2086102788660982</v>
      </c>
      <c r="E2204">
        <v>2319</v>
      </c>
      <c r="F2204">
        <v>0.23603277274687365</v>
      </c>
    </row>
    <row r="2205" spans="1:6" x14ac:dyDescent="0.15">
      <c r="A2205" t="s">
        <v>825</v>
      </c>
      <c r="B2205" t="s">
        <v>437</v>
      </c>
      <c r="C2205">
        <v>194.5</v>
      </c>
      <c r="D2205">
        <v>0.55000000000000004</v>
      </c>
      <c r="E2205">
        <v>194.5</v>
      </c>
      <c r="F2205">
        <v>0.55000000000000004</v>
      </c>
    </row>
    <row r="2206" spans="1:6" x14ac:dyDescent="0.15">
      <c r="A2206" t="s">
        <v>3254</v>
      </c>
      <c r="B2206" t="s">
        <v>437</v>
      </c>
      <c r="C2206">
        <v>24.494399999999999</v>
      </c>
      <c r="D2206">
        <v>0.5</v>
      </c>
    </row>
    <row r="2207" spans="1:6" x14ac:dyDescent="0.15">
      <c r="A2207" t="s">
        <v>1482</v>
      </c>
      <c r="B2207" t="s">
        <v>437</v>
      </c>
      <c r="C2207">
        <v>0.390096</v>
      </c>
      <c r="D2207">
        <v>0.3</v>
      </c>
    </row>
    <row r="2208" spans="1:6" x14ac:dyDescent="0.15">
      <c r="A2208" t="s">
        <v>3255</v>
      </c>
      <c r="B2208" t="s">
        <v>437</v>
      </c>
      <c r="C2208">
        <v>9</v>
      </c>
      <c r="D2208">
        <v>1.0111111111111111</v>
      </c>
    </row>
    <row r="2209" spans="1:6" x14ac:dyDescent="0.15">
      <c r="A2209" t="s">
        <v>3256</v>
      </c>
      <c r="B2209" t="s">
        <v>437</v>
      </c>
      <c r="C2209">
        <v>360</v>
      </c>
      <c r="D2209">
        <v>0.33</v>
      </c>
    </row>
    <row r="2210" spans="1:6" x14ac:dyDescent="0.15">
      <c r="A2210" t="s">
        <v>1480</v>
      </c>
      <c r="B2210" t="s">
        <v>437</v>
      </c>
      <c r="C2210">
        <v>611.45280000000002</v>
      </c>
      <c r="D2210">
        <v>0.38</v>
      </c>
    </row>
    <row r="2211" spans="1:6" x14ac:dyDescent="0.15">
      <c r="A2211" t="s">
        <v>3257</v>
      </c>
      <c r="B2211" t="s">
        <v>437</v>
      </c>
      <c r="C2211">
        <v>40.708316577600002</v>
      </c>
      <c r="D2211">
        <v>0.31</v>
      </c>
    </row>
    <row r="2212" spans="1:6" x14ac:dyDescent="0.15">
      <c r="A2212" t="s">
        <v>826</v>
      </c>
      <c r="B2212" t="s">
        <v>437</v>
      </c>
      <c r="C2212">
        <v>39.427819200000002</v>
      </c>
      <c r="D2212">
        <v>6.9615541498893721E-2</v>
      </c>
      <c r="E2212">
        <v>39.427819200000002</v>
      </c>
      <c r="F2212">
        <v>6.9615541498893721E-2</v>
      </c>
    </row>
    <row r="2213" spans="1:6" x14ac:dyDescent="0.15">
      <c r="A2213" t="s">
        <v>3258</v>
      </c>
      <c r="B2213" t="s">
        <v>437</v>
      </c>
      <c r="C2213">
        <v>3.3566400000000001</v>
      </c>
      <c r="D2213">
        <v>0.6</v>
      </c>
    </row>
    <row r="2214" spans="1:6" x14ac:dyDescent="0.15">
      <c r="A2214" t="s">
        <v>3259</v>
      </c>
      <c r="B2214" t="s">
        <v>437</v>
      </c>
      <c r="C2214">
        <v>53</v>
      </c>
      <c r="D2214">
        <v>0.6</v>
      </c>
    </row>
    <row r="2215" spans="1:6" x14ac:dyDescent="0.15">
      <c r="A2215" t="s">
        <v>3260</v>
      </c>
      <c r="B2215" t="s">
        <v>437</v>
      </c>
      <c r="C2215">
        <v>24.222239999999999</v>
      </c>
      <c r="D2215">
        <v>0.56999999999999995</v>
      </c>
    </row>
    <row r="2216" spans="1:6" x14ac:dyDescent="0.15">
      <c r="A2216" t="s">
        <v>3261</v>
      </c>
      <c r="B2216" t="s">
        <v>437</v>
      </c>
      <c r="C2216">
        <v>17.033000000000001</v>
      </c>
      <c r="D2216">
        <v>1.0329912522749956</v>
      </c>
    </row>
    <row r="2217" spans="1:6" x14ac:dyDescent="0.15">
      <c r="A2217" t="s">
        <v>3262</v>
      </c>
      <c r="B2217" t="s">
        <v>437</v>
      </c>
      <c r="C2217">
        <v>2086.56</v>
      </c>
      <c r="D2217">
        <v>0.27782608695652172</v>
      </c>
    </row>
    <row r="2218" spans="1:6" x14ac:dyDescent="0.15">
      <c r="A2218" t="s">
        <v>3263</v>
      </c>
      <c r="B2218" t="s">
        <v>437</v>
      </c>
      <c r="C2218">
        <v>64.411199999999994</v>
      </c>
      <c r="D2218">
        <v>0.31900000000000001</v>
      </c>
    </row>
    <row r="2219" spans="1:6" x14ac:dyDescent="0.15">
      <c r="A2219" t="s">
        <v>3264</v>
      </c>
      <c r="B2219" t="s">
        <v>437</v>
      </c>
      <c r="C2219">
        <v>0.34936271999999996</v>
      </c>
      <c r="D2219">
        <v>0.51578291352895367</v>
      </c>
    </row>
    <row r="2220" spans="1:6" x14ac:dyDescent="0.15">
      <c r="A2220" t="s">
        <v>3265</v>
      </c>
      <c r="B2220" t="s">
        <v>437</v>
      </c>
      <c r="C2220">
        <v>997.92</v>
      </c>
      <c r="D2220">
        <v>0.54545454545454541</v>
      </c>
    </row>
    <row r="2221" spans="1:6" x14ac:dyDescent="0.15">
      <c r="A2221" t="s">
        <v>3266</v>
      </c>
      <c r="B2221" t="s">
        <v>437</v>
      </c>
      <c r="C2221">
        <v>4.9170239999999996</v>
      </c>
      <c r="D2221">
        <v>0.91</v>
      </c>
    </row>
    <row r="2222" spans="1:6" x14ac:dyDescent="0.15">
      <c r="A2222" t="s">
        <v>1477</v>
      </c>
      <c r="B2222" t="s">
        <v>437</v>
      </c>
      <c r="C2222">
        <v>8.7629999999999999</v>
      </c>
      <c r="D2222">
        <v>0.8054022595001713</v>
      </c>
    </row>
    <row r="2223" spans="1:6" x14ac:dyDescent="0.15">
      <c r="A2223" t="s">
        <v>3267</v>
      </c>
      <c r="B2223" t="s">
        <v>437</v>
      </c>
      <c r="C2223">
        <v>450</v>
      </c>
      <c r="D2223">
        <v>0.5</v>
      </c>
    </row>
    <row r="2224" spans="1:6" x14ac:dyDescent="0.15">
      <c r="A2224" t="s">
        <v>3268</v>
      </c>
      <c r="B2224" t="s">
        <v>437</v>
      </c>
      <c r="C2224">
        <v>270</v>
      </c>
      <c r="D2224">
        <v>0.67</v>
      </c>
    </row>
    <row r="2225" spans="1:6" x14ac:dyDescent="0.15">
      <c r="A2225" t="s">
        <v>3269</v>
      </c>
      <c r="B2225" t="s">
        <v>437</v>
      </c>
      <c r="C2225">
        <v>1002</v>
      </c>
      <c r="D2225">
        <v>0.19</v>
      </c>
    </row>
    <row r="2226" spans="1:6" x14ac:dyDescent="0.15">
      <c r="A2226" t="s">
        <v>827</v>
      </c>
      <c r="B2226" t="s">
        <v>437</v>
      </c>
      <c r="C2226">
        <v>70.140000000000015</v>
      </c>
      <c r="D2226">
        <v>0.54246506986027943</v>
      </c>
      <c r="E2226">
        <v>15.03</v>
      </c>
      <c r="F2226">
        <v>0.36</v>
      </c>
    </row>
    <row r="2227" spans="1:6" x14ac:dyDescent="0.15">
      <c r="A2227" t="s">
        <v>3270</v>
      </c>
      <c r="B2227" t="s">
        <v>437</v>
      </c>
      <c r="C2227">
        <v>4</v>
      </c>
      <c r="D2227">
        <v>3.4</v>
      </c>
    </row>
    <row r="2228" spans="1:6" x14ac:dyDescent="0.15">
      <c r="A2228" t="s">
        <v>3271</v>
      </c>
      <c r="B2228" t="s">
        <v>437</v>
      </c>
      <c r="C2228">
        <v>14.19768</v>
      </c>
      <c r="D2228">
        <v>0.60798722044728437</v>
      </c>
    </row>
    <row r="2229" spans="1:6" x14ac:dyDescent="0.15">
      <c r="A2229" t="s">
        <v>3272</v>
      </c>
      <c r="B2229" t="s">
        <v>437</v>
      </c>
      <c r="C2229">
        <v>2.7216</v>
      </c>
      <c r="D2229">
        <v>1.4</v>
      </c>
    </row>
    <row r="2230" spans="1:6" x14ac:dyDescent="0.15">
      <c r="A2230" t="s">
        <v>3273</v>
      </c>
      <c r="B2230" t="s">
        <v>437</v>
      </c>
      <c r="C2230">
        <v>117</v>
      </c>
      <c r="D2230">
        <v>0.47333333333333327</v>
      </c>
    </row>
    <row r="2231" spans="1:6" x14ac:dyDescent="0.15">
      <c r="A2231" t="s">
        <v>3274</v>
      </c>
      <c r="B2231" t="s">
        <v>437</v>
      </c>
      <c r="C2231">
        <v>29.0304</v>
      </c>
      <c r="D2231">
        <v>0.28000000000000003</v>
      </c>
    </row>
    <row r="2232" spans="1:6" x14ac:dyDescent="0.15">
      <c r="A2232" t="s">
        <v>828</v>
      </c>
      <c r="B2232" t="s">
        <v>437</v>
      </c>
      <c r="C2232">
        <v>1145</v>
      </c>
      <c r="D2232">
        <v>0.28303056768558954</v>
      </c>
      <c r="E2232">
        <v>13</v>
      </c>
      <c r="F2232">
        <v>0.42</v>
      </c>
    </row>
    <row r="2233" spans="1:6" x14ac:dyDescent="0.15">
      <c r="A2233" t="s">
        <v>3275</v>
      </c>
      <c r="B2233" t="s">
        <v>437</v>
      </c>
      <c r="C2233">
        <v>27.210999999999999</v>
      </c>
      <c r="D2233">
        <v>3.2550564110102536</v>
      </c>
    </row>
    <row r="2234" spans="1:6" x14ac:dyDescent="0.15">
      <c r="A2234" t="s">
        <v>3276</v>
      </c>
      <c r="B2234" t="s">
        <v>437</v>
      </c>
      <c r="C2234">
        <v>404.2</v>
      </c>
      <c r="D2234">
        <v>1.1326422563087579</v>
      </c>
    </row>
    <row r="2235" spans="1:6" x14ac:dyDescent="0.15">
      <c r="A2235" t="s">
        <v>3277</v>
      </c>
      <c r="B2235" t="s">
        <v>437</v>
      </c>
      <c r="C2235">
        <v>183.06100000000001</v>
      </c>
      <c r="D2235">
        <v>0.33200000000000002</v>
      </c>
    </row>
    <row r="2236" spans="1:6" x14ac:dyDescent="0.15">
      <c r="A2236" t="s">
        <v>3278</v>
      </c>
      <c r="B2236" t="s">
        <v>437</v>
      </c>
      <c r="C2236">
        <v>95.3</v>
      </c>
      <c r="D2236">
        <v>0.56000000000000005</v>
      </c>
    </row>
    <row r="2237" spans="1:6" x14ac:dyDescent="0.15">
      <c r="A2237" t="s">
        <v>3279</v>
      </c>
      <c r="B2237" t="s">
        <v>437</v>
      </c>
      <c r="C2237">
        <v>5.4432</v>
      </c>
      <c r="D2237">
        <v>0.26</v>
      </c>
    </row>
    <row r="2238" spans="1:6" x14ac:dyDescent="0.15">
      <c r="A2238" t="s">
        <v>3280</v>
      </c>
      <c r="B2238" t="s">
        <v>437</v>
      </c>
      <c r="C2238">
        <v>13.6</v>
      </c>
      <c r="D2238">
        <v>0.5</v>
      </c>
    </row>
    <row r="2239" spans="1:6" x14ac:dyDescent="0.15">
      <c r="A2239" t="s">
        <v>3281</v>
      </c>
      <c r="B2239" t="s">
        <v>437</v>
      </c>
      <c r="C2239">
        <v>1.5690368736000002</v>
      </c>
      <c r="D2239">
        <v>2.274096539075753</v>
      </c>
    </row>
    <row r="2240" spans="1:6" x14ac:dyDescent="0.15">
      <c r="A2240" t="s">
        <v>1481</v>
      </c>
      <c r="B2240" t="s">
        <v>437</v>
      </c>
      <c r="C2240">
        <v>48.988799999999998</v>
      </c>
      <c r="D2240">
        <v>0.50972222222222219</v>
      </c>
    </row>
    <row r="2241" spans="1:6" x14ac:dyDescent="0.15">
      <c r="A2241" t="s">
        <v>3282</v>
      </c>
      <c r="B2241" t="s">
        <v>437</v>
      </c>
      <c r="C2241">
        <v>225</v>
      </c>
      <c r="D2241">
        <v>0.15704000000000001</v>
      </c>
    </row>
    <row r="2242" spans="1:6" x14ac:dyDescent="0.15">
      <c r="A2242" t="s">
        <v>3283</v>
      </c>
      <c r="B2242" t="s">
        <v>437</v>
      </c>
      <c r="C2242">
        <v>22.68</v>
      </c>
      <c r="D2242">
        <v>0.25</v>
      </c>
    </row>
    <row r="2243" spans="1:6" x14ac:dyDescent="0.15">
      <c r="A2243" t="s">
        <v>3284</v>
      </c>
      <c r="B2243" t="s">
        <v>437</v>
      </c>
      <c r="C2243">
        <v>107.66468159999999</v>
      </c>
      <c r="D2243">
        <v>1.0349999999999999</v>
      </c>
    </row>
    <row r="2244" spans="1:6" x14ac:dyDescent="0.15">
      <c r="A2244" t="s">
        <v>3285</v>
      </c>
      <c r="B2244" t="s">
        <v>437</v>
      </c>
      <c r="C2244">
        <v>2.8</v>
      </c>
      <c r="D2244">
        <v>0.1</v>
      </c>
    </row>
    <row r="2245" spans="1:6" x14ac:dyDescent="0.15">
      <c r="A2245" t="s">
        <v>3286</v>
      </c>
      <c r="B2245" t="s">
        <v>437</v>
      </c>
      <c r="C2245">
        <v>278.964</v>
      </c>
      <c r="D2245">
        <v>0.24941463414634149</v>
      </c>
    </row>
    <row r="2246" spans="1:6" x14ac:dyDescent="0.15">
      <c r="A2246" t="s">
        <v>3287</v>
      </c>
      <c r="B2246" t="s">
        <v>437</v>
      </c>
      <c r="C2246">
        <v>1.2764304</v>
      </c>
      <c r="D2246">
        <v>2.19</v>
      </c>
    </row>
    <row r="2247" spans="1:6" x14ac:dyDescent="0.15">
      <c r="A2247" t="s">
        <v>3288</v>
      </c>
      <c r="B2247" t="s">
        <v>437</v>
      </c>
      <c r="C2247">
        <v>125.01216000000001</v>
      </c>
      <c r="D2247">
        <v>0.28469811320754718</v>
      </c>
    </row>
    <row r="2248" spans="1:6" x14ac:dyDescent="0.15">
      <c r="A2248" t="s">
        <v>3289</v>
      </c>
      <c r="B2248" t="s">
        <v>1501</v>
      </c>
      <c r="C2248">
        <v>2800</v>
      </c>
      <c r="D2248">
        <v>0.36</v>
      </c>
    </row>
    <row r="2249" spans="1:6" x14ac:dyDescent="0.15">
      <c r="A2249" t="s">
        <v>3290</v>
      </c>
      <c r="B2249" t="s">
        <v>1501</v>
      </c>
      <c r="C2249">
        <v>6080</v>
      </c>
      <c r="D2249">
        <v>0.39</v>
      </c>
    </row>
    <row r="2250" spans="1:6" x14ac:dyDescent="0.15">
      <c r="A2250" t="s">
        <v>3291</v>
      </c>
      <c r="B2250" t="s">
        <v>1501</v>
      </c>
      <c r="C2250">
        <v>14.412000000000001</v>
      </c>
      <c r="D2250">
        <v>0.86</v>
      </c>
    </row>
    <row r="2251" spans="1:6" x14ac:dyDescent="0.15">
      <c r="A2251" t="s">
        <v>3292</v>
      </c>
      <c r="B2251" t="s">
        <v>1501</v>
      </c>
      <c r="C2251">
        <v>700</v>
      </c>
      <c r="D2251">
        <v>0.85</v>
      </c>
    </row>
    <row r="2252" spans="1:6" x14ac:dyDescent="0.15">
      <c r="A2252" t="s">
        <v>3293</v>
      </c>
      <c r="B2252" t="s">
        <v>1501</v>
      </c>
      <c r="C2252">
        <v>200</v>
      </c>
      <c r="D2252">
        <v>0.5</v>
      </c>
    </row>
    <row r="2253" spans="1:6" x14ac:dyDescent="0.15">
      <c r="A2253" t="s">
        <v>3294</v>
      </c>
      <c r="B2253" t="s">
        <v>1491</v>
      </c>
      <c r="C2253">
        <v>831.62400000000002</v>
      </c>
      <c r="D2253">
        <v>0.12064877757255682</v>
      </c>
    </row>
    <row r="2254" spans="1:6" x14ac:dyDescent="0.15">
      <c r="A2254" t="s">
        <v>3295</v>
      </c>
      <c r="B2254" t="s">
        <v>1491</v>
      </c>
      <c r="C2254">
        <v>4</v>
      </c>
      <c r="D2254">
        <v>1.9</v>
      </c>
    </row>
    <row r="2255" spans="1:6" x14ac:dyDescent="0.15">
      <c r="A2255" t="s">
        <v>829</v>
      </c>
      <c r="B2255" t="s">
        <v>321</v>
      </c>
      <c r="C2255">
        <v>3.1599999999999997</v>
      </c>
      <c r="D2255">
        <v>0.72439873417721523</v>
      </c>
      <c r="E2255">
        <v>1.6</v>
      </c>
      <c r="F2255">
        <v>1</v>
      </c>
    </row>
    <row r="2256" spans="1:6" x14ac:dyDescent="0.15">
      <c r="A2256" t="s">
        <v>830</v>
      </c>
      <c r="B2256" t="s">
        <v>321</v>
      </c>
      <c r="C2256">
        <v>96.474999999999994</v>
      </c>
      <c r="D2256">
        <v>0.18</v>
      </c>
      <c r="E2256">
        <v>66</v>
      </c>
      <c r="F2256">
        <v>0.17</v>
      </c>
    </row>
    <row r="2257" spans="1:6" x14ac:dyDescent="0.15">
      <c r="A2257" t="s">
        <v>3296</v>
      </c>
      <c r="B2257" t="s">
        <v>321</v>
      </c>
      <c r="C2257">
        <v>101.8</v>
      </c>
      <c r="D2257">
        <v>1.03</v>
      </c>
    </row>
    <row r="2258" spans="1:6" x14ac:dyDescent="0.15">
      <c r="A2258" t="s">
        <v>831</v>
      </c>
      <c r="B2258" t="s">
        <v>42</v>
      </c>
      <c r="C2258">
        <v>23.14</v>
      </c>
      <c r="D2258">
        <v>1.8948746758859114</v>
      </c>
      <c r="E2258">
        <v>5.88</v>
      </c>
      <c r="F2258">
        <v>1.3008503401360543</v>
      </c>
    </row>
    <row r="2259" spans="1:6" x14ac:dyDescent="0.15">
      <c r="A2259" t="s">
        <v>832</v>
      </c>
      <c r="B2259" t="s">
        <v>42</v>
      </c>
      <c r="C2259">
        <v>37.31</v>
      </c>
      <c r="D2259">
        <v>0.98662288930581621</v>
      </c>
      <c r="E2259">
        <v>33.950000000000003</v>
      </c>
      <c r="F2259">
        <v>0.93295729013254791</v>
      </c>
    </row>
    <row r="2260" spans="1:6" x14ac:dyDescent="0.15">
      <c r="A2260" t="s">
        <v>3297</v>
      </c>
      <c r="B2260" t="s">
        <v>42</v>
      </c>
      <c r="C2260">
        <v>0.38</v>
      </c>
      <c r="D2260">
        <v>0.36</v>
      </c>
    </row>
    <row r="2261" spans="1:6" x14ac:dyDescent="0.15">
      <c r="A2261" t="s">
        <v>833</v>
      </c>
      <c r="B2261" t="s">
        <v>42</v>
      </c>
      <c r="C2261">
        <v>30.619999999999997</v>
      </c>
      <c r="D2261">
        <v>2.2939549314173746</v>
      </c>
      <c r="E2261">
        <v>7.78</v>
      </c>
      <c r="F2261">
        <v>1.5083547557840618</v>
      </c>
    </row>
    <row r="2262" spans="1:6" x14ac:dyDescent="0.15">
      <c r="A2262" t="s">
        <v>834</v>
      </c>
      <c r="B2262" t="s">
        <v>42</v>
      </c>
      <c r="C2262">
        <v>33</v>
      </c>
      <c r="D2262">
        <v>2.2425727272727274</v>
      </c>
      <c r="E2262">
        <v>21.939999999999998</v>
      </c>
      <c r="F2262">
        <v>1.9189288969917957</v>
      </c>
    </row>
    <row r="2263" spans="1:6" x14ac:dyDescent="0.15">
      <c r="A2263" t="s">
        <v>835</v>
      </c>
      <c r="B2263" t="s">
        <v>42</v>
      </c>
      <c r="C2263">
        <v>148.33000000000001</v>
      </c>
      <c r="D2263">
        <v>1.8841191936897459</v>
      </c>
      <c r="E2263">
        <v>37.72</v>
      </c>
      <c r="F2263">
        <v>1.81</v>
      </c>
    </row>
    <row r="2264" spans="1:6" x14ac:dyDescent="0.15">
      <c r="A2264" t="s">
        <v>3298</v>
      </c>
      <c r="B2264" t="s">
        <v>42</v>
      </c>
      <c r="C2264">
        <v>14.600000000000001</v>
      </c>
      <c r="D2264">
        <v>1.1760273972602739</v>
      </c>
    </row>
    <row r="2265" spans="1:6" x14ac:dyDescent="0.15">
      <c r="A2265" t="s">
        <v>836</v>
      </c>
      <c r="B2265" t="s">
        <v>42</v>
      </c>
      <c r="C2265">
        <v>2.1999999999999997</v>
      </c>
      <c r="D2265">
        <v>4.1136363636363633</v>
      </c>
      <c r="E2265">
        <v>1.7</v>
      </c>
      <c r="F2265">
        <v>2.9</v>
      </c>
    </row>
    <row r="2266" spans="1:6" x14ac:dyDescent="0.15">
      <c r="A2266" t="s">
        <v>837</v>
      </c>
      <c r="B2266" t="s">
        <v>42</v>
      </c>
      <c r="C2266">
        <v>2.6</v>
      </c>
      <c r="D2266">
        <v>2.6</v>
      </c>
      <c r="E2266">
        <v>0.5</v>
      </c>
      <c r="F2266">
        <v>2.2999999999999998</v>
      </c>
    </row>
    <row r="2267" spans="1:6" x14ac:dyDescent="0.15">
      <c r="A2267" t="s">
        <v>3299</v>
      </c>
      <c r="B2267" t="s">
        <v>42</v>
      </c>
      <c r="C2267">
        <v>9.08</v>
      </c>
      <c r="D2267">
        <v>0.6</v>
      </c>
    </row>
    <row r="2268" spans="1:6" x14ac:dyDescent="0.15">
      <c r="A2268" t="s">
        <v>3300</v>
      </c>
      <c r="B2268" t="s">
        <v>42</v>
      </c>
      <c r="C2268">
        <v>3.2949999999999999</v>
      </c>
      <c r="D2268">
        <v>2.3244309559939302</v>
      </c>
    </row>
    <row r="2269" spans="1:6" x14ac:dyDescent="0.15">
      <c r="A2269" t="s">
        <v>3301</v>
      </c>
      <c r="B2269" t="s">
        <v>42</v>
      </c>
      <c r="C2269">
        <v>2</v>
      </c>
      <c r="D2269">
        <v>1.0150000000000001</v>
      </c>
    </row>
    <row r="2270" spans="1:6" x14ac:dyDescent="0.15">
      <c r="A2270" t="s">
        <v>3302</v>
      </c>
      <c r="B2270" t="s">
        <v>42</v>
      </c>
      <c r="C2270">
        <v>68</v>
      </c>
      <c r="D2270">
        <v>0.52</v>
      </c>
    </row>
    <row r="2271" spans="1:6" x14ac:dyDescent="0.15">
      <c r="A2271" t="s">
        <v>838</v>
      </c>
      <c r="B2271" t="s">
        <v>42</v>
      </c>
      <c r="C2271">
        <v>1590.1000000000001</v>
      </c>
      <c r="D2271">
        <v>0.65963146971888542</v>
      </c>
      <c r="E2271">
        <v>644.1</v>
      </c>
      <c r="F2271">
        <v>0.7</v>
      </c>
    </row>
    <row r="2272" spans="1:6" x14ac:dyDescent="0.15">
      <c r="A2272" t="s">
        <v>839</v>
      </c>
      <c r="B2272" t="s">
        <v>42</v>
      </c>
      <c r="C2272">
        <v>745.6</v>
      </c>
      <c r="D2272">
        <v>2.207361856223176</v>
      </c>
      <c r="E2272">
        <v>264.10000000000002</v>
      </c>
      <c r="F2272">
        <v>1.29</v>
      </c>
    </row>
    <row r="2273" spans="1:6" x14ac:dyDescent="0.15">
      <c r="A2273" t="s">
        <v>840</v>
      </c>
      <c r="B2273" t="s">
        <v>42</v>
      </c>
      <c r="C2273">
        <v>287.7</v>
      </c>
      <c r="D2273">
        <v>3.320003475842892</v>
      </c>
      <c r="E2273">
        <v>48.6</v>
      </c>
      <c r="F2273">
        <v>2.25</v>
      </c>
    </row>
    <row r="2274" spans="1:6" x14ac:dyDescent="0.15">
      <c r="A2274" t="s">
        <v>841</v>
      </c>
      <c r="B2274" t="s">
        <v>42</v>
      </c>
      <c r="C2274">
        <v>925.02499999999998</v>
      </c>
      <c r="D2274">
        <v>0.53144332099132463</v>
      </c>
      <c r="E2274">
        <v>246.67199999999997</v>
      </c>
      <c r="F2274">
        <v>0.56462434325744315</v>
      </c>
    </row>
    <row r="2275" spans="1:6" x14ac:dyDescent="0.15">
      <c r="A2275" t="s">
        <v>842</v>
      </c>
      <c r="B2275" t="s">
        <v>42</v>
      </c>
      <c r="C2275">
        <v>13.809999999999999</v>
      </c>
      <c r="D2275">
        <v>1.8395655322230267</v>
      </c>
      <c r="E2275">
        <v>7.42</v>
      </c>
      <c r="F2275">
        <v>1.3820754716981134</v>
      </c>
    </row>
    <row r="2276" spans="1:6" x14ac:dyDescent="0.15">
      <c r="A2276" t="s">
        <v>843</v>
      </c>
      <c r="B2276" t="s">
        <v>42</v>
      </c>
      <c r="C2276">
        <v>10.69</v>
      </c>
      <c r="D2276">
        <v>2.0323854069223573</v>
      </c>
      <c r="E2276">
        <v>10.69</v>
      </c>
      <c r="F2276">
        <v>2.0323854069223573</v>
      </c>
    </row>
    <row r="2277" spans="1:6" x14ac:dyDescent="0.15">
      <c r="A2277" t="s">
        <v>3303</v>
      </c>
      <c r="B2277" t="s">
        <v>42</v>
      </c>
      <c r="C2277">
        <v>23.2</v>
      </c>
      <c r="D2277">
        <v>0.71</v>
      </c>
    </row>
    <row r="2278" spans="1:6" x14ac:dyDescent="0.15">
      <c r="A2278" t="s">
        <v>3304</v>
      </c>
      <c r="B2278" t="s">
        <v>42</v>
      </c>
      <c r="C2278">
        <v>16.399999999999999</v>
      </c>
      <c r="D2278">
        <v>2.19</v>
      </c>
    </row>
    <row r="2279" spans="1:6" x14ac:dyDescent="0.15">
      <c r="A2279" t="s">
        <v>844</v>
      </c>
      <c r="B2279" t="s">
        <v>42</v>
      </c>
      <c r="C2279">
        <v>82.699999999999989</v>
      </c>
      <c r="D2279">
        <v>2.2562394195888764</v>
      </c>
      <c r="E2279">
        <v>21.1</v>
      </c>
      <c r="F2279">
        <v>2.25</v>
      </c>
    </row>
    <row r="2280" spans="1:6" x14ac:dyDescent="0.15">
      <c r="A2280" t="s">
        <v>845</v>
      </c>
      <c r="B2280" t="s">
        <v>42</v>
      </c>
      <c r="C2280">
        <v>260.79999999999995</v>
      </c>
      <c r="D2280">
        <v>2.0605636503067486</v>
      </c>
      <c r="E2280">
        <v>123.1</v>
      </c>
      <c r="F2280">
        <v>1.84</v>
      </c>
    </row>
    <row r="2281" spans="1:6" x14ac:dyDescent="0.15">
      <c r="A2281" t="s">
        <v>3305</v>
      </c>
      <c r="B2281" t="s">
        <v>42</v>
      </c>
      <c r="C2281">
        <v>6.5</v>
      </c>
      <c r="D2281">
        <v>0.73830769230769222</v>
      </c>
    </row>
    <row r="2282" spans="1:6" x14ac:dyDescent="0.15">
      <c r="A2282" t="s">
        <v>846</v>
      </c>
      <c r="B2282" t="s">
        <v>42</v>
      </c>
      <c r="C2282">
        <v>61.730000000000004</v>
      </c>
      <c r="D2282">
        <v>1.0602672930503807</v>
      </c>
      <c r="E2282">
        <v>30.26</v>
      </c>
      <c r="F2282">
        <v>1.0595208195637806</v>
      </c>
    </row>
    <row r="2283" spans="1:6" x14ac:dyDescent="0.15">
      <c r="A2283" t="s">
        <v>847</v>
      </c>
      <c r="B2283" t="s">
        <v>42</v>
      </c>
      <c r="C2283">
        <v>3.4400000000000004</v>
      </c>
      <c r="D2283">
        <v>1.9150581395348836</v>
      </c>
      <c r="E2283">
        <v>1.44</v>
      </c>
      <c r="F2283">
        <v>1.8844444444444446</v>
      </c>
    </row>
    <row r="2284" spans="1:6" x14ac:dyDescent="0.15">
      <c r="A2284" t="s">
        <v>848</v>
      </c>
      <c r="B2284" t="s">
        <v>42</v>
      </c>
      <c r="C2284">
        <v>27.9</v>
      </c>
      <c r="D2284">
        <v>2.2000000000000002</v>
      </c>
      <c r="E2284">
        <v>21.9</v>
      </c>
      <c r="F2284">
        <v>2.2000000000000002</v>
      </c>
    </row>
    <row r="2285" spans="1:6" x14ac:dyDescent="0.15">
      <c r="A2285" t="s">
        <v>3306</v>
      </c>
      <c r="B2285" t="s">
        <v>42</v>
      </c>
      <c r="C2285">
        <v>7</v>
      </c>
      <c r="D2285">
        <v>2.2000000000000002</v>
      </c>
    </row>
    <row r="2286" spans="1:6" x14ac:dyDescent="0.15">
      <c r="A2286" t="s">
        <v>3307</v>
      </c>
      <c r="B2286" t="s">
        <v>42</v>
      </c>
      <c r="C2286">
        <v>10.69</v>
      </c>
      <c r="D2286">
        <v>2.0323854069223573</v>
      </c>
    </row>
    <row r="2287" spans="1:6" x14ac:dyDescent="0.15">
      <c r="A2287" t="s">
        <v>1493</v>
      </c>
      <c r="B2287" t="s">
        <v>42</v>
      </c>
      <c r="C2287">
        <v>185.78299999999999</v>
      </c>
      <c r="D2287">
        <v>4.0355549216020845E-2</v>
      </c>
    </row>
    <row r="2288" spans="1:6" x14ac:dyDescent="0.15">
      <c r="A2288" t="s">
        <v>3308</v>
      </c>
      <c r="B2288" t="s">
        <v>42</v>
      </c>
      <c r="C2288">
        <v>40</v>
      </c>
      <c r="D2288">
        <v>0.8</v>
      </c>
    </row>
    <row r="2289" spans="1:6" x14ac:dyDescent="0.15">
      <c r="A2289" t="s">
        <v>3309</v>
      </c>
      <c r="B2289" t="s">
        <v>42</v>
      </c>
      <c r="C2289">
        <v>50</v>
      </c>
      <c r="D2289">
        <v>0.7</v>
      </c>
    </row>
    <row r="2290" spans="1:6" x14ac:dyDescent="0.15">
      <c r="A2290" t="s">
        <v>3310</v>
      </c>
      <c r="B2290" t="s">
        <v>42</v>
      </c>
      <c r="C2290">
        <v>1.4</v>
      </c>
      <c r="D2290">
        <v>1.2</v>
      </c>
    </row>
    <row r="2291" spans="1:6" x14ac:dyDescent="0.15">
      <c r="A2291" t="s">
        <v>849</v>
      </c>
      <c r="B2291" t="s">
        <v>42</v>
      </c>
      <c r="C2291">
        <v>1154.2</v>
      </c>
      <c r="D2291">
        <v>0.51386934673366835</v>
      </c>
      <c r="E2291">
        <v>951.59999999999991</v>
      </c>
      <c r="F2291">
        <v>0.4993873476250526</v>
      </c>
    </row>
    <row r="2292" spans="1:6" x14ac:dyDescent="0.15">
      <c r="A2292" t="s">
        <v>850</v>
      </c>
      <c r="B2292" t="s">
        <v>82</v>
      </c>
      <c r="C2292">
        <v>234.89999999999998</v>
      </c>
      <c r="D2292">
        <v>0.14000000000000001</v>
      </c>
      <c r="E2292">
        <v>47.7</v>
      </c>
      <c r="F2292">
        <v>0.14000000000000001</v>
      </c>
    </row>
    <row r="2293" spans="1:6" x14ac:dyDescent="0.15">
      <c r="A2293" t="s">
        <v>851</v>
      </c>
      <c r="B2293" t="s">
        <v>82</v>
      </c>
      <c r="C2293">
        <v>127.5</v>
      </c>
      <c r="D2293">
        <v>0.11</v>
      </c>
      <c r="E2293">
        <v>33.799999999999997</v>
      </c>
      <c r="F2293">
        <v>0.11</v>
      </c>
    </row>
    <row r="2294" spans="1:6" x14ac:dyDescent="0.15">
      <c r="A2294" t="s">
        <v>852</v>
      </c>
      <c r="B2294" t="s">
        <v>82</v>
      </c>
      <c r="C2294">
        <v>92</v>
      </c>
      <c r="D2294">
        <v>0.17022010512483576</v>
      </c>
      <c r="E2294">
        <v>58.8</v>
      </c>
      <c r="F2294">
        <v>0.17022010512483576</v>
      </c>
    </row>
    <row r="2295" spans="1:6" x14ac:dyDescent="0.15">
      <c r="A2295" t="s">
        <v>853</v>
      </c>
      <c r="B2295" t="s">
        <v>82</v>
      </c>
      <c r="C2295">
        <v>2060.4</v>
      </c>
      <c r="D2295">
        <v>8.9999999999999983E-2</v>
      </c>
      <c r="E2295">
        <v>83.7</v>
      </c>
      <c r="F2295">
        <v>0.09</v>
      </c>
    </row>
    <row r="2296" spans="1:6" x14ac:dyDescent="0.15">
      <c r="A2296" t="s">
        <v>1496</v>
      </c>
      <c r="B2296" t="s">
        <v>82</v>
      </c>
      <c r="C2296">
        <v>10.9</v>
      </c>
      <c r="D2296">
        <v>0.11</v>
      </c>
    </row>
    <row r="2297" spans="1:6" x14ac:dyDescent="0.15">
      <c r="A2297" t="s">
        <v>3311</v>
      </c>
      <c r="B2297" t="s">
        <v>82</v>
      </c>
      <c r="C2297">
        <v>137.7813504823151</v>
      </c>
      <c r="D2297">
        <v>0.11</v>
      </c>
    </row>
    <row r="2299" spans="1:6" x14ac:dyDescent="0.15">
      <c r="A2299" s="5" t="s">
        <v>3705</v>
      </c>
    </row>
  </sheetData>
  <pageMargins left="0.7" right="0.7" top="0.75" bottom="0.75" header="0.3" footer="0.3"/>
  <pageSetup paperSize="9" orientation="portrait" horizontalDpi="0" verticalDpi="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48F2C-A62B-874A-8C4A-07521DDC036B}">
  <dimension ref="A1:M75"/>
  <sheetViews>
    <sheetView zoomScale="87" workbookViewId="0">
      <pane xSplit="1" ySplit="1" topLeftCell="B67" activePane="bottomRight" state="frozen"/>
      <selection pane="topRight" activeCell="B1" sqref="B1"/>
      <selection pane="bottomLeft" activeCell="A2" sqref="A2"/>
      <selection pane="bottomRight" activeCell="B75" sqref="B75"/>
    </sheetView>
  </sheetViews>
  <sheetFormatPr baseColWidth="10" defaultRowHeight="13" x14ac:dyDescent="0.15"/>
  <cols>
    <col min="1" max="1" width="27.33203125" customWidth="1"/>
    <col min="2" max="2" width="11" customWidth="1"/>
    <col min="3" max="3" width="21.83203125" customWidth="1"/>
    <col min="4" max="4" width="23.5" customWidth="1"/>
    <col min="5" max="5" width="26" customWidth="1"/>
    <col min="6" max="6" width="18.33203125" customWidth="1"/>
    <col min="7" max="7" width="17" customWidth="1"/>
    <col min="8" max="8" width="24.6640625" customWidth="1"/>
    <col min="13" max="13" width="25" bestFit="1" customWidth="1"/>
  </cols>
  <sheetData>
    <row r="1" spans="1:12" x14ac:dyDescent="0.15">
      <c r="A1" s="5" t="s">
        <v>148</v>
      </c>
      <c r="B1" s="5" t="s">
        <v>416</v>
      </c>
      <c r="C1" s="5" t="s">
        <v>3618</v>
      </c>
      <c r="D1" s="5" t="s">
        <v>3620</v>
      </c>
      <c r="E1" s="5" t="s">
        <v>3621</v>
      </c>
      <c r="F1" s="5" t="s">
        <v>3619</v>
      </c>
      <c r="G1" s="5" t="s">
        <v>3622</v>
      </c>
      <c r="H1" s="5" t="s">
        <v>3623</v>
      </c>
      <c r="I1" s="5" t="s">
        <v>3683</v>
      </c>
      <c r="J1" s="5" t="s">
        <v>3684</v>
      </c>
    </row>
    <row r="2" spans="1:12" x14ac:dyDescent="0.15">
      <c r="A2" s="5" t="s">
        <v>31</v>
      </c>
      <c r="B2" s="5" t="str">
        <f>LOOKUP(A2,REGIONS[Country],REGIONS[Region REMIND])</f>
        <v>LAM</v>
      </c>
      <c r="C2">
        <v>4207200</v>
      </c>
      <c r="D2">
        <v>1011200</v>
      </c>
      <c r="E2">
        <v>0</v>
      </c>
      <c r="F2">
        <v>1580200</v>
      </c>
      <c r="G2">
        <v>688900</v>
      </c>
      <c r="H2">
        <v>0</v>
      </c>
      <c r="I2" s="17">
        <f>CU_PROD[[#This Row],[Mine Prod tCu]]/SUM($C$2:$C$51)</f>
        <v>0.25776658779641365</v>
      </c>
      <c r="J2" s="17">
        <f>CU_PROD[[#This Row],[Prod Smelter Primary tCu]]/SUM($D$2:$D$32)</f>
        <v>7.036189057501363E-2</v>
      </c>
    </row>
    <row r="3" spans="1:12" x14ac:dyDescent="0.15">
      <c r="A3" s="5" t="s">
        <v>39</v>
      </c>
      <c r="B3" s="5" t="str">
        <f>LOOKUP(A3,REGIONS[Country],REGIONS[Region REMIND])</f>
        <v>LAM</v>
      </c>
      <c r="C3">
        <v>2389145</v>
      </c>
      <c r="D3">
        <v>294315</v>
      </c>
      <c r="E3">
        <v>0</v>
      </c>
      <c r="F3">
        <v>66295</v>
      </c>
      <c r="G3">
        <v>241567</v>
      </c>
      <c r="H3">
        <v>0</v>
      </c>
      <c r="I3" s="17">
        <f>CU_PROD[[#This Row],[Mine Prod tCu]]/SUM($C$2:$C$51)</f>
        <v>0.14637805533391868</v>
      </c>
      <c r="J3" s="17">
        <f>CU_PROD[[#This Row],[Prod Smelter Primary tCu]]/SUM($D$2:$D$32)</f>
        <v>2.0479192864502706E-2</v>
      </c>
    </row>
    <row r="4" spans="1:12" x14ac:dyDescent="0.15">
      <c r="A4" s="5" t="s">
        <v>32</v>
      </c>
      <c r="B4" s="5" t="str">
        <f>LOOKUP(A4,REGIONS[Country],REGIONS[Region REMIND])</f>
        <v>CHA</v>
      </c>
      <c r="C4">
        <v>1628000</v>
      </c>
      <c r="D4">
        <v>7416000</v>
      </c>
      <c r="E4">
        <v>1688400</v>
      </c>
      <c r="F4">
        <v>55700</v>
      </c>
      <c r="G4">
        <v>7558200</v>
      </c>
      <c r="H4">
        <v>2170800</v>
      </c>
      <c r="I4" s="17">
        <f>CU_PROD[[#This Row],[Mine Prod tCu]]/SUM($C$2:$C$51)</f>
        <v>9.9744249128294687E-2</v>
      </c>
      <c r="J4" s="17">
        <f>CU_PROD[[#This Row],[Prod Smelter Primary tCu]]/SUM($D$2:$D$32)</f>
        <v>0.51602430825187995</v>
      </c>
    </row>
    <row r="5" spans="1:12" x14ac:dyDescent="0.15">
      <c r="A5" s="5" t="s">
        <v>29</v>
      </c>
      <c r="B5" s="5" t="str">
        <f>LOOKUP(A5,REGIONS[Country],REGIONS[Region REMIND])</f>
        <v>CAZ</v>
      </c>
      <c r="C5">
        <v>909000</v>
      </c>
      <c r="D5">
        <v>401000</v>
      </c>
      <c r="E5">
        <v>0</v>
      </c>
      <c r="F5">
        <v>25000</v>
      </c>
      <c r="G5">
        <v>0</v>
      </c>
      <c r="H5">
        <v>0</v>
      </c>
      <c r="I5" s="17">
        <f>CU_PROD[[#This Row],[Mine Prod tCu]]/SUM($C$2:$C$51)</f>
        <v>5.5692581362174372E-2</v>
      </c>
      <c r="J5" s="17">
        <f>CU_PROD[[#This Row],[Prod Smelter Primary tCu]]/SUM($D$2:$D$32)</f>
        <v>2.790260890089049E-2</v>
      </c>
    </row>
    <row r="6" spans="1:12" x14ac:dyDescent="0.15">
      <c r="A6" s="5" t="s">
        <v>41</v>
      </c>
      <c r="B6" s="5" t="str">
        <f>LOOKUP(A6,REGIONS[Country],REGIONS[Region REMIND])</f>
        <v>REF</v>
      </c>
      <c r="C6">
        <v>800000</v>
      </c>
      <c r="D6">
        <v>790500</v>
      </c>
      <c r="E6">
        <v>220000</v>
      </c>
      <c r="F6">
        <v>1300</v>
      </c>
      <c r="G6">
        <v>800000</v>
      </c>
      <c r="H6">
        <v>246000</v>
      </c>
      <c r="I6" s="17">
        <f>CU_PROD[[#This Row],[Mine Prod tCu]]/SUM($C$2:$C$51)</f>
        <v>4.901437303601705E-2</v>
      </c>
      <c r="J6" s="17">
        <f>CU_PROD[[#This Row],[Prod Smelter Primary tCu]]/SUM($D$2:$D$32)</f>
        <v>5.5005018294648211E-2</v>
      </c>
    </row>
    <row r="7" spans="1:12" x14ac:dyDescent="0.15">
      <c r="A7" s="5" t="s">
        <v>437</v>
      </c>
      <c r="B7" s="5" t="str">
        <f>LOOKUP(A7,REGIONS[Country],REGIONS[Region REMIND])</f>
        <v>USA</v>
      </c>
      <c r="C7">
        <v>730000</v>
      </c>
      <c r="D7">
        <v>464000</v>
      </c>
      <c r="E7">
        <v>0</v>
      </c>
      <c r="F7">
        <v>527000</v>
      </c>
      <c r="G7">
        <v>457000</v>
      </c>
      <c r="H7">
        <v>44400</v>
      </c>
      <c r="I7" s="17">
        <f>CU_PROD[[#This Row],[Mine Prod tCu]]/SUM($C$2:$C$51)</f>
        <v>4.4725615395365556E-2</v>
      </c>
      <c r="J7" s="17">
        <f>CU_PROD[[#This Row],[Prod Smelter Primary tCu]]/SUM($D$2:$D$32)</f>
        <v>3.2286310548661316E-2</v>
      </c>
    </row>
    <row r="8" spans="1:12" x14ac:dyDescent="0.15">
      <c r="A8" s="5" t="s">
        <v>42</v>
      </c>
      <c r="B8" s="5" t="str">
        <f>LOOKUP(A8,REGIONS[Country],REGIONS[Region REMIND])</f>
        <v>SSA</v>
      </c>
      <c r="C8">
        <v>655500</v>
      </c>
      <c r="D8">
        <v>638500</v>
      </c>
      <c r="E8">
        <v>0</v>
      </c>
      <c r="F8">
        <v>141900</v>
      </c>
      <c r="G8">
        <v>120100</v>
      </c>
      <c r="H8">
        <v>0</v>
      </c>
      <c r="I8" s="17">
        <f>CU_PROD[[#This Row],[Mine Prod tCu]]/SUM($C$2:$C$51)</f>
        <v>4.0161151906386472E-2</v>
      </c>
      <c r="J8" s="17">
        <f>CU_PROD[[#This Row],[Prod Smelter Primary tCu]]/SUM($D$2:$D$32)</f>
        <v>4.4428468287328125E-2</v>
      </c>
    </row>
    <row r="9" spans="1:12" x14ac:dyDescent="0.15">
      <c r="A9" s="5" t="s">
        <v>30</v>
      </c>
      <c r="B9" s="5" t="str">
        <f>LOOKUP(A9,REGIONS[Country],REGIONS[Region REMIND])</f>
        <v>CAZ</v>
      </c>
      <c r="C9">
        <v>572705</v>
      </c>
      <c r="D9">
        <v>290000</v>
      </c>
      <c r="E9">
        <v>30000</v>
      </c>
      <c r="F9">
        <v>0</v>
      </c>
      <c r="G9">
        <v>253100</v>
      </c>
      <c r="H9">
        <v>28100</v>
      </c>
      <c r="I9" s="17">
        <f>CU_PROD[[#This Row],[Mine Prod tCu]]/SUM($C$2:$C$51)</f>
        <v>3.5088470636990179E-2</v>
      </c>
      <c r="J9" s="17">
        <f>CU_PROD[[#This Row],[Prod Smelter Primary tCu]]/SUM($D$2:$D$32)</f>
        <v>2.017894409291332E-2</v>
      </c>
    </row>
    <row r="10" spans="1:12" x14ac:dyDescent="0.15">
      <c r="A10" s="5" t="s">
        <v>38</v>
      </c>
      <c r="B10" s="5" t="str">
        <f>LOOKUP(A10,REGIONS[Country],REGIONS[Region REMIND])</f>
        <v>LAM</v>
      </c>
      <c r="C10">
        <v>535000</v>
      </c>
      <c r="D10">
        <v>285000</v>
      </c>
      <c r="E10">
        <v>5000</v>
      </c>
      <c r="F10">
        <v>180000</v>
      </c>
      <c r="G10">
        <v>292000</v>
      </c>
      <c r="H10">
        <v>5000</v>
      </c>
      <c r="I10" s="17">
        <f>CU_PROD[[#This Row],[Mine Prod tCu]]/SUM($C$2:$C$51)</f>
        <v>3.27783619678364E-2</v>
      </c>
      <c r="J10" s="17">
        <f>CU_PROD[[#This Row],[Prod Smelter Primary tCu]]/SUM($D$2:$D$32)</f>
        <v>1.9831031263725162E-2</v>
      </c>
    </row>
    <row r="11" spans="1:12" x14ac:dyDescent="0.15">
      <c r="A11" s="5" t="s">
        <v>37</v>
      </c>
      <c r="B11" s="5" t="str">
        <f>LOOKUP(A11,REGIONS[Country],REGIONS[Region REMIND])</f>
        <v>REF</v>
      </c>
      <c r="C11">
        <v>522600</v>
      </c>
      <c r="D11">
        <v>371359</v>
      </c>
      <c r="E11">
        <v>0</v>
      </c>
      <c r="F11">
        <v>39500</v>
      </c>
      <c r="G11">
        <v>472327</v>
      </c>
      <c r="H11">
        <v>0</v>
      </c>
      <c r="I11" s="17">
        <f>CU_PROD[[#This Row],[Mine Prod tCu]]/SUM($C$2:$C$51)</f>
        <v>3.2018639185778137E-2</v>
      </c>
      <c r="J11" s="17">
        <f>CU_PROD[[#This Row],[Prod Smelter Primary tCu]]/SUM($D$2:$D$32)</f>
        <v>2.5840112066897236E-2</v>
      </c>
    </row>
    <row r="12" spans="1:12" x14ac:dyDescent="0.15">
      <c r="A12" s="5" t="s">
        <v>40</v>
      </c>
      <c r="B12" s="5" t="str">
        <f>LOOKUP(A12,REGIONS[Country],REGIONS[Region REMIND])</f>
        <v>EUR</v>
      </c>
      <c r="C12">
        <v>398900</v>
      </c>
      <c r="D12">
        <v>489242</v>
      </c>
      <c r="E12">
        <v>51904</v>
      </c>
      <c r="F12">
        <v>0</v>
      </c>
      <c r="G12">
        <v>463600</v>
      </c>
      <c r="H12">
        <v>102000</v>
      </c>
      <c r="I12" s="17">
        <f>CU_PROD[[#This Row],[Mine Prod tCu]]/SUM($C$2:$C$51)</f>
        <v>2.4439791755084001E-2</v>
      </c>
      <c r="J12" s="17">
        <f>CU_PROD[[#This Row],[Prod Smelter Primary tCu]]/SUM($D$2:$D$32)</f>
        <v>3.4042713675534825E-2</v>
      </c>
    </row>
    <row r="13" spans="1:12" x14ac:dyDescent="0.15">
      <c r="A13" s="5" t="s">
        <v>73</v>
      </c>
      <c r="B13" s="5" t="str">
        <f>LOOKUP(A13,REGIONS[Country],REGIONS[Region REMIND])</f>
        <v>LAM</v>
      </c>
      <c r="C13">
        <v>381000</v>
      </c>
      <c r="D13">
        <v>110900</v>
      </c>
      <c r="E13">
        <v>45000</v>
      </c>
      <c r="F13">
        <v>0</v>
      </c>
      <c r="G13">
        <v>129000</v>
      </c>
      <c r="H13">
        <v>45000</v>
      </c>
      <c r="I13" s="17">
        <f>CU_PROD[[#This Row],[Mine Prod tCu]]/SUM($C$2:$C$51)</f>
        <v>2.3343095158403118E-2</v>
      </c>
      <c r="J13" s="17">
        <f>CU_PROD[[#This Row],[Prod Smelter Primary tCu]]/SUM($D$2:$D$32)</f>
        <v>7.7167065513934052E-3</v>
      </c>
    </row>
    <row r="14" spans="1:12" x14ac:dyDescent="0.15">
      <c r="A14" s="5" t="s">
        <v>35</v>
      </c>
      <c r="B14" s="5" t="str">
        <f>LOOKUP(A14,REGIONS[Country],REGIONS[Region REMIND])</f>
        <v>OAS</v>
      </c>
      <c r="C14">
        <v>344000</v>
      </c>
      <c r="D14">
        <v>246100</v>
      </c>
      <c r="E14">
        <v>0</v>
      </c>
      <c r="F14">
        <v>16777</v>
      </c>
      <c r="G14">
        <v>254800</v>
      </c>
      <c r="H14">
        <v>0</v>
      </c>
      <c r="I14" s="17">
        <f>CU_PROD[[#This Row],[Mine Prod tCu]]/SUM($C$2:$C$51)</f>
        <v>2.1076180405487331E-2</v>
      </c>
      <c r="J14" s="17">
        <f>CU_PROD[[#This Row],[Prod Smelter Primary tCu]]/SUM($D$2:$D$32)</f>
        <v>1.7124269452641269E-2</v>
      </c>
    </row>
    <row r="15" spans="1:12" x14ac:dyDescent="0.15">
      <c r="A15" s="5" t="s">
        <v>1499</v>
      </c>
      <c r="B15" s="5" t="str">
        <f>LOOKUP(A15,REGIONS[Country],REGIONS[Region REMIND])</f>
        <v>MEA</v>
      </c>
      <c r="C15">
        <v>295800</v>
      </c>
      <c r="D15">
        <v>201100</v>
      </c>
      <c r="E15">
        <v>109100</v>
      </c>
      <c r="F15">
        <v>16400</v>
      </c>
      <c r="G15">
        <v>160400</v>
      </c>
      <c r="H15">
        <v>84700</v>
      </c>
      <c r="I15" s="17">
        <f>CU_PROD[[#This Row],[Mine Prod tCu]]/SUM($C$2:$C$51)</f>
        <v>1.8123064430067302E-2</v>
      </c>
      <c r="J15" s="17">
        <f>CU_PROD[[#This Row],[Prod Smelter Primary tCu]]/SUM($D$2:$D$32)</f>
        <v>1.3993053989947823E-2</v>
      </c>
      <c r="L15" s="27"/>
    </row>
    <row r="16" spans="1:12" x14ac:dyDescent="0.15">
      <c r="A16" s="5" t="s">
        <v>328</v>
      </c>
      <c r="B16" s="5" t="str">
        <f>LOOKUP(A16,REGIONS[Country],REGIONS[Region REMIND])</f>
        <v>OAS</v>
      </c>
      <c r="C16">
        <v>290000</v>
      </c>
      <c r="D16">
        <v>0</v>
      </c>
      <c r="E16">
        <v>0</v>
      </c>
      <c r="F16">
        <v>11758</v>
      </c>
      <c r="G16">
        <v>0</v>
      </c>
      <c r="H16">
        <v>0</v>
      </c>
      <c r="I16" s="17">
        <f>CU_PROD[[#This Row],[Mine Prod tCu]]/SUM($C$2:$C$51)</f>
        <v>1.776771022555618E-2</v>
      </c>
    </row>
    <row r="17" spans="1:13" x14ac:dyDescent="0.15">
      <c r="A17" s="5" t="s">
        <v>33</v>
      </c>
      <c r="B17" s="5" t="str">
        <f>LOOKUP(A17,REGIONS[Country],REGIONS[Region REMIND])</f>
        <v>SSA</v>
      </c>
      <c r="C17">
        <v>224000</v>
      </c>
      <c r="D17">
        <v>0</v>
      </c>
      <c r="E17">
        <v>0</v>
      </c>
      <c r="F17">
        <f>1066500</f>
        <v>1066500</v>
      </c>
      <c r="G17">
        <v>0</v>
      </c>
      <c r="H17">
        <v>14838</v>
      </c>
      <c r="I17" s="17">
        <f>CU_PROD[[#This Row],[Mine Prod tCu]]/SUM($C$2:$C$51)</f>
        <v>1.3724024450084773E-2</v>
      </c>
      <c r="K17" s="13"/>
    </row>
    <row r="18" spans="1:13" x14ac:dyDescent="0.15">
      <c r="A18" s="5" t="s">
        <v>872</v>
      </c>
      <c r="B18" s="5" t="str">
        <f>LOOKUP(A18,REGIONS[Country],REGIONS[Region REMIND])</f>
        <v>LAM</v>
      </c>
      <c r="C18">
        <v>147480</v>
      </c>
      <c r="D18">
        <v>0</v>
      </c>
      <c r="E18">
        <v>0</v>
      </c>
      <c r="F18">
        <v>0</v>
      </c>
      <c r="G18">
        <v>0</v>
      </c>
      <c r="H18">
        <v>0</v>
      </c>
      <c r="I18" s="17">
        <f>CU_PROD[[#This Row],[Mine Prod tCu]]/SUM($C$2:$C$51)</f>
        <v>9.0357996691897424E-3</v>
      </c>
      <c r="M18" s="53"/>
    </row>
    <row r="19" spans="1:13" x14ac:dyDescent="0.15">
      <c r="A19" s="5" t="s">
        <v>1501</v>
      </c>
      <c r="B19" s="5" t="str">
        <f>LOOKUP(A19,REGIONS[Country],REGIONS[Region REMIND])</f>
        <v>REF</v>
      </c>
      <c r="C19">
        <v>130000</v>
      </c>
      <c r="D19">
        <v>145000</v>
      </c>
      <c r="E19">
        <v>0</v>
      </c>
      <c r="F19">
        <v>0</v>
      </c>
      <c r="G19">
        <v>147250</v>
      </c>
      <c r="H19">
        <v>0</v>
      </c>
      <c r="I19" s="17">
        <f>CU_PROD[[#This Row],[Mine Prod tCu]]/SUM($C$2:$C$51)</f>
        <v>7.96483561835277E-3</v>
      </c>
      <c r="J19" s="17">
        <f>CU_PROD[[#This Row],[Prod Smelter Primary tCu]]/SUM($D$2:$D$32)</f>
        <v>1.008947204645666E-2</v>
      </c>
      <c r="K19" s="13"/>
    </row>
    <row r="20" spans="1:13" x14ac:dyDescent="0.15">
      <c r="A20" s="5" t="s">
        <v>320</v>
      </c>
      <c r="B20" s="5" t="str">
        <f>LOOKUP(A20,REGIONS[Country],REGIONS[Region REMIND])</f>
        <v>EUR</v>
      </c>
      <c r="C20">
        <v>122300</v>
      </c>
      <c r="D20">
        <v>255700</v>
      </c>
      <c r="E20">
        <v>16300</v>
      </c>
      <c r="F20">
        <v>48090</v>
      </c>
      <c r="G20">
        <v>252900</v>
      </c>
      <c r="H20">
        <v>85300</v>
      </c>
      <c r="I20" s="17">
        <f>CU_PROD[[#This Row],[Mine Prod tCu]]/SUM($C$2:$C$51)</f>
        <v>7.4930722778811061E-3</v>
      </c>
      <c r="J20" s="17">
        <f>CU_PROD[[#This Row],[Prod Smelter Primary tCu]]/SUM($D$2:$D$32)</f>
        <v>1.7792262084682538E-2</v>
      </c>
    </row>
    <row r="21" spans="1:13" x14ac:dyDescent="0.15">
      <c r="A21" t="s">
        <v>873</v>
      </c>
      <c r="B21" s="5" t="str">
        <f>LOOKUP(A21,REGIONS[Country],REGIONS[Region REMIND])</f>
        <v>OAS</v>
      </c>
      <c r="C21">
        <v>99400</v>
      </c>
      <c r="D21">
        <v>0</v>
      </c>
      <c r="E21">
        <v>0</v>
      </c>
      <c r="F21">
        <v>0</v>
      </c>
      <c r="G21">
        <v>0</v>
      </c>
      <c r="H21">
        <v>0</v>
      </c>
      <c r="I21" s="17">
        <f>CU_PROD[[#This Row],[Mine Prod tCu]]/SUM($C$2:$C$51)</f>
        <v>6.0900358497251181E-3</v>
      </c>
      <c r="K21" s="13"/>
    </row>
    <row r="22" spans="1:13" x14ac:dyDescent="0.15">
      <c r="A22" t="s">
        <v>72</v>
      </c>
      <c r="B22" s="5" t="str">
        <f>LOOKUP(A22,REGIONS[Country],REGIONS[Region REMIND])</f>
        <v>EUR</v>
      </c>
      <c r="C22">
        <v>98600</v>
      </c>
      <c r="D22">
        <v>135900</v>
      </c>
      <c r="E22">
        <v>60000</v>
      </c>
      <c r="F22">
        <v>0</v>
      </c>
      <c r="G22">
        <v>140900</v>
      </c>
      <c r="H22">
        <v>60400</v>
      </c>
      <c r="I22" s="17">
        <f>CU_PROD[[#This Row],[Mine Prod tCu]]/SUM($C$2:$C$51)</f>
        <v>6.0410214766891011E-3</v>
      </c>
      <c r="J22" s="17">
        <f>CU_PROD[[#This Row],[Prod Smelter Primary tCu]]/SUM($D$2:$D$32)</f>
        <v>9.4562706973342087E-3</v>
      </c>
    </row>
    <row r="23" spans="1:13" x14ac:dyDescent="0.15">
      <c r="A23" s="5" t="s">
        <v>1497</v>
      </c>
      <c r="B23" s="5" t="str">
        <f>LOOKUP(A23,REGIONS[Country],REGIONS[Region REMIND])</f>
        <v>REF</v>
      </c>
      <c r="C23">
        <v>88000</v>
      </c>
      <c r="D23">
        <v>0</v>
      </c>
      <c r="E23">
        <v>0</v>
      </c>
      <c r="F23">
        <v>0</v>
      </c>
      <c r="G23">
        <v>0</v>
      </c>
      <c r="H23">
        <v>0</v>
      </c>
      <c r="I23" s="17">
        <f>CU_PROD[[#This Row],[Mine Prod tCu]]/SUM($C$2:$C$51)</f>
        <v>5.3915810339618753E-3</v>
      </c>
      <c r="K23" s="13"/>
    </row>
    <row r="24" spans="1:13" x14ac:dyDescent="0.15">
      <c r="A24" s="5" t="s">
        <v>79</v>
      </c>
      <c r="B24" s="5" t="str">
        <f>LOOKUP(A24,REGIONS[Country],REGIONS[Region REMIND])</f>
        <v>NEU</v>
      </c>
      <c r="C24">
        <v>73500</v>
      </c>
      <c r="D24">
        <v>83700</v>
      </c>
      <c r="E24">
        <v>5000</v>
      </c>
      <c r="F24">
        <v>0</v>
      </c>
      <c r="G24">
        <v>106000</v>
      </c>
      <c r="H24">
        <v>10000</v>
      </c>
      <c r="I24" s="17">
        <f>CU_PROD[[#This Row],[Mine Prod tCu]]/SUM($C$2:$C$51)</f>
        <v>4.5031955226840659E-3</v>
      </c>
      <c r="J24" s="17">
        <f>CU_PROD[[#This Row],[Prod Smelter Primary tCu]]/SUM($D$2:$D$32)</f>
        <v>5.8240607606098102E-3</v>
      </c>
      <c r="K24" s="13"/>
    </row>
    <row r="25" spans="1:13" x14ac:dyDescent="0.15">
      <c r="A25" t="s">
        <v>75</v>
      </c>
      <c r="B25" s="5" t="str">
        <f>LOOKUP(A25,REGIONS[Country],REGIONS[Region REMIND])</f>
        <v>OAS</v>
      </c>
      <c r="C25">
        <v>71892</v>
      </c>
      <c r="D25">
        <v>217800</v>
      </c>
      <c r="E25">
        <v>0</v>
      </c>
      <c r="F25">
        <v>0</v>
      </c>
      <c r="G25">
        <v>217300</v>
      </c>
      <c r="H25">
        <v>0</v>
      </c>
      <c r="I25" s="17">
        <f>CU_PROD[[#This Row],[Mine Prod tCu]]/SUM($C$2:$C$51)</f>
        <v>4.4046766328816721E-3</v>
      </c>
      <c r="J25" s="17">
        <f>CU_PROD[[#This Row],[Prod Smelter Primary tCu]]/SUM($D$2:$D$32)</f>
        <v>1.5155082839436281E-2</v>
      </c>
    </row>
    <row r="26" spans="1:13" x14ac:dyDescent="0.15">
      <c r="A26" s="5" t="s">
        <v>860</v>
      </c>
      <c r="B26" s="5" t="str">
        <f>LOOKUP(A26,REGIONS[Country],REGIONS[Region REMIND])</f>
        <v>EUR</v>
      </c>
      <c r="C26">
        <v>70927</v>
      </c>
      <c r="D26">
        <v>260600</v>
      </c>
      <c r="E26">
        <v>49600</v>
      </c>
      <c r="F26">
        <v>0</v>
      </c>
      <c r="G26">
        <v>182000</v>
      </c>
      <c r="H26">
        <v>25000</v>
      </c>
      <c r="I26" s="17">
        <f>CU_PROD[[#This Row],[Mine Prod tCu]]/SUM($C$2:$C$51)</f>
        <v>4.3455530454069762E-3</v>
      </c>
      <c r="J26" s="17">
        <f>CU_PROD[[#This Row],[Prod Smelter Primary tCu]]/SUM($D$2:$D$32)</f>
        <v>1.8133216657286937E-2</v>
      </c>
      <c r="K26" s="13"/>
    </row>
    <row r="27" spans="1:13" x14ac:dyDescent="0.15">
      <c r="A27" s="5" t="s">
        <v>868</v>
      </c>
      <c r="B27" s="5" t="str">
        <f>LOOKUP(A27,REGIONS[Country],REGIONS[Region REMIND])</f>
        <v>OAS</v>
      </c>
      <c r="C27">
        <v>69284</v>
      </c>
      <c r="D27">
        <v>0</v>
      </c>
      <c r="E27">
        <v>0</v>
      </c>
      <c r="F27">
        <v>72000</v>
      </c>
      <c r="G27">
        <v>0</v>
      </c>
      <c r="H27">
        <v>0</v>
      </c>
      <c r="I27" s="17">
        <f>CU_PROD[[#This Row],[Mine Prod tCu]]/SUM($C$2:$C$51)</f>
        <v>4.2448897767842567E-3</v>
      </c>
      <c r="K27" s="13"/>
    </row>
    <row r="28" spans="1:13" x14ac:dyDescent="0.15">
      <c r="A28" t="s">
        <v>87</v>
      </c>
      <c r="B28" s="5" t="str">
        <f>LOOKUP(A28,REGIONS[Country],REGIONS[Region REMIND])</f>
        <v>SSA</v>
      </c>
      <c r="C28">
        <v>52500</v>
      </c>
      <c r="D28">
        <v>75000</v>
      </c>
      <c r="E28">
        <v>0</v>
      </c>
      <c r="F28">
        <v>0</v>
      </c>
      <c r="G28">
        <v>75000</v>
      </c>
      <c r="H28">
        <v>0</v>
      </c>
      <c r="I28" s="17">
        <f>CU_PROD[[#This Row],[Mine Prod tCu]]/SUM($C$2:$C$51)</f>
        <v>3.2165682304886186E-3</v>
      </c>
      <c r="J28" s="17">
        <f>CU_PROD[[#This Row],[Prod Smelter Primary tCu]]/SUM($D$2:$D$32)</f>
        <v>5.2186924378224107E-3</v>
      </c>
      <c r="K28" s="13"/>
    </row>
    <row r="29" spans="1:13" x14ac:dyDescent="0.15">
      <c r="A29" s="5" t="s">
        <v>862</v>
      </c>
      <c r="B29" s="5" t="str">
        <f>LOOKUP(A29,REGIONS[Country],REGIONS[Region REMIND])</f>
        <v>LAM</v>
      </c>
      <c r="C29">
        <v>50000</v>
      </c>
      <c r="D29">
        <v>0</v>
      </c>
      <c r="E29">
        <v>0</v>
      </c>
      <c r="F29">
        <v>0</v>
      </c>
      <c r="G29">
        <v>0</v>
      </c>
      <c r="H29">
        <v>0</v>
      </c>
      <c r="I29" s="17">
        <f>CU_PROD[[#This Row],[Mine Prod tCu]]/SUM($C$2:$C$51)</f>
        <v>3.0633983147510657E-3</v>
      </c>
      <c r="K29" s="13"/>
    </row>
    <row r="30" spans="1:13" x14ac:dyDescent="0.15">
      <c r="A30" t="s">
        <v>1402</v>
      </c>
      <c r="B30" s="5" t="str">
        <f>LOOKUP(A30,REGIONS[Country],REGIONS[Region REMIND])</f>
        <v>NEU</v>
      </c>
      <c r="C30">
        <v>43550</v>
      </c>
      <c r="D30">
        <v>73000</v>
      </c>
      <c r="E30">
        <v>1000</v>
      </c>
      <c r="F30">
        <v>0</v>
      </c>
      <c r="G30">
        <v>73000</v>
      </c>
      <c r="H30">
        <v>1000</v>
      </c>
      <c r="I30" s="17">
        <f>CU_PROD[[#This Row],[Mine Prod tCu]]/SUM($C$2:$C$51)</f>
        <v>2.668219932148178E-3</v>
      </c>
      <c r="J30" s="17">
        <f>CU_PROD[[#This Row],[Prod Smelter Primary tCu]]/SUM($D$2:$D$32)</f>
        <v>5.0795273061471462E-3</v>
      </c>
    </row>
    <row r="31" spans="1:13" x14ac:dyDescent="0.15">
      <c r="A31" t="s">
        <v>81</v>
      </c>
      <c r="B31" s="5" t="str">
        <f>LOOKUP(A31,REGIONS[Country],REGIONS[Region REMIND])</f>
        <v>EUR</v>
      </c>
      <c r="C31">
        <v>41553</v>
      </c>
      <c r="D31">
        <v>0</v>
      </c>
      <c r="E31">
        <v>0</v>
      </c>
      <c r="F31">
        <v>0</v>
      </c>
      <c r="G31">
        <v>0</v>
      </c>
      <c r="H31">
        <v>0</v>
      </c>
      <c r="I31" s="17">
        <f>CU_PROD[[#This Row],[Mine Prod tCu]]/SUM($C$2:$C$51)</f>
        <v>2.5458678034570204E-3</v>
      </c>
      <c r="K31" s="13"/>
    </row>
    <row r="32" spans="1:13" x14ac:dyDescent="0.15">
      <c r="A32" t="s">
        <v>865</v>
      </c>
      <c r="B32" s="5" t="str">
        <f>LOOKUP(A32,REGIONS[Country],REGIONS[Region REMIND])</f>
        <v>EUR</v>
      </c>
      <c r="C32">
        <v>32861</v>
      </c>
      <c r="D32">
        <v>115500</v>
      </c>
      <c r="E32">
        <v>4000</v>
      </c>
      <c r="F32">
        <v>0</v>
      </c>
      <c r="G32">
        <v>116200</v>
      </c>
      <c r="H32">
        <v>4200</v>
      </c>
      <c r="I32" s="17">
        <f>CU_PROD[[#This Row],[Mine Prod tCu]]/SUM($C$2:$C$51)</f>
        <v>2.0133266404206954E-3</v>
      </c>
      <c r="J32" s="17">
        <f>CU_PROD[[#This Row],[Prod Smelter Primary tCu]]/SUM($D$2:$D$32)</f>
        <v>8.036786354246513E-3</v>
      </c>
    </row>
    <row r="33" spans="1:13" x14ac:dyDescent="0.15">
      <c r="A33" s="5" t="s">
        <v>321</v>
      </c>
      <c r="B33" s="5" t="str">
        <f>LOOKUP(A33,REGIONS[Country],REGIONS[Region REMIND])</f>
        <v>OAS</v>
      </c>
      <c r="C33">
        <v>30600</v>
      </c>
      <c r="D33">
        <v>19200</v>
      </c>
      <c r="E33">
        <v>0</v>
      </c>
      <c r="F33">
        <v>0</v>
      </c>
      <c r="G33">
        <v>19200</v>
      </c>
      <c r="H33">
        <v>0</v>
      </c>
      <c r="I33" s="17">
        <f>CU_PROD[[#This Row],[Mine Prod tCu]]/SUM($C$2:$C$51)</f>
        <v>1.8747997686276521E-3</v>
      </c>
      <c r="J33" s="17">
        <f>CU_PROD[[#This Row],[Prod Smelter Primary tCu]]/SUM($D$2:$D$32)</f>
        <v>1.3359852640825371E-3</v>
      </c>
    </row>
    <row r="34" spans="1:13" x14ac:dyDescent="0.15">
      <c r="A34" t="s">
        <v>870</v>
      </c>
      <c r="B34" s="5" t="str">
        <f>LOOKUP(A34,REGIONS[Country],REGIONS[Region REMIND])</f>
        <v>SSA</v>
      </c>
      <c r="C34">
        <v>29620</v>
      </c>
      <c r="D34">
        <v>0</v>
      </c>
      <c r="E34">
        <v>0</v>
      </c>
      <c r="F34">
        <v>0</v>
      </c>
      <c r="G34">
        <v>0</v>
      </c>
      <c r="H34">
        <v>0</v>
      </c>
      <c r="I34" s="17">
        <f>CU_PROD[[#This Row],[Mine Prod tCu]]/SUM($C$2:$C$51)</f>
        <v>1.8147571616585311E-3</v>
      </c>
    </row>
    <row r="35" spans="1:13" x14ac:dyDescent="0.15">
      <c r="A35" s="5" t="s">
        <v>71</v>
      </c>
      <c r="B35" s="5" t="str">
        <f>LOOKUP(A35,REGIONS[Country],REGIONS[Region REMIND])</f>
        <v>IND</v>
      </c>
      <c r="C35">
        <v>29200</v>
      </c>
      <c r="D35">
        <v>342300</v>
      </c>
      <c r="E35">
        <v>2000</v>
      </c>
      <c r="F35">
        <v>0</v>
      </c>
      <c r="G35">
        <v>424200</v>
      </c>
      <c r="H35">
        <v>2000</v>
      </c>
      <c r="I35" s="17">
        <f>CU_PROD[[#This Row],[Mine Prod tCu]]/SUM($C$2:$C$51)</f>
        <v>1.7890246158146223E-3</v>
      </c>
      <c r="J35" s="17">
        <f>CU_PROD[[#This Row],[Prod Smelter Primary tCu]]/SUM($D$2:$D$32)</f>
        <v>2.3818112286221483E-2</v>
      </c>
    </row>
    <row r="36" spans="1:13" x14ac:dyDescent="0.15">
      <c r="A36" s="5" t="s">
        <v>78</v>
      </c>
      <c r="B36" s="5" t="str">
        <f>LOOKUP(A36,REGIONS[Country],REGIONS[Region REMIND])</f>
        <v>MEA</v>
      </c>
      <c r="C36">
        <v>25000</v>
      </c>
      <c r="D36">
        <v>0</v>
      </c>
      <c r="E36">
        <v>0</v>
      </c>
      <c r="F36">
        <v>0</v>
      </c>
      <c r="G36">
        <v>0</v>
      </c>
      <c r="H36">
        <v>0</v>
      </c>
      <c r="I36" s="17">
        <f>CU_PROD[[#This Row],[Mine Prod tCu]]/SUM($C$2:$C$51)</f>
        <v>1.5316991573755328E-3</v>
      </c>
    </row>
    <row r="37" spans="1:13" x14ac:dyDescent="0.15">
      <c r="A37" s="5" t="s">
        <v>863</v>
      </c>
      <c r="B37" s="5" t="str">
        <f>LOOKUP(A37,REGIONS[Country],REGIONS[Region REMIND])</f>
        <v>SSA</v>
      </c>
      <c r="C37">
        <v>16008</v>
      </c>
      <c r="D37">
        <v>0</v>
      </c>
      <c r="E37">
        <v>0</v>
      </c>
      <c r="F37">
        <v>0</v>
      </c>
      <c r="G37">
        <v>0</v>
      </c>
      <c r="H37">
        <v>0</v>
      </c>
      <c r="I37" s="17">
        <f>CU_PROD[[#This Row],[Mine Prod tCu]]/SUM($C$2:$C$51)</f>
        <v>9.8077760445070103E-4</v>
      </c>
      <c r="M37" s="76"/>
    </row>
    <row r="38" spans="1:13" x14ac:dyDescent="0.15">
      <c r="A38" s="5" t="s">
        <v>319</v>
      </c>
      <c r="B38" s="5" t="str">
        <f>LOOKUP(A38,REGIONS[Country],REGIONS[Region REMIND])</f>
        <v>MEA</v>
      </c>
      <c r="C38">
        <v>16000</v>
      </c>
      <c r="D38">
        <v>0</v>
      </c>
      <c r="E38">
        <v>0</v>
      </c>
      <c r="F38">
        <v>0</v>
      </c>
      <c r="G38">
        <v>0</v>
      </c>
      <c r="H38">
        <v>0</v>
      </c>
      <c r="I38" s="17">
        <f>CU_PROD[[#This Row],[Mine Prod tCu]]/SUM($C$2:$C$51)</f>
        <v>9.8028746072034104E-4</v>
      </c>
    </row>
    <row r="39" spans="1:13" x14ac:dyDescent="0.15">
      <c r="A39" s="5" t="s">
        <v>1500</v>
      </c>
      <c r="B39" s="5" t="str">
        <f>LOOKUP(A39,REGIONS[Country],REGIONS[Region REMIND])</f>
        <v>MEA</v>
      </c>
      <c r="C39">
        <v>13049</v>
      </c>
      <c r="D39">
        <v>13000</v>
      </c>
      <c r="E39">
        <v>0</v>
      </c>
      <c r="F39">
        <v>0</v>
      </c>
      <c r="G39">
        <v>0</v>
      </c>
      <c r="H39">
        <v>0</v>
      </c>
      <c r="I39" s="17">
        <f>CU_PROD[[#This Row],[Mine Prod tCu]]/SUM($C$2:$C$51)</f>
        <v>7.9948569218373303E-4</v>
      </c>
      <c r="J39" s="17">
        <f>CU_PROD[[#This Row],[Prod Smelter Primary tCu]]/SUM($D$2:$D$32)</f>
        <v>9.0457335588921782E-4</v>
      </c>
    </row>
    <row r="40" spans="1:13" x14ac:dyDescent="0.15">
      <c r="A40" t="s">
        <v>861</v>
      </c>
      <c r="B40" s="5" t="str">
        <f>LOOKUP(A40,REGIONS[Country],REGIONS[Region REMIND])</f>
        <v>LAM</v>
      </c>
      <c r="C40">
        <v>10500</v>
      </c>
      <c r="D40">
        <v>0</v>
      </c>
      <c r="E40">
        <v>0</v>
      </c>
      <c r="F40">
        <v>0</v>
      </c>
      <c r="G40">
        <v>0</v>
      </c>
      <c r="H40">
        <v>0</v>
      </c>
      <c r="I40" s="17">
        <f>CU_PROD[[#This Row],[Mine Prod tCu]]/SUM($C$2:$C$51)</f>
        <v>6.4331364609772378E-4</v>
      </c>
    </row>
    <row r="41" spans="1:13" x14ac:dyDescent="0.15">
      <c r="A41" s="5" t="s">
        <v>3614</v>
      </c>
      <c r="B41" s="5" t="str">
        <f>LOOKUP(A41,REGIONS[Country],REGIONS[Region REMIND])</f>
        <v>OAS</v>
      </c>
      <c r="C41">
        <v>10000</v>
      </c>
      <c r="D41">
        <v>10000</v>
      </c>
      <c r="E41">
        <v>5000</v>
      </c>
      <c r="F41">
        <v>0</v>
      </c>
      <c r="G41">
        <v>10000</v>
      </c>
      <c r="H41">
        <v>5000</v>
      </c>
      <c r="I41" s="17">
        <f>CU_PROD[[#This Row],[Mine Prod tCu]]/SUM($C$2:$C$51)</f>
        <v>6.1267966295021315E-4</v>
      </c>
      <c r="J41" s="17">
        <f>CU_PROD[[#This Row],[Prod Smelter Primary tCu]]/SUM($D$2:$D$32)</f>
        <v>6.9582565837632141E-4</v>
      </c>
    </row>
    <row r="42" spans="1:13" x14ac:dyDescent="0.15">
      <c r="A42" s="5" t="s">
        <v>84</v>
      </c>
      <c r="B42" s="5" t="str">
        <f>LOOKUP(A42,REGIONS[Country],REGIONS[Region REMIND])</f>
        <v>EUR</v>
      </c>
      <c r="C42">
        <v>10000</v>
      </c>
      <c r="D42">
        <v>0</v>
      </c>
      <c r="E42">
        <v>0</v>
      </c>
      <c r="F42">
        <v>0</v>
      </c>
      <c r="G42">
        <v>0</v>
      </c>
      <c r="H42">
        <v>0</v>
      </c>
      <c r="I42" s="17">
        <f>CU_PROD[[#This Row],[Mine Prod tCu]]/SUM($C$2:$C$51)</f>
        <v>6.1267966295021315E-4</v>
      </c>
    </row>
    <row r="43" spans="1:13" x14ac:dyDescent="0.15">
      <c r="A43" s="5" t="s">
        <v>875</v>
      </c>
      <c r="B43" s="5" t="str">
        <f>LOOKUP(A43,REGIONS[Country],REGIONS[Region REMIND])</f>
        <v>SSA</v>
      </c>
      <c r="C43">
        <v>10000</v>
      </c>
      <c r="D43">
        <v>0</v>
      </c>
      <c r="E43">
        <v>0</v>
      </c>
      <c r="F43">
        <v>0</v>
      </c>
      <c r="G43">
        <v>0</v>
      </c>
      <c r="H43">
        <v>0</v>
      </c>
      <c r="I43" s="17">
        <f>CU_PROD[[#This Row],[Mine Prod tCu]]/SUM($C$2:$C$51)</f>
        <v>6.1267966295021315E-4</v>
      </c>
    </row>
    <row r="44" spans="1:13" x14ac:dyDescent="0.15">
      <c r="A44" s="5" t="s">
        <v>874</v>
      </c>
      <c r="B44" s="5" t="str">
        <f>LOOKUP(A44,REGIONS[Country],REGIONS[Region REMIND])</f>
        <v>EUR</v>
      </c>
      <c r="C44">
        <v>9200</v>
      </c>
      <c r="D44">
        <v>0</v>
      </c>
      <c r="E44">
        <v>0</v>
      </c>
      <c r="F44">
        <v>0</v>
      </c>
      <c r="G44">
        <v>0</v>
      </c>
      <c r="H44">
        <v>0</v>
      </c>
      <c r="I44" s="17">
        <f>CU_PROD[[#This Row],[Mine Prod tCu]]/SUM($C$2:$C$51)</f>
        <v>5.6366528991419603E-4</v>
      </c>
    </row>
    <row r="45" spans="1:13" x14ac:dyDescent="0.15">
      <c r="A45" s="5" t="s">
        <v>82</v>
      </c>
      <c r="B45" s="5" t="str">
        <f>LOOKUP(A45,REGIONS[Country],REGIONS[Region REMIND])</f>
        <v>SSA</v>
      </c>
      <c r="C45">
        <v>9100</v>
      </c>
      <c r="D45">
        <v>0</v>
      </c>
      <c r="E45">
        <v>0</v>
      </c>
      <c r="F45">
        <v>0</v>
      </c>
      <c r="G45">
        <v>0</v>
      </c>
      <c r="H45">
        <v>0</v>
      </c>
      <c r="I45" s="17">
        <f>CU_PROD[[#This Row],[Mine Prod tCu]]/SUM($C$2:$C$51)</f>
        <v>5.5753849328469391E-4</v>
      </c>
    </row>
    <row r="46" spans="1:13" x14ac:dyDescent="0.15">
      <c r="A46" s="5" t="s">
        <v>928</v>
      </c>
      <c r="B46" s="5" t="str">
        <f>LOOKUP(A46,REGIONS[Country],REGIONS[Region REMIND])</f>
        <v>LAM</v>
      </c>
      <c r="C46">
        <v>7644</v>
      </c>
      <c r="D46">
        <v>0</v>
      </c>
      <c r="E46">
        <v>0</v>
      </c>
      <c r="F46">
        <v>0</v>
      </c>
      <c r="G46">
        <v>0</v>
      </c>
      <c r="H46">
        <v>0</v>
      </c>
      <c r="I46" s="17">
        <f>CU_PROD[[#This Row],[Mine Prod tCu]]/SUM($C$2:$C$51)</f>
        <v>4.6833233435914287E-4</v>
      </c>
    </row>
    <row r="47" spans="1:13" x14ac:dyDescent="0.15">
      <c r="A47" s="5" t="s">
        <v>867</v>
      </c>
      <c r="B47" s="5" t="str">
        <f>LOOKUP(A47,REGIONS[Country],REGIONS[Region REMIND])</f>
        <v>REF</v>
      </c>
      <c r="C47">
        <v>7400</v>
      </c>
      <c r="D47">
        <v>0</v>
      </c>
      <c r="E47">
        <v>0</v>
      </c>
      <c r="F47">
        <v>0</v>
      </c>
      <c r="G47">
        <v>0</v>
      </c>
      <c r="H47">
        <v>0</v>
      </c>
      <c r="I47" s="17">
        <f>CU_PROD[[#This Row],[Mine Prod tCu]]/SUM($C$2:$C$51)</f>
        <v>4.5338295058315771E-4</v>
      </c>
    </row>
    <row r="48" spans="1:13" x14ac:dyDescent="0.15">
      <c r="A48" s="5" t="s">
        <v>869</v>
      </c>
      <c r="B48" s="5" t="str">
        <f>LOOKUP(A48,REGIONS[Country],REGIONS[Region REMIND])</f>
        <v>NEU</v>
      </c>
      <c r="C48">
        <v>6512</v>
      </c>
      <c r="D48">
        <v>0</v>
      </c>
      <c r="E48">
        <v>0</v>
      </c>
      <c r="F48">
        <v>719</v>
      </c>
      <c r="G48">
        <v>0</v>
      </c>
      <c r="H48">
        <v>0</v>
      </c>
      <c r="I48" s="17">
        <f>CU_PROD[[#This Row],[Mine Prod tCu]]/SUM($C$2:$C$51)</f>
        <v>3.9897699651317877E-4</v>
      </c>
    </row>
    <row r="49" spans="1:12" x14ac:dyDescent="0.15">
      <c r="A49" s="5" t="s">
        <v>979</v>
      </c>
      <c r="B49" s="5" t="str">
        <f>LOOKUP(A49,REGIONS[Country],REGIONS[Region REMIND])</f>
        <v>NEU</v>
      </c>
      <c r="C49">
        <v>3600</v>
      </c>
      <c r="D49">
        <v>0</v>
      </c>
      <c r="E49">
        <v>0</v>
      </c>
      <c r="F49">
        <v>0</v>
      </c>
      <c r="G49">
        <v>0</v>
      </c>
      <c r="H49">
        <v>0</v>
      </c>
      <c r="I49" s="17">
        <f>CU_PROD[[#This Row],[Mine Prod tCu]]/SUM($C$2:$C$51)</f>
        <v>2.205646786620767E-4</v>
      </c>
    </row>
    <row r="50" spans="1:12" x14ac:dyDescent="0.15">
      <c r="A50" t="s">
        <v>329</v>
      </c>
      <c r="B50" s="5" t="str">
        <f>LOOKUP(A50,REGIONS[Country],REGIONS[Region REMIND])</f>
        <v>REF</v>
      </c>
      <c r="C50">
        <v>2213</v>
      </c>
      <c r="D50">
        <v>0</v>
      </c>
      <c r="E50">
        <v>0</v>
      </c>
      <c r="F50">
        <v>0</v>
      </c>
      <c r="G50">
        <v>0</v>
      </c>
      <c r="H50">
        <v>0</v>
      </c>
      <c r="I50" s="17">
        <f>CU_PROD[[#This Row],[Mine Prod tCu]]/SUM($C$2:$C$51)</f>
        <v>1.3558600941088216E-4</v>
      </c>
    </row>
    <row r="51" spans="1:12" x14ac:dyDescent="0.15">
      <c r="A51" s="5" t="s">
        <v>70</v>
      </c>
      <c r="B51" s="5" t="str">
        <f>LOOKUP(A51,REGIONS[Country],REGIONS[Region REMIND])</f>
        <v>LAM</v>
      </c>
      <c r="C51">
        <v>1400</v>
      </c>
      <c r="D51">
        <v>0</v>
      </c>
      <c r="E51">
        <v>0</v>
      </c>
      <c r="F51">
        <v>3100</v>
      </c>
      <c r="G51">
        <v>0</v>
      </c>
      <c r="H51">
        <v>0</v>
      </c>
      <c r="I51" s="17">
        <f>CU_PROD[[#This Row],[Mine Prod tCu]]/SUM($C$2:$C$51)</f>
        <v>8.5775152813029833E-5</v>
      </c>
      <c r="K51" s="6"/>
      <c r="L51" s="6"/>
    </row>
    <row r="52" spans="1:12" x14ac:dyDescent="0.15">
      <c r="A52" s="5" t="s">
        <v>36</v>
      </c>
      <c r="B52" s="5" t="str">
        <f>LOOKUP(A52,REGIONS[Country],REGIONS[Region REMIND])</f>
        <v>JPN</v>
      </c>
      <c r="C52">
        <v>0</v>
      </c>
      <c r="D52">
        <v>1112276</v>
      </c>
      <c r="E52">
        <v>394401</v>
      </c>
      <c r="F52">
        <v>0</v>
      </c>
      <c r="G52">
        <v>1152847</v>
      </c>
      <c r="H52">
        <v>342512</v>
      </c>
      <c r="J52" s="17">
        <f>CU_PROD[[#This Row],[Prod Smelter Primary tCu]]/SUM($D$2:$D$32)</f>
        <v>7.7395017999618135E-2</v>
      </c>
      <c r="K52" s="6"/>
      <c r="L52" s="6"/>
    </row>
    <row r="53" spans="1:12" x14ac:dyDescent="0.15">
      <c r="A53" s="5" t="s">
        <v>3615</v>
      </c>
      <c r="B53" s="5" t="str">
        <f>LOOKUP(A53,REGIONS[Country],REGIONS[Region REMIND])</f>
        <v>OAS</v>
      </c>
      <c r="C53">
        <v>0</v>
      </c>
      <c r="D53">
        <v>520000</v>
      </c>
      <c r="E53">
        <v>160000</v>
      </c>
      <c r="F53">
        <v>0</v>
      </c>
      <c r="G53">
        <v>475500</v>
      </c>
      <c r="H53">
        <v>189400</v>
      </c>
      <c r="J53" s="17">
        <f>CU_PROD[[#This Row],[Prod Smelter Primary tCu]]/SUM($D$2:$D$32)</f>
        <v>3.6182934235568717E-2</v>
      </c>
      <c r="K53" s="6"/>
      <c r="L53" s="6"/>
    </row>
    <row r="54" spans="1:12" x14ac:dyDescent="0.15">
      <c r="A54" s="5" t="s">
        <v>34</v>
      </c>
      <c r="B54" s="5" t="str">
        <f>LOOKUP(A54,REGIONS[Country],REGIONS[Region REMIND])</f>
        <v>EUR</v>
      </c>
      <c r="C54">
        <v>0</v>
      </c>
      <c r="D54">
        <v>288600</v>
      </c>
      <c r="E54">
        <v>169300</v>
      </c>
      <c r="F54">
        <v>0</v>
      </c>
      <c r="G54">
        <v>353400</v>
      </c>
      <c r="H54">
        <v>278300</v>
      </c>
      <c r="J54" s="17">
        <f>CU_PROD[[#This Row],[Prod Smelter Primary tCu]]/SUM($D$2:$D$32)</f>
        <v>2.0081528500740638E-2</v>
      </c>
    </row>
    <row r="55" spans="1:12" x14ac:dyDescent="0.15">
      <c r="A55" s="5" t="s">
        <v>871</v>
      </c>
      <c r="B55" s="5" t="str">
        <f>LOOKUP(A55,REGIONS[Country],REGIONS[Region REMIND])</f>
        <v>SSA</v>
      </c>
      <c r="C55">
        <v>0</v>
      </c>
      <c r="D55">
        <v>45953</v>
      </c>
      <c r="E55">
        <v>0</v>
      </c>
      <c r="F55">
        <v>14940</v>
      </c>
      <c r="G55">
        <v>0</v>
      </c>
      <c r="H55">
        <v>0</v>
      </c>
      <c r="J55" s="17">
        <f>CU_PROD[[#This Row],[Prod Smelter Primary tCu]]/SUM($D$2:$D$32)</f>
        <v>3.1975276479367098E-3</v>
      </c>
    </row>
    <row r="56" spans="1:12" x14ac:dyDescent="0.15">
      <c r="A56" s="5" t="s">
        <v>1309</v>
      </c>
      <c r="B56" s="5" t="str">
        <f>LOOKUP(A56,REGIONS[Country],REGIONS[Region REMIND])</f>
        <v>OAS</v>
      </c>
      <c r="C56">
        <v>0</v>
      </c>
      <c r="D56">
        <v>0</v>
      </c>
      <c r="E56">
        <v>0</v>
      </c>
      <c r="F56">
        <v>153100</v>
      </c>
      <c r="G56">
        <v>0</v>
      </c>
      <c r="H56">
        <v>0</v>
      </c>
    </row>
    <row r="57" spans="1:12" x14ac:dyDescent="0.15">
      <c r="A57" s="5" t="s">
        <v>1498</v>
      </c>
      <c r="B57" s="5" t="str">
        <f>LOOKUP(A57,REGIONS[Country],REGIONS[Region REMIND])</f>
        <v>EUR</v>
      </c>
      <c r="C57">
        <v>0</v>
      </c>
      <c r="D57">
        <v>0</v>
      </c>
      <c r="E57">
        <v>0</v>
      </c>
      <c r="F57">
        <v>703</v>
      </c>
      <c r="G57">
        <v>0</v>
      </c>
      <c r="H57">
        <v>0</v>
      </c>
    </row>
    <row r="58" spans="1:12" x14ac:dyDescent="0.15">
      <c r="A58" s="5" t="s">
        <v>1747</v>
      </c>
      <c r="B58" s="5" t="str">
        <f>LOOKUP(A58,REGIONS[Country],REGIONS[Region REMIND])</f>
        <v>MEA</v>
      </c>
      <c r="C58">
        <v>0</v>
      </c>
      <c r="D58">
        <v>0</v>
      </c>
      <c r="E58">
        <v>139900</v>
      </c>
      <c r="F58">
        <v>0</v>
      </c>
      <c r="G58">
        <v>209600</v>
      </c>
      <c r="H58">
        <v>147000</v>
      </c>
    </row>
    <row r="59" spans="1:12" x14ac:dyDescent="0.15">
      <c r="A59" s="5" t="s">
        <v>3616</v>
      </c>
      <c r="B59" s="5" t="str">
        <f>LOOKUP(A59,REGIONS[Country],REGIONS[Region REMIND])</f>
        <v>CAZ</v>
      </c>
      <c r="C59">
        <v>0</v>
      </c>
      <c r="D59">
        <v>0</v>
      </c>
      <c r="E59">
        <v>68500</v>
      </c>
      <c r="F59">
        <v>0</v>
      </c>
      <c r="G59">
        <v>0</v>
      </c>
      <c r="H59">
        <v>128100</v>
      </c>
    </row>
    <row r="60" spans="1:12" x14ac:dyDescent="0.15">
      <c r="A60" s="5" t="s">
        <v>2328</v>
      </c>
      <c r="B60" s="5" t="str">
        <f>LOOKUP(A60,REGIONS[Country],REGIONS[Region REMIND])</f>
        <v>MEA</v>
      </c>
      <c r="C60">
        <v>0</v>
      </c>
      <c r="D60">
        <v>0</v>
      </c>
      <c r="E60">
        <v>0</v>
      </c>
      <c r="F60">
        <v>0</v>
      </c>
      <c r="G60">
        <v>0</v>
      </c>
      <c r="H60">
        <v>100000</v>
      </c>
    </row>
    <row r="61" spans="1:12" x14ac:dyDescent="0.15">
      <c r="A61" s="5" t="s">
        <v>88</v>
      </c>
      <c r="B61" s="5" t="str">
        <f>LOOKUP(A61,REGIONS[Country],REGIONS[Region REMIND])</f>
        <v>NEU</v>
      </c>
      <c r="C61">
        <v>0</v>
      </c>
      <c r="D61">
        <v>0</v>
      </c>
      <c r="E61">
        <v>0</v>
      </c>
      <c r="F61">
        <v>0</v>
      </c>
      <c r="G61">
        <v>0</v>
      </c>
      <c r="H61">
        <v>20409</v>
      </c>
    </row>
    <row r="62" spans="1:12" x14ac:dyDescent="0.15">
      <c r="A62" s="5" t="s">
        <v>80</v>
      </c>
      <c r="B62" s="5" t="str">
        <f>LOOKUP(A62,REGIONS[Country],REGIONS[Region REMIND])</f>
        <v>LAM</v>
      </c>
      <c r="C62">
        <v>0</v>
      </c>
      <c r="D62">
        <v>0</v>
      </c>
      <c r="E62">
        <v>0</v>
      </c>
      <c r="F62">
        <v>0</v>
      </c>
      <c r="G62">
        <v>0</v>
      </c>
      <c r="H62">
        <v>16000</v>
      </c>
    </row>
    <row r="63" spans="1:12" x14ac:dyDescent="0.15">
      <c r="A63" s="5" t="s">
        <v>2490</v>
      </c>
      <c r="B63" s="5" t="str">
        <f>LOOKUP(A63,REGIONS[Country],REGIONS[Region REMIND])</f>
        <v>MEA</v>
      </c>
      <c r="C63">
        <v>0</v>
      </c>
      <c r="D63">
        <v>0</v>
      </c>
      <c r="E63">
        <v>0</v>
      </c>
      <c r="F63">
        <v>0</v>
      </c>
      <c r="G63">
        <v>0</v>
      </c>
      <c r="H63">
        <v>9800</v>
      </c>
    </row>
    <row r="64" spans="1:12" x14ac:dyDescent="0.15">
      <c r="A64" s="5" t="s">
        <v>324</v>
      </c>
      <c r="B64" s="5" t="str">
        <f>LOOKUP(A64,REGIONS[Country],REGIONS[Region REMIND])</f>
        <v>EUR</v>
      </c>
      <c r="C64">
        <v>0</v>
      </c>
      <c r="D64">
        <v>0</v>
      </c>
      <c r="E64">
        <v>0</v>
      </c>
      <c r="F64">
        <v>0</v>
      </c>
      <c r="G64">
        <v>22000</v>
      </c>
      <c r="H64">
        <v>0</v>
      </c>
    </row>
    <row r="65" spans="1:8" x14ac:dyDescent="0.15">
      <c r="A65" t="s">
        <v>859</v>
      </c>
      <c r="B65" s="5" t="str">
        <f>LOOKUP(A65,REGIONS[Country],REGIONS[Region REMIND])</f>
        <v>SSA</v>
      </c>
      <c r="C65">
        <v>0</v>
      </c>
      <c r="D65">
        <v>0</v>
      </c>
      <c r="E65">
        <v>0</v>
      </c>
      <c r="F65">
        <v>0</v>
      </c>
      <c r="G65">
        <v>0</v>
      </c>
      <c r="H65">
        <v>0</v>
      </c>
    </row>
    <row r="66" spans="1:8" x14ac:dyDescent="0.15">
      <c r="A66" s="5" t="s">
        <v>1320</v>
      </c>
      <c r="B66" s="5" t="str">
        <f>LOOKUP(A66,REGIONS[Country],REGIONS[Region REMIND])</f>
        <v>MEA</v>
      </c>
      <c r="C66">
        <v>0</v>
      </c>
      <c r="D66">
        <v>0</v>
      </c>
      <c r="E66">
        <v>0</v>
      </c>
      <c r="F66">
        <v>0</v>
      </c>
      <c r="G66">
        <v>0</v>
      </c>
      <c r="H66">
        <v>0</v>
      </c>
    </row>
    <row r="67" spans="1:8" x14ac:dyDescent="0.15">
      <c r="A67" s="5" t="s">
        <v>2958</v>
      </c>
      <c r="B67" s="5" t="str">
        <f>LOOKUP(A67,REGIONS[Country],REGIONS[Region REMIND])</f>
        <v>EUR</v>
      </c>
      <c r="C67">
        <v>0</v>
      </c>
      <c r="D67">
        <v>0</v>
      </c>
      <c r="E67">
        <v>51796</v>
      </c>
      <c r="F67">
        <v>0</v>
      </c>
      <c r="G67">
        <v>0</v>
      </c>
      <c r="H67">
        <v>0</v>
      </c>
    </row>
    <row r="69" spans="1:8" x14ac:dyDescent="0.15">
      <c r="C69" s="13"/>
      <c r="D69" s="13"/>
      <c r="E69" s="13"/>
      <c r="F69" s="13"/>
      <c r="G69" s="13"/>
      <c r="H69" s="13"/>
    </row>
    <row r="70" spans="1:8" x14ac:dyDescent="0.15">
      <c r="A70" s="5"/>
      <c r="B70" s="5"/>
      <c r="C70" s="51"/>
      <c r="D70" s="51"/>
      <c r="E70" s="51"/>
      <c r="F70" s="51"/>
      <c r="G70" s="51"/>
      <c r="H70" s="51"/>
    </row>
    <row r="73" spans="1:8" x14ac:dyDescent="0.15">
      <c r="A73" s="5"/>
      <c r="B73" s="5"/>
      <c r="D73" s="51"/>
    </row>
    <row r="75" spans="1:8" x14ac:dyDescent="0.15">
      <c r="A75" s="5" t="s">
        <v>3706</v>
      </c>
      <c r="D75" s="51"/>
    </row>
  </sheetData>
  <pageMargins left="0.7" right="0.7" top="0.75" bottom="0.75" header="0.3" footer="0.3"/>
  <pageSetup paperSize="9"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1E975-839A-FC44-9F9F-F8F2CADF10CB}">
  <dimension ref="A1:C36"/>
  <sheetViews>
    <sheetView zoomScale="87" workbookViewId="0">
      <selection activeCell="B36" sqref="B36"/>
    </sheetView>
  </sheetViews>
  <sheetFormatPr baseColWidth="10" defaultRowHeight="13" x14ac:dyDescent="0.15"/>
  <sheetData>
    <row r="1" spans="1:3" x14ac:dyDescent="0.15">
      <c r="A1" s="5" t="s">
        <v>3631</v>
      </c>
      <c r="B1" s="5" t="s">
        <v>96</v>
      </c>
      <c r="C1" s="5" t="s">
        <v>95</v>
      </c>
    </row>
    <row r="2" spans="1:3" x14ac:dyDescent="0.15">
      <c r="A2">
        <v>2018</v>
      </c>
      <c r="B2">
        <v>2400</v>
      </c>
      <c r="C2">
        <v>2400</v>
      </c>
    </row>
    <row r="3" spans="1:3" x14ac:dyDescent="0.15">
      <c r="A3">
        <v>2019</v>
      </c>
      <c r="B3">
        <v>2610</v>
      </c>
      <c r="C3">
        <v>2610</v>
      </c>
    </row>
    <row r="4" spans="1:3" x14ac:dyDescent="0.15">
      <c r="A4">
        <v>2020</v>
      </c>
      <c r="B4">
        <v>2510</v>
      </c>
      <c r="C4">
        <v>2510</v>
      </c>
    </row>
    <row r="5" spans="1:3" x14ac:dyDescent="0.15">
      <c r="A5">
        <v>2021</v>
      </c>
      <c r="B5">
        <v>2730</v>
      </c>
      <c r="C5">
        <v>2730</v>
      </c>
    </row>
    <row r="6" spans="1:3" x14ac:dyDescent="0.15">
      <c r="A6">
        <v>2022</v>
      </c>
      <c r="B6" s="10">
        <v>2933.6849999999999</v>
      </c>
      <c r="C6" s="10">
        <v>2933.6849999999999</v>
      </c>
    </row>
    <row r="7" spans="1:3" x14ac:dyDescent="0.15">
      <c r="A7">
        <v>2023</v>
      </c>
      <c r="B7" s="10">
        <v>3300.4266666666667</v>
      </c>
      <c r="C7" s="10">
        <v>3096.5733333333333</v>
      </c>
    </row>
    <row r="8" spans="1:3" x14ac:dyDescent="0.15">
      <c r="A8">
        <v>2024</v>
      </c>
      <c r="B8" s="10">
        <v>3667.1683333333331</v>
      </c>
      <c r="C8" s="10">
        <v>3259.4616666666666</v>
      </c>
    </row>
    <row r="9" spans="1:3" x14ac:dyDescent="0.15">
      <c r="A9">
        <v>2025</v>
      </c>
      <c r="B9" s="10">
        <v>4033.91</v>
      </c>
      <c r="C9" s="10">
        <v>3422.35</v>
      </c>
    </row>
    <row r="10" spans="1:3" x14ac:dyDescent="0.15">
      <c r="A10">
        <v>2026</v>
      </c>
      <c r="B10" s="10">
        <v>4390.174</v>
      </c>
      <c r="C10" s="10">
        <v>3643.8539999999998</v>
      </c>
    </row>
    <row r="11" spans="1:3" x14ac:dyDescent="0.15">
      <c r="A11">
        <v>2027</v>
      </c>
      <c r="B11" s="10">
        <v>4746.4380000000001</v>
      </c>
      <c r="C11" s="10">
        <v>3865.3579999999997</v>
      </c>
    </row>
    <row r="12" spans="1:3" x14ac:dyDescent="0.15">
      <c r="A12">
        <v>2028</v>
      </c>
      <c r="B12" s="10">
        <v>5102.7019999999993</v>
      </c>
      <c r="C12" s="10">
        <v>4086.8620000000001</v>
      </c>
    </row>
    <row r="13" spans="1:3" x14ac:dyDescent="0.15">
      <c r="A13">
        <v>2029</v>
      </c>
      <c r="B13" s="10">
        <v>5458.9659999999994</v>
      </c>
      <c r="C13" s="10">
        <v>4308.366</v>
      </c>
    </row>
    <row r="14" spans="1:3" x14ac:dyDescent="0.15">
      <c r="A14">
        <v>2030</v>
      </c>
      <c r="B14" s="10">
        <v>5815.23</v>
      </c>
      <c r="C14" s="10">
        <v>4529.87</v>
      </c>
    </row>
    <row r="15" spans="1:3" x14ac:dyDescent="0.15">
      <c r="A15">
        <v>2031</v>
      </c>
      <c r="B15" s="10">
        <v>5983.8779999999997</v>
      </c>
      <c r="C15" s="10">
        <v>4714.1620000000003</v>
      </c>
    </row>
    <row r="16" spans="1:3" x14ac:dyDescent="0.15">
      <c r="A16">
        <v>2032</v>
      </c>
      <c r="B16" s="10">
        <v>6152.5259999999998</v>
      </c>
      <c r="C16" s="10">
        <v>4898.4539999999997</v>
      </c>
    </row>
    <row r="17" spans="1:3" x14ac:dyDescent="0.15">
      <c r="A17">
        <v>2033</v>
      </c>
      <c r="B17" s="10">
        <v>6321.174</v>
      </c>
      <c r="C17" s="10">
        <v>5082.7460000000001</v>
      </c>
    </row>
    <row r="18" spans="1:3" x14ac:dyDescent="0.15">
      <c r="A18">
        <v>2034</v>
      </c>
      <c r="B18" s="10">
        <v>6489.8220000000001</v>
      </c>
      <c r="C18" s="10">
        <v>5267.0379999999996</v>
      </c>
    </row>
    <row r="19" spans="1:3" x14ac:dyDescent="0.15">
      <c r="A19">
        <v>2035</v>
      </c>
      <c r="B19" s="10">
        <v>6658.47</v>
      </c>
      <c r="C19" s="10">
        <v>5451.33</v>
      </c>
    </row>
    <row r="20" spans="1:3" x14ac:dyDescent="0.15">
      <c r="A20">
        <v>2036</v>
      </c>
      <c r="B20" s="10">
        <v>6667.1379999999999</v>
      </c>
      <c r="C20" s="10">
        <v>5607.5219999999999</v>
      </c>
    </row>
    <row r="21" spans="1:3" x14ac:dyDescent="0.15">
      <c r="A21">
        <v>2037</v>
      </c>
      <c r="B21" s="10">
        <v>6675.8060000000005</v>
      </c>
      <c r="C21" s="10">
        <v>5763.7139999999999</v>
      </c>
    </row>
    <row r="22" spans="1:3" x14ac:dyDescent="0.15">
      <c r="A22">
        <v>2038</v>
      </c>
      <c r="B22" s="10">
        <v>6684.4740000000002</v>
      </c>
      <c r="C22" s="10">
        <v>5919.9059999999999</v>
      </c>
    </row>
    <row r="23" spans="1:3" x14ac:dyDescent="0.15">
      <c r="A23">
        <v>2039</v>
      </c>
      <c r="B23" s="10">
        <v>6693.1420000000007</v>
      </c>
      <c r="C23" s="10">
        <v>6076.098</v>
      </c>
    </row>
    <row r="24" spans="1:3" x14ac:dyDescent="0.15">
      <c r="A24">
        <v>2040</v>
      </c>
      <c r="B24" s="10">
        <v>6701.81</v>
      </c>
      <c r="C24" s="10">
        <v>6232.29</v>
      </c>
    </row>
    <row r="25" spans="1:3" x14ac:dyDescent="0.15">
      <c r="A25">
        <v>2041</v>
      </c>
      <c r="B25" s="10">
        <v>6632.2840000000006</v>
      </c>
      <c r="C25" s="10">
        <v>6220.4080000000004</v>
      </c>
    </row>
    <row r="26" spans="1:3" x14ac:dyDescent="0.15">
      <c r="A26">
        <v>2042</v>
      </c>
      <c r="B26" s="10">
        <v>6562.7580000000007</v>
      </c>
      <c r="C26" s="10">
        <v>6208.5259999999998</v>
      </c>
    </row>
    <row r="27" spans="1:3" x14ac:dyDescent="0.15">
      <c r="A27">
        <v>2043</v>
      </c>
      <c r="B27" s="10">
        <v>6493.232</v>
      </c>
      <c r="C27" s="10">
        <v>6196.6440000000002</v>
      </c>
    </row>
    <row r="28" spans="1:3" x14ac:dyDescent="0.15">
      <c r="A28">
        <v>2044</v>
      </c>
      <c r="B28" s="10">
        <v>6423.7060000000001</v>
      </c>
      <c r="C28" s="10">
        <v>6184.7619999999997</v>
      </c>
    </row>
    <row r="29" spans="1:3" x14ac:dyDescent="0.15">
      <c r="A29">
        <v>2045</v>
      </c>
      <c r="B29" s="10">
        <v>6354.18</v>
      </c>
      <c r="C29" s="10">
        <v>6172.88</v>
      </c>
    </row>
    <row r="30" spans="1:3" x14ac:dyDescent="0.15">
      <c r="A30">
        <v>2046</v>
      </c>
      <c r="B30" s="10">
        <v>6322.55</v>
      </c>
      <c r="C30" s="10">
        <v>6239.8420000000006</v>
      </c>
    </row>
    <row r="31" spans="1:3" x14ac:dyDescent="0.15">
      <c r="A31">
        <v>2047</v>
      </c>
      <c r="B31" s="10">
        <v>6290.92</v>
      </c>
      <c r="C31" s="10">
        <v>6306.8040000000001</v>
      </c>
    </row>
    <row r="32" spans="1:3" x14ac:dyDescent="0.15">
      <c r="A32">
        <v>2048</v>
      </c>
      <c r="B32" s="10">
        <v>6259.2900000000009</v>
      </c>
      <c r="C32" s="10">
        <v>6373.7660000000005</v>
      </c>
    </row>
    <row r="33" spans="1:3" x14ac:dyDescent="0.15">
      <c r="A33">
        <v>2049</v>
      </c>
      <c r="B33" s="10">
        <v>6227.6600000000008</v>
      </c>
      <c r="C33" s="10">
        <v>6440.7280000000001</v>
      </c>
    </row>
    <row r="34" spans="1:3" x14ac:dyDescent="0.15">
      <c r="A34">
        <v>2050</v>
      </c>
      <c r="B34" s="10">
        <v>6196.0300000000007</v>
      </c>
      <c r="C34" s="10">
        <v>6507.6900000000005</v>
      </c>
    </row>
    <row r="36" spans="1:3" x14ac:dyDescent="0.15">
      <c r="A36" s="5" t="s">
        <v>3707</v>
      </c>
    </row>
  </sheetData>
  <pageMargins left="0.7" right="0.7" top="0.75" bottom="0.75" header="0.3" footer="0.3"/>
  <pageSetup paperSize="9" orientation="portrait" horizontalDpi="0" verticalDpi="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5B7E6-6BAF-E340-8DB9-A62E65E3C7E4}">
  <dimension ref="A1:L626"/>
  <sheetViews>
    <sheetView topLeftCell="A611" zoomScale="86" workbookViewId="0">
      <selection activeCell="A627" sqref="A627"/>
    </sheetView>
  </sheetViews>
  <sheetFormatPr baseColWidth="10" defaultRowHeight="13" x14ac:dyDescent="0.15"/>
  <cols>
    <col min="4" max="4" width="13.1640625" customWidth="1"/>
    <col min="5" max="5" width="11.5" customWidth="1"/>
    <col min="7" max="7" width="13.1640625" customWidth="1"/>
    <col min="8" max="8" width="11.5" customWidth="1"/>
  </cols>
  <sheetData>
    <row r="1" spans="1:10" x14ac:dyDescent="0.15">
      <c r="A1" s="5" t="s">
        <v>148</v>
      </c>
      <c r="B1" s="5" t="s">
        <v>3312</v>
      </c>
      <c r="C1" s="5" t="s">
        <v>977</v>
      </c>
      <c r="D1" s="5" t="s">
        <v>893</v>
      </c>
      <c r="E1" s="5" t="s">
        <v>3314</v>
      </c>
      <c r="F1" s="5" t="s">
        <v>978</v>
      </c>
      <c r="G1" s="5" t="s">
        <v>894</v>
      </c>
      <c r="H1" s="5" t="s">
        <v>3315</v>
      </c>
      <c r="I1" s="5"/>
      <c r="J1" s="5"/>
    </row>
    <row r="2" spans="1:10" x14ac:dyDescent="0.15">
      <c r="A2" t="s">
        <v>979</v>
      </c>
      <c r="B2" t="s">
        <v>982</v>
      </c>
      <c r="C2">
        <v>0</v>
      </c>
      <c r="E2">
        <f t="shared" ref="E2:E65" si="0">C2*D2*10</f>
        <v>0</v>
      </c>
      <c r="F2">
        <v>166.31499999999997</v>
      </c>
      <c r="G2">
        <v>0.84490899798575025</v>
      </c>
      <c r="H2">
        <f t="shared" ref="H2:H65" si="1">F2*G2*10</f>
        <v>1405.2104000000004</v>
      </c>
    </row>
    <row r="3" spans="1:10" x14ac:dyDescent="0.15">
      <c r="A3" t="s">
        <v>979</v>
      </c>
      <c r="B3" t="s">
        <v>980</v>
      </c>
      <c r="C3">
        <v>0</v>
      </c>
      <c r="E3">
        <f t="shared" si="0"/>
        <v>0</v>
      </c>
      <c r="F3">
        <v>81.056000000000012</v>
      </c>
      <c r="G3">
        <v>1.0129362416107379</v>
      </c>
      <c r="H3">
        <f t="shared" si="1"/>
        <v>821.04559999999981</v>
      </c>
    </row>
    <row r="4" spans="1:10" x14ac:dyDescent="0.15">
      <c r="A4" t="s">
        <v>979</v>
      </c>
      <c r="B4" t="s">
        <v>981</v>
      </c>
      <c r="C4">
        <v>0</v>
      </c>
      <c r="E4">
        <f t="shared" si="0"/>
        <v>0</v>
      </c>
      <c r="F4">
        <v>129.99799999999999</v>
      </c>
      <c r="G4">
        <v>0.86440929860459403</v>
      </c>
      <c r="H4">
        <f t="shared" si="1"/>
        <v>1123.7148</v>
      </c>
    </row>
    <row r="5" spans="1:10" x14ac:dyDescent="0.15">
      <c r="A5" t="s">
        <v>80</v>
      </c>
      <c r="B5" t="s">
        <v>983</v>
      </c>
      <c r="C5">
        <v>0</v>
      </c>
      <c r="E5">
        <f t="shared" si="0"/>
        <v>0</v>
      </c>
      <c r="F5">
        <v>6.2291880000000006</v>
      </c>
      <c r="G5">
        <v>0.35034207829335062</v>
      </c>
      <c r="H5">
        <f t="shared" si="1"/>
        <v>21.823466700000004</v>
      </c>
    </row>
    <row r="6" spans="1:10" x14ac:dyDescent="0.15">
      <c r="A6" t="s">
        <v>29</v>
      </c>
      <c r="B6" t="s">
        <v>1112</v>
      </c>
      <c r="C6">
        <v>0</v>
      </c>
      <c r="E6">
        <f t="shared" si="0"/>
        <v>0</v>
      </c>
      <c r="F6">
        <v>12.2</v>
      </c>
      <c r="G6">
        <v>0.2</v>
      </c>
      <c r="H6">
        <f t="shared" si="1"/>
        <v>24.4</v>
      </c>
    </row>
    <row r="7" spans="1:10" x14ac:dyDescent="0.15">
      <c r="A7" t="s">
        <v>29</v>
      </c>
      <c r="B7" t="s">
        <v>1014</v>
      </c>
      <c r="C7">
        <v>0</v>
      </c>
      <c r="E7">
        <f t="shared" si="0"/>
        <v>0</v>
      </c>
      <c r="F7">
        <v>169.8</v>
      </c>
      <c r="G7">
        <v>0.8262779740871613</v>
      </c>
      <c r="H7">
        <f t="shared" si="1"/>
        <v>1403.02</v>
      </c>
    </row>
    <row r="8" spans="1:10" x14ac:dyDescent="0.15">
      <c r="A8" t="s">
        <v>29</v>
      </c>
      <c r="B8" t="s">
        <v>985</v>
      </c>
      <c r="C8">
        <v>0</v>
      </c>
      <c r="E8">
        <f t="shared" si="0"/>
        <v>0</v>
      </c>
      <c r="F8">
        <v>29.4</v>
      </c>
      <c r="G8">
        <v>0.85544217687074831</v>
      </c>
      <c r="H8">
        <f t="shared" si="1"/>
        <v>251.5</v>
      </c>
    </row>
    <row r="9" spans="1:10" x14ac:dyDescent="0.15">
      <c r="A9" t="s">
        <v>29</v>
      </c>
      <c r="B9" t="s">
        <v>988</v>
      </c>
      <c r="C9">
        <v>0</v>
      </c>
      <c r="E9">
        <f t="shared" si="0"/>
        <v>0</v>
      </c>
      <c r="F9">
        <v>1.0249999999999999</v>
      </c>
      <c r="G9">
        <v>0.8</v>
      </c>
      <c r="H9">
        <f t="shared" si="1"/>
        <v>8.1999999999999993</v>
      </c>
    </row>
    <row r="10" spans="1:10" x14ac:dyDescent="0.15">
      <c r="A10" t="s">
        <v>29</v>
      </c>
      <c r="B10" t="s">
        <v>1008</v>
      </c>
      <c r="C10">
        <v>0</v>
      </c>
      <c r="E10">
        <f t="shared" si="0"/>
        <v>0</v>
      </c>
      <c r="F10">
        <v>6.6070000000000002</v>
      </c>
      <c r="G10">
        <v>0.81293930679582271</v>
      </c>
      <c r="H10">
        <f t="shared" si="1"/>
        <v>53.710900000000009</v>
      </c>
    </row>
    <row r="11" spans="1:10" x14ac:dyDescent="0.15">
      <c r="A11" t="s">
        <v>29</v>
      </c>
      <c r="B11" t="s">
        <v>1009</v>
      </c>
      <c r="C11">
        <v>0</v>
      </c>
      <c r="E11">
        <f t="shared" si="0"/>
        <v>0</v>
      </c>
      <c r="F11">
        <v>2.8</v>
      </c>
      <c r="G11">
        <v>0.91</v>
      </c>
      <c r="H11">
        <f t="shared" si="1"/>
        <v>25.48</v>
      </c>
    </row>
    <row r="12" spans="1:10" x14ac:dyDescent="0.15">
      <c r="A12" t="s">
        <v>29</v>
      </c>
      <c r="B12" t="s">
        <v>1038</v>
      </c>
      <c r="C12">
        <v>0</v>
      </c>
      <c r="E12">
        <f t="shared" si="0"/>
        <v>0</v>
      </c>
      <c r="F12">
        <v>30</v>
      </c>
      <c r="G12">
        <v>0.64</v>
      </c>
      <c r="H12">
        <f t="shared" si="1"/>
        <v>192</v>
      </c>
    </row>
    <row r="13" spans="1:10" x14ac:dyDescent="0.15">
      <c r="A13" t="s">
        <v>29</v>
      </c>
      <c r="B13" t="s">
        <v>913</v>
      </c>
      <c r="C13">
        <v>3.427</v>
      </c>
      <c r="D13">
        <v>0.72</v>
      </c>
      <c r="E13">
        <f t="shared" si="0"/>
        <v>24.674399999999999</v>
      </c>
      <c r="F13">
        <v>30.835999999999999</v>
      </c>
      <c r="G13">
        <v>0.62124529770398251</v>
      </c>
      <c r="H13">
        <f t="shared" si="1"/>
        <v>191.56720000000004</v>
      </c>
    </row>
    <row r="14" spans="1:10" x14ac:dyDescent="0.15">
      <c r="A14" t="s">
        <v>29</v>
      </c>
      <c r="B14" t="s">
        <v>1111</v>
      </c>
      <c r="C14">
        <v>0</v>
      </c>
      <c r="E14">
        <f t="shared" si="0"/>
        <v>0</v>
      </c>
      <c r="F14">
        <v>59.5</v>
      </c>
      <c r="G14">
        <v>9.1697478991596637E-2</v>
      </c>
      <c r="H14">
        <f t="shared" si="1"/>
        <v>54.559999999999995</v>
      </c>
    </row>
    <row r="15" spans="1:10" x14ac:dyDescent="0.15">
      <c r="A15" t="s">
        <v>29</v>
      </c>
      <c r="B15" t="s">
        <v>1102</v>
      </c>
      <c r="C15">
        <v>0</v>
      </c>
      <c r="E15">
        <f t="shared" si="0"/>
        <v>0</v>
      </c>
      <c r="F15">
        <v>0.1</v>
      </c>
      <c r="G15">
        <v>1.3999999999999997</v>
      </c>
      <c r="H15">
        <f t="shared" si="1"/>
        <v>1.4</v>
      </c>
    </row>
    <row r="16" spans="1:10" x14ac:dyDescent="0.15">
      <c r="A16" t="s">
        <v>29</v>
      </c>
      <c r="B16" t="s">
        <v>1037</v>
      </c>
      <c r="C16">
        <v>0</v>
      </c>
      <c r="E16">
        <f t="shared" si="0"/>
        <v>0</v>
      </c>
      <c r="F16">
        <v>4.6500000000000004</v>
      </c>
      <c r="G16">
        <v>0.98</v>
      </c>
      <c r="H16">
        <f t="shared" si="1"/>
        <v>45.570000000000007</v>
      </c>
    </row>
    <row r="17" spans="1:8" x14ac:dyDescent="0.15">
      <c r="A17" t="s">
        <v>29</v>
      </c>
      <c r="B17" t="s">
        <v>1096</v>
      </c>
      <c r="C17">
        <v>0</v>
      </c>
      <c r="E17">
        <f t="shared" si="0"/>
        <v>0</v>
      </c>
      <c r="F17">
        <v>0.60099999999999998</v>
      </c>
      <c r="G17">
        <v>1.4009983361064893</v>
      </c>
      <c r="H17">
        <f t="shared" si="1"/>
        <v>8.42</v>
      </c>
    </row>
    <row r="18" spans="1:8" x14ac:dyDescent="0.15">
      <c r="A18" t="s">
        <v>29</v>
      </c>
      <c r="B18" t="s">
        <v>901</v>
      </c>
      <c r="C18">
        <v>3.7570000000000001</v>
      </c>
      <c r="D18">
        <v>0.65</v>
      </c>
      <c r="E18">
        <f t="shared" si="0"/>
        <v>24.420500000000001</v>
      </c>
      <c r="F18">
        <v>55.518000000000001</v>
      </c>
      <c r="G18">
        <v>0.71699999999999986</v>
      </c>
      <c r="H18">
        <f t="shared" si="1"/>
        <v>398.06405999999993</v>
      </c>
    </row>
    <row r="19" spans="1:8" x14ac:dyDescent="0.15">
      <c r="A19" t="s">
        <v>29</v>
      </c>
      <c r="B19" t="s">
        <v>1024</v>
      </c>
      <c r="C19">
        <v>0</v>
      </c>
      <c r="E19">
        <f t="shared" si="0"/>
        <v>0</v>
      </c>
      <c r="F19">
        <v>33.299999999999997</v>
      </c>
      <c r="G19">
        <v>0.81</v>
      </c>
      <c r="H19">
        <f t="shared" si="1"/>
        <v>269.73</v>
      </c>
    </row>
    <row r="20" spans="1:8" x14ac:dyDescent="0.15">
      <c r="A20" t="s">
        <v>29</v>
      </c>
      <c r="B20" t="s">
        <v>906</v>
      </c>
      <c r="C20">
        <v>0.55000000000000004</v>
      </c>
      <c r="D20">
        <v>2</v>
      </c>
      <c r="E20">
        <f t="shared" si="0"/>
        <v>11</v>
      </c>
      <c r="F20">
        <v>9.49</v>
      </c>
      <c r="G20">
        <v>1.6661749209694416</v>
      </c>
      <c r="H20">
        <f t="shared" si="1"/>
        <v>158.12</v>
      </c>
    </row>
    <row r="21" spans="1:8" x14ac:dyDescent="0.15">
      <c r="A21" t="s">
        <v>29</v>
      </c>
      <c r="B21" t="s">
        <v>1032</v>
      </c>
      <c r="C21">
        <v>0</v>
      </c>
      <c r="E21">
        <f t="shared" si="0"/>
        <v>0</v>
      </c>
      <c r="F21">
        <v>7.5</v>
      </c>
      <c r="G21">
        <v>0.8</v>
      </c>
      <c r="H21">
        <f t="shared" si="1"/>
        <v>60</v>
      </c>
    </row>
    <row r="22" spans="1:8" x14ac:dyDescent="0.15">
      <c r="A22" t="s">
        <v>29</v>
      </c>
      <c r="B22" t="s">
        <v>1057</v>
      </c>
      <c r="C22">
        <v>0</v>
      </c>
      <c r="E22">
        <f t="shared" si="0"/>
        <v>0</v>
      </c>
      <c r="F22">
        <v>21</v>
      </c>
      <c r="G22">
        <v>0.8536190476190475</v>
      </c>
      <c r="H22">
        <f t="shared" si="1"/>
        <v>179.26</v>
      </c>
    </row>
    <row r="23" spans="1:8" x14ac:dyDescent="0.15">
      <c r="A23" t="s">
        <v>29</v>
      </c>
      <c r="B23" t="s">
        <v>1086</v>
      </c>
      <c r="C23">
        <v>0</v>
      </c>
      <c r="E23">
        <f t="shared" si="0"/>
        <v>0</v>
      </c>
      <c r="F23">
        <v>0.57299999999999995</v>
      </c>
      <c r="G23">
        <v>1.63</v>
      </c>
      <c r="H23">
        <f t="shared" si="1"/>
        <v>9.3398999999999983</v>
      </c>
    </row>
    <row r="24" spans="1:8" x14ac:dyDescent="0.15">
      <c r="A24" t="s">
        <v>29</v>
      </c>
      <c r="B24" t="s">
        <v>1105</v>
      </c>
      <c r="C24">
        <v>0</v>
      </c>
      <c r="E24">
        <f t="shared" si="0"/>
        <v>0</v>
      </c>
      <c r="F24">
        <v>0.47799999999999998</v>
      </c>
      <c r="G24">
        <v>0.9</v>
      </c>
      <c r="H24">
        <f t="shared" si="1"/>
        <v>4.3019999999999996</v>
      </c>
    </row>
    <row r="25" spans="1:8" x14ac:dyDescent="0.15">
      <c r="A25" t="s">
        <v>29</v>
      </c>
      <c r="B25" t="s">
        <v>1107</v>
      </c>
      <c r="C25">
        <v>0</v>
      </c>
      <c r="E25">
        <f t="shared" si="0"/>
        <v>0</v>
      </c>
      <c r="F25">
        <v>0.22500000000000001</v>
      </c>
      <c r="G25">
        <v>0.65</v>
      </c>
      <c r="H25">
        <f t="shared" si="1"/>
        <v>1.4625000000000001</v>
      </c>
    </row>
    <row r="26" spans="1:8" x14ac:dyDescent="0.15">
      <c r="A26" t="s">
        <v>29</v>
      </c>
      <c r="B26" t="s">
        <v>996</v>
      </c>
      <c r="C26">
        <v>0</v>
      </c>
      <c r="E26">
        <f t="shared" si="0"/>
        <v>0</v>
      </c>
      <c r="F26">
        <v>5.7</v>
      </c>
      <c r="G26">
        <v>1</v>
      </c>
      <c r="H26">
        <f t="shared" si="1"/>
        <v>57</v>
      </c>
    </row>
    <row r="27" spans="1:8" x14ac:dyDescent="0.15">
      <c r="A27" t="s">
        <v>29</v>
      </c>
      <c r="B27" t="s">
        <v>1076</v>
      </c>
      <c r="C27">
        <v>0</v>
      </c>
      <c r="E27">
        <f t="shared" si="0"/>
        <v>0</v>
      </c>
      <c r="F27">
        <v>0.37590000000000001</v>
      </c>
      <c r="G27">
        <v>2.3849960095770149</v>
      </c>
      <c r="H27">
        <f t="shared" si="1"/>
        <v>8.9651999999999994</v>
      </c>
    </row>
    <row r="28" spans="1:8" x14ac:dyDescent="0.15">
      <c r="A28" t="s">
        <v>29</v>
      </c>
      <c r="B28" t="s">
        <v>1067</v>
      </c>
      <c r="C28">
        <v>0</v>
      </c>
      <c r="E28">
        <f t="shared" si="0"/>
        <v>0</v>
      </c>
      <c r="F28">
        <v>10.402338</v>
      </c>
      <c r="G28">
        <v>2.5601508622388542</v>
      </c>
      <c r="H28">
        <f t="shared" si="1"/>
        <v>266.31554599999998</v>
      </c>
    </row>
    <row r="29" spans="1:8" x14ac:dyDescent="0.15">
      <c r="A29" t="s">
        <v>29</v>
      </c>
      <c r="B29" t="s">
        <v>911</v>
      </c>
      <c r="C29">
        <v>2.109</v>
      </c>
      <c r="D29">
        <v>1.4264580369843527</v>
      </c>
      <c r="E29">
        <f t="shared" si="0"/>
        <v>30.084</v>
      </c>
      <c r="F29">
        <v>10.0282</v>
      </c>
      <c r="G29">
        <v>0.97378991244689972</v>
      </c>
      <c r="H29">
        <f t="shared" si="1"/>
        <v>97.653599999999997</v>
      </c>
    </row>
    <row r="30" spans="1:8" x14ac:dyDescent="0.15">
      <c r="A30" t="s">
        <v>29</v>
      </c>
      <c r="B30" t="s">
        <v>1090</v>
      </c>
      <c r="C30">
        <v>0</v>
      </c>
      <c r="E30">
        <f t="shared" si="0"/>
        <v>0</v>
      </c>
      <c r="F30">
        <v>5.721787</v>
      </c>
      <c r="G30">
        <v>0.70000000000000007</v>
      </c>
      <c r="H30">
        <f t="shared" si="1"/>
        <v>40.052509000000001</v>
      </c>
    </row>
    <row r="31" spans="1:8" x14ac:dyDescent="0.15">
      <c r="A31" t="s">
        <v>29</v>
      </c>
      <c r="B31" t="s">
        <v>1089</v>
      </c>
      <c r="C31">
        <v>0</v>
      </c>
      <c r="E31">
        <f t="shared" si="0"/>
        <v>0</v>
      </c>
      <c r="F31">
        <v>1.94</v>
      </c>
      <c r="G31">
        <v>1.6726804123711341</v>
      </c>
      <c r="H31">
        <f t="shared" si="1"/>
        <v>32.450000000000003</v>
      </c>
    </row>
    <row r="32" spans="1:8" x14ac:dyDescent="0.15">
      <c r="A32" t="s">
        <v>29</v>
      </c>
      <c r="B32" t="s">
        <v>1085</v>
      </c>
      <c r="C32">
        <v>0</v>
      </c>
      <c r="E32">
        <f t="shared" si="0"/>
        <v>0</v>
      </c>
      <c r="F32">
        <v>4.16</v>
      </c>
      <c r="G32">
        <v>1.8735576923076924</v>
      </c>
      <c r="H32">
        <f t="shared" si="1"/>
        <v>77.94</v>
      </c>
    </row>
    <row r="33" spans="1:8" x14ac:dyDescent="0.15">
      <c r="A33" t="s">
        <v>29</v>
      </c>
      <c r="B33" t="s">
        <v>912</v>
      </c>
      <c r="C33">
        <v>0.74960000000000004</v>
      </c>
      <c r="D33">
        <v>3.9</v>
      </c>
      <c r="E33">
        <f t="shared" si="0"/>
        <v>29.234400000000001</v>
      </c>
      <c r="F33">
        <v>6.8352589999999998</v>
      </c>
      <c r="G33">
        <v>1.899233986598021</v>
      </c>
      <c r="H33">
        <f t="shared" si="1"/>
        <v>129.81756200000001</v>
      </c>
    </row>
    <row r="34" spans="1:8" x14ac:dyDescent="0.15">
      <c r="A34" t="s">
        <v>29</v>
      </c>
      <c r="B34" t="s">
        <v>1103</v>
      </c>
      <c r="C34">
        <v>0</v>
      </c>
      <c r="E34">
        <f t="shared" si="0"/>
        <v>0</v>
      </c>
      <c r="F34">
        <v>14.3</v>
      </c>
      <c r="G34">
        <v>6.6600000000000006E-2</v>
      </c>
      <c r="H34">
        <f t="shared" si="1"/>
        <v>9.5238000000000014</v>
      </c>
    </row>
    <row r="35" spans="1:8" x14ac:dyDescent="0.15">
      <c r="A35" t="s">
        <v>29</v>
      </c>
      <c r="B35" t="s">
        <v>998</v>
      </c>
      <c r="C35">
        <v>0</v>
      </c>
      <c r="E35">
        <f t="shared" si="0"/>
        <v>0</v>
      </c>
      <c r="F35">
        <v>1.3</v>
      </c>
      <c r="G35">
        <v>0.90000000000000013</v>
      </c>
      <c r="H35">
        <f t="shared" si="1"/>
        <v>11.700000000000001</v>
      </c>
    </row>
    <row r="36" spans="1:8" x14ac:dyDescent="0.15">
      <c r="A36" t="s">
        <v>29</v>
      </c>
      <c r="B36" t="s">
        <v>1092</v>
      </c>
      <c r="C36">
        <v>0</v>
      </c>
      <c r="E36">
        <f t="shared" si="0"/>
        <v>0</v>
      </c>
      <c r="F36">
        <v>0.39</v>
      </c>
      <c r="G36">
        <v>3.78</v>
      </c>
      <c r="H36">
        <f t="shared" si="1"/>
        <v>14.741999999999999</v>
      </c>
    </row>
    <row r="37" spans="1:8" x14ac:dyDescent="0.15">
      <c r="A37" t="s">
        <v>29</v>
      </c>
      <c r="B37" t="s">
        <v>1012</v>
      </c>
      <c r="C37">
        <v>0</v>
      </c>
      <c r="E37">
        <f t="shared" si="0"/>
        <v>0</v>
      </c>
      <c r="F37">
        <v>48.457667999999998</v>
      </c>
      <c r="G37">
        <v>0.65392829469218372</v>
      </c>
      <c r="H37">
        <f t="shared" si="1"/>
        <v>316.87840199999999</v>
      </c>
    </row>
    <row r="38" spans="1:8" x14ac:dyDescent="0.15">
      <c r="A38" t="s">
        <v>29</v>
      </c>
      <c r="B38" t="s">
        <v>1015</v>
      </c>
      <c r="C38">
        <v>0</v>
      </c>
      <c r="E38">
        <f t="shared" si="0"/>
        <v>0</v>
      </c>
      <c r="F38">
        <v>7.7690999999999996E-2</v>
      </c>
      <c r="G38">
        <v>0.3</v>
      </c>
      <c r="H38">
        <f t="shared" si="1"/>
        <v>0.233073</v>
      </c>
    </row>
    <row r="39" spans="1:8" x14ac:dyDescent="0.15">
      <c r="A39" t="s">
        <v>29</v>
      </c>
      <c r="B39" t="s">
        <v>1044</v>
      </c>
      <c r="C39">
        <v>0</v>
      </c>
      <c r="E39">
        <f t="shared" si="0"/>
        <v>0</v>
      </c>
      <c r="F39">
        <v>339</v>
      </c>
      <c r="G39">
        <v>0.81</v>
      </c>
      <c r="H39">
        <f t="shared" si="1"/>
        <v>2745.9000000000005</v>
      </c>
    </row>
    <row r="40" spans="1:8" x14ac:dyDescent="0.15">
      <c r="A40" t="s">
        <v>29</v>
      </c>
      <c r="B40" t="s">
        <v>1064</v>
      </c>
      <c r="C40">
        <v>0</v>
      </c>
      <c r="E40">
        <f t="shared" si="0"/>
        <v>0</v>
      </c>
      <c r="F40">
        <v>185.20000000000002</v>
      </c>
      <c r="G40">
        <v>0.68</v>
      </c>
      <c r="H40">
        <f t="shared" si="1"/>
        <v>1259.3600000000001</v>
      </c>
    </row>
    <row r="41" spans="1:8" x14ac:dyDescent="0.15">
      <c r="A41" t="s">
        <v>29</v>
      </c>
      <c r="B41" t="s">
        <v>1063</v>
      </c>
      <c r="C41">
        <v>0</v>
      </c>
      <c r="E41">
        <f t="shared" si="0"/>
        <v>0</v>
      </c>
      <c r="F41">
        <v>31</v>
      </c>
      <c r="G41">
        <v>0.59</v>
      </c>
      <c r="H41">
        <f t="shared" si="1"/>
        <v>182.89999999999998</v>
      </c>
    </row>
    <row r="42" spans="1:8" x14ac:dyDescent="0.15">
      <c r="A42" t="s">
        <v>29</v>
      </c>
      <c r="B42" t="s">
        <v>1058</v>
      </c>
      <c r="C42">
        <v>0</v>
      </c>
      <c r="E42">
        <f t="shared" si="0"/>
        <v>0</v>
      </c>
      <c r="F42">
        <v>4.3099999999999996</v>
      </c>
      <c r="G42">
        <v>1.02</v>
      </c>
      <c r="H42">
        <f t="shared" si="1"/>
        <v>43.961999999999996</v>
      </c>
    </row>
    <row r="43" spans="1:8" x14ac:dyDescent="0.15">
      <c r="A43" t="s">
        <v>29</v>
      </c>
      <c r="B43" t="s">
        <v>1033</v>
      </c>
      <c r="C43">
        <v>0</v>
      </c>
      <c r="E43">
        <f t="shared" si="0"/>
        <v>0</v>
      </c>
      <c r="F43">
        <v>25.9284</v>
      </c>
      <c r="G43">
        <v>0.74304280248684851</v>
      </c>
      <c r="H43">
        <f t="shared" si="1"/>
        <v>192.65911000000003</v>
      </c>
    </row>
    <row r="44" spans="1:8" x14ac:dyDescent="0.15">
      <c r="A44" t="s">
        <v>29</v>
      </c>
      <c r="B44" t="s">
        <v>1117</v>
      </c>
      <c r="C44">
        <v>0</v>
      </c>
      <c r="E44">
        <f t="shared" si="0"/>
        <v>0</v>
      </c>
      <c r="F44">
        <v>32.64</v>
      </c>
      <c r="G44">
        <v>0.41</v>
      </c>
      <c r="H44">
        <f t="shared" si="1"/>
        <v>133.82399999999998</v>
      </c>
    </row>
    <row r="45" spans="1:8" x14ac:dyDescent="0.15">
      <c r="A45" t="s">
        <v>29</v>
      </c>
      <c r="B45" t="s">
        <v>1069</v>
      </c>
      <c r="C45">
        <v>0</v>
      </c>
      <c r="E45">
        <f t="shared" si="0"/>
        <v>0</v>
      </c>
      <c r="F45">
        <v>0.59499999999999997</v>
      </c>
      <c r="G45">
        <v>3.8789915966386554</v>
      </c>
      <c r="H45">
        <f t="shared" si="1"/>
        <v>23.08</v>
      </c>
    </row>
    <row r="46" spans="1:8" x14ac:dyDescent="0.15">
      <c r="A46" t="s">
        <v>29</v>
      </c>
      <c r="B46" t="s">
        <v>1066</v>
      </c>
      <c r="C46">
        <v>0</v>
      </c>
      <c r="E46">
        <f t="shared" si="0"/>
        <v>0</v>
      </c>
      <c r="F46">
        <v>0.22271000000000002</v>
      </c>
      <c r="G46">
        <v>2.9230128867136638</v>
      </c>
      <c r="H46">
        <f t="shared" si="1"/>
        <v>6.5098420000000008</v>
      </c>
    </row>
    <row r="47" spans="1:8" x14ac:dyDescent="0.15">
      <c r="A47" t="s">
        <v>29</v>
      </c>
      <c r="B47" t="s">
        <v>1091</v>
      </c>
      <c r="C47">
        <v>0</v>
      </c>
      <c r="E47">
        <f t="shared" si="0"/>
        <v>0</v>
      </c>
      <c r="F47">
        <v>0.98799999999999999</v>
      </c>
      <c r="G47">
        <v>2.5262246963562753</v>
      </c>
      <c r="H47">
        <f t="shared" si="1"/>
        <v>24.959099999999999</v>
      </c>
    </row>
    <row r="48" spans="1:8" x14ac:dyDescent="0.15">
      <c r="A48" t="s">
        <v>29</v>
      </c>
      <c r="B48" t="s">
        <v>1070</v>
      </c>
      <c r="C48">
        <v>0</v>
      </c>
      <c r="E48">
        <f t="shared" si="0"/>
        <v>0</v>
      </c>
      <c r="F48">
        <v>0.75</v>
      </c>
      <c r="G48">
        <v>4.1920000000000002</v>
      </c>
      <c r="H48">
        <f t="shared" si="1"/>
        <v>31.44</v>
      </c>
    </row>
    <row r="49" spans="1:8" x14ac:dyDescent="0.15">
      <c r="A49" t="s">
        <v>29</v>
      </c>
      <c r="B49" t="s">
        <v>909</v>
      </c>
      <c r="C49">
        <v>0.20799999999999999</v>
      </c>
      <c r="D49">
        <v>2.0251923076923082</v>
      </c>
      <c r="E49">
        <f t="shared" si="0"/>
        <v>4.2124000000000006</v>
      </c>
      <c r="F49">
        <v>5.6530000000000005</v>
      </c>
      <c r="G49">
        <v>1.6836157792322657</v>
      </c>
      <c r="H49">
        <f t="shared" si="1"/>
        <v>95.174799999999991</v>
      </c>
    </row>
    <row r="50" spans="1:8" x14ac:dyDescent="0.15">
      <c r="A50" t="s">
        <v>29</v>
      </c>
      <c r="B50" t="s">
        <v>908</v>
      </c>
      <c r="C50">
        <v>1.1360000000000001</v>
      </c>
      <c r="D50">
        <v>2.5024647887323943</v>
      </c>
      <c r="E50">
        <f t="shared" si="0"/>
        <v>28.428000000000004</v>
      </c>
      <c r="F50">
        <v>3.7477857142857136</v>
      </c>
      <c r="G50">
        <v>3.5966246736168026</v>
      </c>
      <c r="H50">
        <f t="shared" si="1"/>
        <v>134.79378571428572</v>
      </c>
    </row>
    <row r="51" spans="1:8" x14ac:dyDescent="0.15">
      <c r="A51" t="s">
        <v>29</v>
      </c>
      <c r="B51" t="s">
        <v>1087</v>
      </c>
      <c r="C51">
        <v>0</v>
      </c>
      <c r="E51">
        <f t="shared" si="0"/>
        <v>0</v>
      </c>
      <c r="F51">
        <v>7.3849999999999998</v>
      </c>
      <c r="G51">
        <v>1.6746784021665537</v>
      </c>
      <c r="H51">
        <f t="shared" si="1"/>
        <v>123.675</v>
      </c>
    </row>
    <row r="52" spans="1:8" x14ac:dyDescent="0.15">
      <c r="A52" t="s">
        <v>29</v>
      </c>
      <c r="B52" t="s">
        <v>1083</v>
      </c>
      <c r="C52">
        <v>0</v>
      </c>
      <c r="E52">
        <f t="shared" si="0"/>
        <v>0</v>
      </c>
      <c r="F52">
        <v>0.34650000000000003</v>
      </c>
      <c r="G52">
        <v>2.3719567099567098</v>
      </c>
      <c r="H52">
        <f t="shared" si="1"/>
        <v>8.2188300000000005</v>
      </c>
    </row>
    <row r="53" spans="1:8" x14ac:dyDescent="0.15">
      <c r="A53" t="s">
        <v>29</v>
      </c>
      <c r="B53" t="s">
        <v>1106</v>
      </c>
      <c r="C53">
        <v>0</v>
      </c>
      <c r="E53">
        <f t="shared" si="0"/>
        <v>0</v>
      </c>
      <c r="F53">
        <v>0.156</v>
      </c>
      <c r="G53">
        <v>2.3199999999999998</v>
      </c>
      <c r="H53">
        <f t="shared" si="1"/>
        <v>3.6191999999999998</v>
      </c>
    </row>
    <row r="54" spans="1:8" x14ac:dyDescent="0.15">
      <c r="A54" t="s">
        <v>29</v>
      </c>
      <c r="B54" t="s">
        <v>990</v>
      </c>
      <c r="C54">
        <v>0</v>
      </c>
      <c r="E54">
        <f t="shared" si="0"/>
        <v>0</v>
      </c>
      <c r="F54">
        <v>39.9</v>
      </c>
      <c r="G54">
        <v>0.89759398496240628</v>
      </c>
      <c r="H54">
        <f t="shared" si="1"/>
        <v>358.1400000000001</v>
      </c>
    </row>
    <row r="55" spans="1:8" x14ac:dyDescent="0.15">
      <c r="A55" t="s">
        <v>29</v>
      </c>
      <c r="B55" t="s">
        <v>989</v>
      </c>
      <c r="C55">
        <v>0</v>
      </c>
      <c r="E55">
        <f t="shared" si="0"/>
        <v>0</v>
      </c>
      <c r="F55">
        <v>14.2</v>
      </c>
      <c r="G55">
        <v>0.84</v>
      </c>
      <c r="H55">
        <f t="shared" si="1"/>
        <v>119.27999999999999</v>
      </c>
    </row>
    <row r="56" spans="1:8" x14ac:dyDescent="0.15">
      <c r="A56" t="s">
        <v>29</v>
      </c>
      <c r="B56" t="s">
        <v>1004</v>
      </c>
      <c r="C56">
        <v>0</v>
      </c>
      <c r="E56">
        <f t="shared" si="0"/>
        <v>0</v>
      </c>
      <c r="F56">
        <v>75</v>
      </c>
      <c r="G56">
        <v>0.73</v>
      </c>
      <c r="H56">
        <f t="shared" si="1"/>
        <v>547.5</v>
      </c>
    </row>
    <row r="57" spans="1:8" x14ac:dyDescent="0.15">
      <c r="A57" t="s">
        <v>29</v>
      </c>
      <c r="B57" t="s">
        <v>1016</v>
      </c>
      <c r="C57">
        <v>0</v>
      </c>
      <c r="E57">
        <f t="shared" si="0"/>
        <v>0</v>
      </c>
      <c r="F57">
        <v>41.800000000000004</v>
      </c>
      <c r="G57">
        <v>0.69181818181818178</v>
      </c>
      <c r="H57">
        <f t="shared" si="1"/>
        <v>289.18</v>
      </c>
    </row>
    <row r="58" spans="1:8" x14ac:dyDescent="0.15">
      <c r="A58" t="s">
        <v>29</v>
      </c>
      <c r="B58" t="s">
        <v>1043</v>
      </c>
      <c r="C58">
        <v>0</v>
      </c>
      <c r="E58">
        <f t="shared" si="0"/>
        <v>0</v>
      </c>
      <c r="F58">
        <v>47.3</v>
      </c>
      <c r="G58">
        <v>0.66</v>
      </c>
      <c r="H58">
        <f t="shared" si="1"/>
        <v>312.18</v>
      </c>
    </row>
    <row r="59" spans="1:8" x14ac:dyDescent="0.15">
      <c r="A59" t="s">
        <v>29</v>
      </c>
      <c r="B59" t="s">
        <v>1039</v>
      </c>
      <c r="C59">
        <v>0</v>
      </c>
      <c r="E59">
        <f t="shared" si="0"/>
        <v>0</v>
      </c>
      <c r="F59">
        <v>53.6</v>
      </c>
      <c r="G59">
        <v>0.59999999999999987</v>
      </c>
      <c r="H59">
        <f t="shared" si="1"/>
        <v>321.59999999999997</v>
      </c>
    </row>
    <row r="60" spans="1:8" x14ac:dyDescent="0.15">
      <c r="A60" t="s">
        <v>29</v>
      </c>
      <c r="B60" t="s">
        <v>1017</v>
      </c>
      <c r="C60">
        <v>0</v>
      </c>
      <c r="E60">
        <f t="shared" si="0"/>
        <v>0</v>
      </c>
      <c r="F60">
        <v>83</v>
      </c>
      <c r="G60">
        <v>0.75433734939759034</v>
      </c>
      <c r="H60">
        <f t="shared" si="1"/>
        <v>626.1</v>
      </c>
    </row>
    <row r="61" spans="1:8" x14ac:dyDescent="0.15">
      <c r="A61" t="s">
        <v>29</v>
      </c>
      <c r="B61" t="s">
        <v>1018</v>
      </c>
      <c r="C61">
        <v>0</v>
      </c>
      <c r="E61">
        <f t="shared" si="0"/>
        <v>0</v>
      </c>
      <c r="F61">
        <v>87</v>
      </c>
      <c r="G61">
        <v>0.65216091954022992</v>
      </c>
      <c r="H61">
        <f t="shared" si="1"/>
        <v>567.38000000000011</v>
      </c>
    </row>
    <row r="62" spans="1:8" x14ac:dyDescent="0.15">
      <c r="A62" t="s">
        <v>29</v>
      </c>
      <c r="B62" t="s">
        <v>1019</v>
      </c>
      <c r="C62">
        <v>0</v>
      </c>
      <c r="E62">
        <f t="shared" si="0"/>
        <v>0</v>
      </c>
      <c r="F62">
        <v>11.2</v>
      </c>
      <c r="G62">
        <v>0.76999999999999991</v>
      </c>
      <c r="H62">
        <f t="shared" si="1"/>
        <v>86.239999999999981</v>
      </c>
    </row>
    <row r="63" spans="1:8" x14ac:dyDescent="0.15">
      <c r="A63" t="s">
        <v>29</v>
      </c>
      <c r="B63" t="s">
        <v>1042</v>
      </c>
      <c r="C63">
        <v>0</v>
      </c>
      <c r="E63">
        <f t="shared" si="0"/>
        <v>0</v>
      </c>
      <c r="F63">
        <v>20.100000000000001</v>
      </c>
      <c r="G63">
        <v>0.75</v>
      </c>
      <c r="H63">
        <f t="shared" si="1"/>
        <v>150.75</v>
      </c>
    </row>
    <row r="64" spans="1:8" x14ac:dyDescent="0.15">
      <c r="A64" t="s">
        <v>29</v>
      </c>
      <c r="B64" t="s">
        <v>1041</v>
      </c>
      <c r="C64">
        <v>0</v>
      </c>
      <c r="E64">
        <f t="shared" si="0"/>
        <v>0</v>
      </c>
      <c r="F64">
        <v>63.3</v>
      </c>
      <c r="G64">
        <v>0.6484202211690363</v>
      </c>
      <c r="H64">
        <f t="shared" si="1"/>
        <v>410.44999999999993</v>
      </c>
    </row>
    <row r="65" spans="1:8" x14ac:dyDescent="0.15">
      <c r="A65" t="s">
        <v>29</v>
      </c>
      <c r="B65" t="s">
        <v>1040</v>
      </c>
      <c r="C65">
        <v>0</v>
      </c>
      <c r="E65">
        <f t="shared" si="0"/>
        <v>0</v>
      </c>
      <c r="F65">
        <v>96.5</v>
      </c>
      <c r="G65">
        <v>0.65</v>
      </c>
      <c r="H65">
        <f t="shared" si="1"/>
        <v>627.25</v>
      </c>
    </row>
    <row r="66" spans="1:8" x14ac:dyDescent="0.15">
      <c r="A66" t="s">
        <v>29</v>
      </c>
      <c r="B66" t="s">
        <v>1049</v>
      </c>
      <c r="C66">
        <v>0</v>
      </c>
      <c r="E66">
        <f t="shared" ref="E66:E129" si="2">C66*D66*10</f>
        <v>0</v>
      </c>
      <c r="F66">
        <v>49.4</v>
      </c>
      <c r="G66">
        <v>0.7</v>
      </c>
      <c r="H66">
        <f t="shared" ref="H66:H129" si="3">F66*G66*10</f>
        <v>345.79999999999995</v>
      </c>
    </row>
    <row r="67" spans="1:8" x14ac:dyDescent="0.15">
      <c r="A67" t="s">
        <v>29</v>
      </c>
      <c r="B67" t="s">
        <v>1048</v>
      </c>
      <c r="C67">
        <v>0</v>
      </c>
      <c r="E67">
        <f t="shared" si="2"/>
        <v>0</v>
      </c>
      <c r="F67">
        <v>26.8</v>
      </c>
      <c r="G67">
        <v>0.77000000000000013</v>
      </c>
      <c r="H67">
        <f t="shared" si="3"/>
        <v>206.36</v>
      </c>
    </row>
    <row r="68" spans="1:8" x14ac:dyDescent="0.15">
      <c r="A68" t="s">
        <v>29</v>
      </c>
      <c r="B68" t="s">
        <v>1047</v>
      </c>
      <c r="C68">
        <v>0</v>
      </c>
      <c r="E68">
        <f t="shared" si="2"/>
        <v>0</v>
      </c>
      <c r="F68">
        <v>63.8</v>
      </c>
      <c r="G68">
        <v>0.74626959247648905</v>
      </c>
      <c r="H68">
        <f t="shared" si="3"/>
        <v>476.12</v>
      </c>
    </row>
    <row r="69" spans="1:8" x14ac:dyDescent="0.15">
      <c r="A69" t="s">
        <v>29</v>
      </c>
      <c r="B69" t="s">
        <v>1011</v>
      </c>
      <c r="C69">
        <v>0</v>
      </c>
      <c r="E69">
        <f t="shared" si="2"/>
        <v>0</v>
      </c>
      <c r="F69">
        <v>0.5</v>
      </c>
      <c r="G69">
        <v>0.75</v>
      </c>
      <c r="H69">
        <f t="shared" si="3"/>
        <v>3.75</v>
      </c>
    </row>
    <row r="70" spans="1:8" x14ac:dyDescent="0.15">
      <c r="A70" t="s">
        <v>29</v>
      </c>
      <c r="B70" t="s">
        <v>1007</v>
      </c>
      <c r="C70">
        <v>0</v>
      </c>
      <c r="E70">
        <f t="shared" si="2"/>
        <v>0</v>
      </c>
      <c r="F70">
        <v>14.600000000000001</v>
      </c>
      <c r="G70">
        <v>0.75424657534246575</v>
      </c>
      <c r="H70">
        <f t="shared" si="3"/>
        <v>110.12</v>
      </c>
    </row>
    <row r="71" spans="1:8" x14ac:dyDescent="0.15">
      <c r="A71" t="s">
        <v>29</v>
      </c>
      <c r="B71" t="s">
        <v>1056</v>
      </c>
      <c r="C71">
        <v>0</v>
      </c>
      <c r="E71">
        <f t="shared" si="2"/>
        <v>0</v>
      </c>
      <c r="F71">
        <v>2.8</v>
      </c>
      <c r="G71">
        <v>1.1100000000000001</v>
      </c>
      <c r="H71">
        <f t="shared" si="3"/>
        <v>31.080000000000002</v>
      </c>
    </row>
    <row r="72" spans="1:8" x14ac:dyDescent="0.15">
      <c r="A72" t="s">
        <v>29</v>
      </c>
      <c r="B72" t="s">
        <v>1010</v>
      </c>
      <c r="C72">
        <v>0</v>
      </c>
      <c r="E72">
        <f t="shared" si="2"/>
        <v>0</v>
      </c>
      <c r="F72">
        <v>19.2</v>
      </c>
      <c r="G72">
        <v>0.63</v>
      </c>
      <c r="H72">
        <f t="shared" si="3"/>
        <v>120.96000000000001</v>
      </c>
    </row>
    <row r="73" spans="1:8" x14ac:dyDescent="0.15">
      <c r="A73" t="s">
        <v>29</v>
      </c>
      <c r="B73" t="s">
        <v>1073</v>
      </c>
      <c r="C73">
        <v>0</v>
      </c>
      <c r="E73">
        <f t="shared" si="2"/>
        <v>0</v>
      </c>
      <c r="F73">
        <v>3.5</v>
      </c>
      <c r="G73">
        <v>1.4894285714285715</v>
      </c>
      <c r="H73">
        <f t="shared" si="3"/>
        <v>52.13</v>
      </c>
    </row>
    <row r="74" spans="1:8" x14ac:dyDescent="0.15">
      <c r="A74" t="s">
        <v>29</v>
      </c>
      <c r="B74" t="s">
        <v>991</v>
      </c>
      <c r="C74">
        <v>0</v>
      </c>
      <c r="E74">
        <f t="shared" si="2"/>
        <v>0</v>
      </c>
      <c r="F74">
        <v>1</v>
      </c>
      <c r="G74">
        <v>1</v>
      </c>
      <c r="H74">
        <f t="shared" si="3"/>
        <v>10</v>
      </c>
    </row>
    <row r="75" spans="1:8" x14ac:dyDescent="0.15">
      <c r="A75" t="s">
        <v>29</v>
      </c>
      <c r="B75" t="s">
        <v>1001</v>
      </c>
      <c r="C75">
        <v>0</v>
      </c>
      <c r="E75">
        <f t="shared" si="2"/>
        <v>0</v>
      </c>
      <c r="F75">
        <v>5.2</v>
      </c>
      <c r="G75">
        <v>0.8</v>
      </c>
      <c r="H75">
        <f t="shared" si="3"/>
        <v>41.6</v>
      </c>
    </row>
    <row r="76" spans="1:8" x14ac:dyDescent="0.15">
      <c r="A76" t="s">
        <v>29</v>
      </c>
      <c r="B76" t="s">
        <v>1035</v>
      </c>
      <c r="C76">
        <v>0</v>
      </c>
      <c r="E76">
        <f t="shared" si="2"/>
        <v>0</v>
      </c>
      <c r="F76">
        <v>212</v>
      </c>
      <c r="G76">
        <v>0.63358490566037728</v>
      </c>
      <c r="H76">
        <f t="shared" si="3"/>
        <v>1343.1999999999998</v>
      </c>
    </row>
    <row r="77" spans="1:8" x14ac:dyDescent="0.15">
      <c r="A77" t="s">
        <v>29</v>
      </c>
      <c r="B77" t="s">
        <v>904</v>
      </c>
      <c r="C77">
        <v>11.2</v>
      </c>
      <c r="D77">
        <v>1.2135714285714287</v>
      </c>
      <c r="E77">
        <f t="shared" si="2"/>
        <v>135.92000000000002</v>
      </c>
      <c r="F77">
        <v>211.4</v>
      </c>
      <c r="G77">
        <v>0.76420056764427635</v>
      </c>
      <c r="H77">
        <f t="shared" si="3"/>
        <v>1615.5200000000002</v>
      </c>
    </row>
    <row r="78" spans="1:8" x14ac:dyDescent="0.15">
      <c r="A78" t="s">
        <v>29</v>
      </c>
      <c r="B78" t="s">
        <v>1118</v>
      </c>
      <c r="C78">
        <v>0</v>
      </c>
      <c r="E78">
        <f t="shared" si="2"/>
        <v>0</v>
      </c>
      <c r="F78">
        <v>29.61</v>
      </c>
      <c r="G78">
        <v>0.45707531239446131</v>
      </c>
      <c r="H78">
        <f t="shared" si="3"/>
        <v>135.33999999999997</v>
      </c>
    </row>
    <row r="79" spans="1:8" x14ac:dyDescent="0.15">
      <c r="A79" t="s">
        <v>29</v>
      </c>
      <c r="B79" t="s">
        <v>1021</v>
      </c>
      <c r="C79">
        <v>0</v>
      </c>
      <c r="E79">
        <f t="shared" si="2"/>
        <v>0</v>
      </c>
      <c r="F79">
        <v>1.0100076</v>
      </c>
      <c r="G79">
        <v>0.51</v>
      </c>
      <c r="H79">
        <f t="shared" si="3"/>
        <v>5.1510387599999996</v>
      </c>
    </row>
    <row r="80" spans="1:8" x14ac:dyDescent="0.15">
      <c r="A80" t="s">
        <v>29</v>
      </c>
      <c r="B80" t="s">
        <v>1003</v>
      </c>
      <c r="C80">
        <v>0</v>
      </c>
      <c r="E80">
        <f t="shared" si="2"/>
        <v>0</v>
      </c>
      <c r="F80">
        <v>70.900000000000006</v>
      </c>
      <c r="G80">
        <v>0.91629901269393521</v>
      </c>
      <c r="H80">
        <f t="shared" si="3"/>
        <v>649.65600000000006</v>
      </c>
    </row>
    <row r="81" spans="1:8" x14ac:dyDescent="0.15">
      <c r="A81" t="s">
        <v>29</v>
      </c>
      <c r="B81" t="s">
        <v>1036</v>
      </c>
      <c r="C81">
        <v>0</v>
      </c>
      <c r="E81">
        <f t="shared" si="2"/>
        <v>0</v>
      </c>
      <c r="F81">
        <v>305</v>
      </c>
      <c r="G81">
        <v>0.688983606557377</v>
      </c>
      <c r="H81">
        <f t="shared" si="3"/>
        <v>2101.3999999999996</v>
      </c>
    </row>
    <row r="82" spans="1:8" x14ac:dyDescent="0.15">
      <c r="A82" t="s">
        <v>29</v>
      </c>
      <c r="B82" t="s">
        <v>1097</v>
      </c>
      <c r="C82">
        <v>0</v>
      </c>
      <c r="E82">
        <f t="shared" si="2"/>
        <v>0</v>
      </c>
      <c r="F82">
        <v>9.4E-2</v>
      </c>
      <c r="G82">
        <v>0.8</v>
      </c>
      <c r="H82">
        <f t="shared" si="3"/>
        <v>0.752</v>
      </c>
    </row>
    <row r="83" spans="1:8" x14ac:dyDescent="0.15">
      <c r="A83" t="s">
        <v>29</v>
      </c>
      <c r="B83" t="s">
        <v>1081</v>
      </c>
      <c r="C83">
        <v>0</v>
      </c>
      <c r="E83">
        <f t="shared" si="2"/>
        <v>0</v>
      </c>
      <c r="F83">
        <v>0.22700000000000001</v>
      </c>
      <c r="G83">
        <v>1.7</v>
      </c>
      <c r="H83">
        <f t="shared" si="3"/>
        <v>3.859</v>
      </c>
    </row>
    <row r="84" spans="1:8" x14ac:dyDescent="0.15">
      <c r="A84" t="s">
        <v>29</v>
      </c>
      <c r="B84" t="s">
        <v>1002</v>
      </c>
      <c r="C84">
        <v>0</v>
      </c>
      <c r="E84">
        <f t="shared" si="2"/>
        <v>0</v>
      </c>
      <c r="F84">
        <v>0.83000000000000007</v>
      </c>
      <c r="G84">
        <v>1.1333734939759037</v>
      </c>
      <c r="H84">
        <f t="shared" si="3"/>
        <v>9.4070000000000018</v>
      </c>
    </row>
    <row r="85" spans="1:8" x14ac:dyDescent="0.15">
      <c r="A85" t="s">
        <v>29</v>
      </c>
      <c r="B85" t="s">
        <v>1093</v>
      </c>
      <c r="C85">
        <v>0</v>
      </c>
      <c r="E85">
        <f t="shared" si="2"/>
        <v>0</v>
      </c>
      <c r="F85">
        <v>2.2302</v>
      </c>
      <c r="G85">
        <v>0.52</v>
      </c>
      <c r="H85">
        <f t="shared" si="3"/>
        <v>11.59704</v>
      </c>
    </row>
    <row r="86" spans="1:8" x14ac:dyDescent="0.15">
      <c r="A86" t="s">
        <v>29</v>
      </c>
      <c r="B86" t="s">
        <v>986</v>
      </c>
      <c r="C86">
        <v>0</v>
      </c>
      <c r="E86">
        <f t="shared" si="2"/>
        <v>0</v>
      </c>
      <c r="F86">
        <v>5.3</v>
      </c>
      <c r="G86">
        <v>0.12509433962264152</v>
      </c>
      <c r="H86">
        <f t="shared" si="3"/>
        <v>6.6300000000000008</v>
      </c>
    </row>
    <row r="87" spans="1:8" x14ac:dyDescent="0.15">
      <c r="A87" t="s">
        <v>29</v>
      </c>
      <c r="B87" t="s">
        <v>1068</v>
      </c>
      <c r="C87">
        <v>0</v>
      </c>
      <c r="E87">
        <f t="shared" si="2"/>
        <v>0</v>
      </c>
      <c r="F87">
        <v>52.935000000000002</v>
      </c>
      <c r="G87">
        <v>0.62855766506092381</v>
      </c>
      <c r="H87">
        <f t="shared" si="3"/>
        <v>332.72699999999998</v>
      </c>
    </row>
    <row r="88" spans="1:8" x14ac:dyDescent="0.15">
      <c r="A88" t="s">
        <v>29</v>
      </c>
      <c r="B88" t="s">
        <v>1084</v>
      </c>
      <c r="C88">
        <v>0</v>
      </c>
      <c r="E88">
        <f t="shared" si="2"/>
        <v>0</v>
      </c>
      <c r="F88">
        <v>8.5999999999999993E-2</v>
      </c>
      <c r="G88">
        <v>2</v>
      </c>
      <c r="H88">
        <f t="shared" si="3"/>
        <v>1.7199999999999998</v>
      </c>
    </row>
    <row r="89" spans="1:8" x14ac:dyDescent="0.15">
      <c r="A89" t="s">
        <v>29</v>
      </c>
      <c r="B89" t="s">
        <v>905</v>
      </c>
      <c r="C89">
        <v>22.330000000000002</v>
      </c>
      <c r="D89">
        <v>0.54218540080609035</v>
      </c>
      <c r="E89">
        <f t="shared" si="2"/>
        <v>121.06999999999998</v>
      </c>
      <c r="F89">
        <v>242</v>
      </c>
      <c r="G89">
        <v>0.53553719008264455</v>
      </c>
      <c r="H89">
        <f t="shared" si="3"/>
        <v>1296</v>
      </c>
    </row>
    <row r="90" spans="1:8" x14ac:dyDescent="0.15">
      <c r="A90" t="s">
        <v>29</v>
      </c>
      <c r="B90" t="s">
        <v>1104</v>
      </c>
      <c r="C90">
        <v>0</v>
      </c>
      <c r="E90">
        <f t="shared" si="2"/>
        <v>0</v>
      </c>
      <c r="F90">
        <v>5.1530000000000005</v>
      </c>
      <c r="G90">
        <v>0.47723656122646996</v>
      </c>
      <c r="H90">
        <f t="shared" si="3"/>
        <v>24.591999999999999</v>
      </c>
    </row>
    <row r="91" spans="1:8" x14ac:dyDescent="0.15">
      <c r="A91" t="s">
        <v>29</v>
      </c>
      <c r="B91" t="s">
        <v>1025</v>
      </c>
      <c r="C91">
        <v>0</v>
      </c>
      <c r="E91">
        <f t="shared" si="2"/>
        <v>0</v>
      </c>
      <c r="F91">
        <v>31.94</v>
      </c>
      <c r="G91">
        <v>0.55677520350657483</v>
      </c>
      <c r="H91">
        <f t="shared" si="3"/>
        <v>177.834</v>
      </c>
    </row>
    <row r="92" spans="1:8" x14ac:dyDescent="0.15">
      <c r="A92" t="s">
        <v>29</v>
      </c>
      <c r="B92" t="s">
        <v>1109</v>
      </c>
      <c r="C92">
        <v>0</v>
      </c>
      <c r="E92">
        <f t="shared" si="2"/>
        <v>0</v>
      </c>
      <c r="F92">
        <v>29</v>
      </c>
      <c r="G92">
        <v>0.53913793103448271</v>
      </c>
      <c r="H92">
        <f t="shared" si="3"/>
        <v>156.34999999999997</v>
      </c>
    </row>
    <row r="93" spans="1:8" x14ac:dyDescent="0.15">
      <c r="A93" t="s">
        <v>29</v>
      </c>
      <c r="B93" t="s">
        <v>1116</v>
      </c>
      <c r="C93">
        <v>0</v>
      </c>
      <c r="E93">
        <f t="shared" si="2"/>
        <v>0</v>
      </c>
      <c r="F93">
        <v>101.98399999999999</v>
      </c>
      <c r="G93">
        <v>0.21</v>
      </c>
      <c r="H93">
        <f t="shared" si="3"/>
        <v>214.16639999999998</v>
      </c>
    </row>
    <row r="94" spans="1:8" x14ac:dyDescent="0.15">
      <c r="A94" t="s">
        <v>29</v>
      </c>
      <c r="B94" t="s">
        <v>1119</v>
      </c>
      <c r="C94">
        <v>0</v>
      </c>
      <c r="E94">
        <f t="shared" si="2"/>
        <v>0</v>
      </c>
      <c r="F94">
        <v>34</v>
      </c>
      <c r="G94">
        <v>4.7855882352941179E-2</v>
      </c>
      <c r="H94">
        <f t="shared" si="3"/>
        <v>16.271000000000001</v>
      </c>
    </row>
    <row r="95" spans="1:8" x14ac:dyDescent="0.15">
      <c r="A95" t="s">
        <v>29</v>
      </c>
      <c r="B95" t="s">
        <v>1080</v>
      </c>
      <c r="C95">
        <v>0</v>
      </c>
      <c r="E95">
        <f t="shared" si="2"/>
        <v>0</v>
      </c>
      <c r="F95">
        <v>0.24</v>
      </c>
      <c r="G95">
        <v>2.36</v>
      </c>
      <c r="H95">
        <f t="shared" si="3"/>
        <v>5.6639999999999988</v>
      </c>
    </row>
    <row r="96" spans="1:8" x14ac:dyDescent="0.15">
      <c r="A96" t="s">
        <v>29</v>
      </c>
      <c r="B96" t="s">
        <v>1031</v>
      </c>
      <c r="C96">
        <v>0</v>
      </c>
      <c r="E96">
        <f t="shared" si="2"/>
        <v>0</v>
      </c>
      <c r="F96">
        <v>1</v>
      </c>
      <c r="G96">
        <v>1</v>
      </c>
      <c r="H96">
        <f t="shared" si="3"/>
        <v>10</v>
      </c>
    </row>
    <row r="97" spans="1:12" x14ac:dyDescent="0.15">
      <c r="A97" t="s">
        <v>29</v>
      </c>
      <c r="B97" t="s">
        <v>1101</v>
      </c>
      <c r="C97">
        <v>0</v>
      </c>
      <c r="E97">
        <f t="shared" si="2"/>
        <v>0</v>
      </c>
      <c r="F97">
        <v>23.6</v>
      </c>
      <c r="G97">
        <v>8.7796610169491529E-2</v>
      </c>
      <c r="H97">
        <f t="shared" si="3"/>
        <v>20.72</v>
      </c>
    </row>
    <row r="98" spans="1:12" x14ac:dyDescent="0.15">
      <c r="A98" t="s">
        <v>29</v>
      </c>
      <c r="B98" t="s">
        <v>895</v>
      </c>
      <c r="C98">
        <v>101.6</v>
      </c>
      <c r="D98">
        <v>1.05</v>
      </c>
      <c r="E98">
        <f t="shared" si="2"/>
        <v>1066.8</v>
      </c>
      <c r="F98">
        <v>230.9</v>
      </c>
      <c r="G98">
        <v>0.99536162841056752</v>
      </c>
      <c r="H98">
        <f t="shared" si="3"/>
        <v>2298.2900000000004</v>
      </c>
    </row>
    <row r="99" spans="1:12" x14ac:dyDescent="0.15">
      <c r="A99" t="s">
        <v>29</v>
      </c>
      <c r="B99" t="s">
        <v>1075</v>
      </c>
      <c r="C99">
        <v>0</v>
      </c>
      <c r="E99">
        <f t="shared" si="2"/>
        <v>0</v>
      </c>
      <c r="F99">
        <v>0.59130000000000005</v>
      </c>
      <c r="G99">
        <v>2.2000000000000002</v>
      </c>
      <c r="H99">
        <f t="shared" si="3"/>
        <v>13.008600000000001</v>
      </c>
      <c r="L99" s="10"/>
    </row>
    <row r="100" spans="1:12" x14ac:dyDescent="0.15">
      <c r="A100" t="s">
        <v>29</v>
      </c>
      <c r="B100" t="s">
        <v>1074</v>
      </c>
      <c r="C100">
        <v>0</v>
      </c>
      <c r="E100">
        <f t="shared" si="2"/>
        <v>0</v>
      </c>
      <c r="F100">
        <v>6.2333189999999998</v>
      </c>
      <c r="G100">
        <v>1.3884567916386119</v>
      </c>
      <c r="H100">
        <f t="shared" si="3"/>
        <v>86.546941000000004</v>
      </c>
    </row>
    <row r="101" spans="1:12" x14ac:dyDescent="0.15">
      <c r="A101" t="s">
        <v>29</v>
      </c>
      <c r="B101" t="s">
        <v>1045</v>
      </c>
      <c r="C101">
        <v>0</v>
      </c>
      <c r="E101">
        <f t="shared" si="2"/>
        <v>0</v>
      </c>
      <c r="F101">
        <v>53.6</v>
      </c>
      <c r="G101">
        <v>0.66</v>
      </c>
      <c r="H101">
        <f t="shared" si="3"/>
        <v>353.76000000000005</v>
      </c>
    </row>
    <row r="102" spans="1:12" x14ac:dyDescent="0.15">
      <c r="A102" t="s">
        <v>29</v>
      </c>
      <c r="B102" t="s">
        <v>1046</v>
      </c>
      <c r="C102">
        <v>0</v>
      </c>
      <c r="E102">
        <f t="shared" si="2"/>
        <v>0</v>
      </c>
      <c r="F102">
        <v>114.3</v>
      </c>
      <c r="G102">
        <v>0.56000000000000005</v>
      </c>
      <c r="H102">
        <f t="shared" si="3"/>
        <v>640.08000000000015</v>
      </c>
    </row>
    <row r="103" spans="1:12" x14ac:dyDescent="0.15">
      <c r="A103" t="s">
        <v>29</v>
      </c>
      <c r="B103" t="s">
        <v>1026</v>
      </c>
      <c r="C103">
        <v>0</v>
      </c>
      <c r="E103">
        <f t="shared" si="2"/>
        <v>0</v>
      </c>
      <c r="F103">
        <v>49</v>
      </c>
      <c r="G103">
        <v>0.56102040816326537</v>
      </c>
      <c r="H103">
        <f t="shared" si="3"/>
        <v>274.90000000000003</v>
      </c>
    </row>
    <row r="104" spans="1:12" x14ac:dyDescent="0.15">
      <c r="A104" t="s">
        <v>29</v>
      </c>
      <c r="B104" t="s">
        <v>898</v>
      </c>
      <c r="C104">
        <v>32.200000000000003</v>
      </c>
      <c r="D104">
        <v>0.87</v>
      </c>
      <c r="E104">
        <f t="shared" si="2"/>
        <v>280.14000000000004</v>
      </c>
      <c r="F104">
        <v>36.5</v>
      </c>
      <c r="G104">
        <v>1.0084383561643835</v>
      </c>
      <c r="H104">
        <f t="shared" si="3"/>
        <v>368.08</v>
      </c>
    </row>
    <row r="105" spans="1:12" x14ac:dyDescent="0.15">
      <c r="A105" t="s">
        <v>29</v>
      </c>
      <c r="B105" t="s">
        <v>896</v>
      </c>
      <c r="C105">
        <v>4.7</v>
      </c>
      <c r="D105">
        <v>0.91</v>
      </c>
      <c r="E105">
        <f t="shared" si="2"/>
        <v>42.77</v>
      </c>
      <c r="F105">
        <v>4.5</v>
      </c>
      <c r="G105">
        <v>1.0588888888888888</v>
      </c>
      <c r="H105">
        <f t="shared" si="3"/>
        <v>47.65</v>
      </c>
    </row>
    <row r="106" spans="1:12" x14ac:dyDescent="0.15">
      <c r="A106" t="s">
        <v>29</v>
      </c>
      <c r="B106" t="s">
        <v>997</v>
      </c>
      <c r="C106">
        <v>0</v>
      </c>
      <c r="E106">
        <f t="shared" si="2"/>
        <v>0</v>
      </c>
      <c r="F106">
        <v>0.3</v>
      </c>
      <c r="G106">
        <v>1.4</v>
      </c>
      <c r="H106">
        <f t="shared" si="3"/>
        <v>4.2</v>
      </c>
    </row>
    <row r="107" spans="1:12" x14ac:dyDescent="0.15">
      <c r="A107" t="s">
        <v>29</v>
      </c>
      <c r="B107" t="s">
        <v>995</v>
      </c>
      <c r="C107">
        <v>0</v>
      </c>
      <c r="E107">
        <f t="shared" si="2"/>
        <v>0</v>
      </c>
      <c r="F107">
        <v>1.9</v>
      </c>
      <c r="G107">
        <v>0.98</v>
      </c>
      <c r="H107">
        <f t="shared" si="3"/>
        <v>18.619999999999997</v>
      </c>
    </row>
    <row r="108" spans="1:12" x14ac:dyDescent="0.15">
      <c r="A108" t="s">
        <v>29</v>
      </c>
      <c r="B108" t="s">
        <v>897</v>
      </c>
      <c r="C108">
        <v>27.9</v>
      </c>
      <c r="D108">
        <v>0.96</v>
      </c>
      <c r="E108">
        <f t="shared" si="2"/>
        <v>267.83999999999997</v>
      </c>
      <c r="F108">
        <v>26</v>
      </c>
      <c r="G108">
        <v>1.0743461538461541</v>
      </c>
      <c r="H108">
        <f t="shared" si="3"/>
        <v>279.33000000000004</v>
      </c>
    </row>
    <row r="109" spans="1:12" x14ac:dyDescent="0.15">
      <c r="A109" t="s">
        <v>29</v>
      </c>
      <c r="B109" t="s">
        <v>993</v>
      </c>
      <c r="C109">
        <v>0</v>
      </c>
      <c r="E109">
        <f t="shared" si="2"/>
        <v>0</v>
      </c>
      <c r="F109">
        <v>3.6</v>
      </c>
      <c r="G109">
        <v>0.9738888888888888</v>
      </c>
      <c r="H109">
        <f t="shared" si="3"/>
        <v>35.059999999999995</v>
      </c>
    </row>
    <row r="110" spans="1:12" x14ac:dyDescent="0.15">
      <c r="A110" t="s">
        <v>29</v>
      </c>
      <c r="B110" t="s">
        <v>994</v>
      </c>
      <c r="C110">
        <v>0</v>
      </c>
      <c r="E110">
        <f t="shared" si="2"/>
        <v>0</v>
      </c>
      <c r="F110">
        <v>1.8</v>
      </c>
      <c r="G110">
        <v>0.9933333333333334</v>
      </c>
      <c r="H110">
        <f t="shared" si="3"/>
        <v>17.880000000000003</v>
      </c>
    </row>
    <row r="111" spans="1:12" x14ac:dyDescent="0.15">
      <c r="A111" t="s">
        <v>29</v>
      </c>
      <c r="B111" t="s">
        <v>992</v>
      </c>
      <c r="C111">
        <v>0</v>
      </c>
      <c r="E111">
        <f t="shared" si="2"/>
        <v>0</v>
      </c>
      <c r="F111">
        <v>10.799999999999999</v>
      </c>
      <c r="G111">
        <v>1.0274074074074075</v>
      </c>
      <c r="H111">
        <f t="shared" si="3"/>
        <v>110.96000000000001</v>
      </c>
    </row>
    <row r="112" spans="1:12" x14ac:dyDescent="0.15">
      <c r="A112" t="s">
        <v>29</v>
      </c>
      <c r="B112" t="s">
        <v>480</v>
      </c>
      <c r="C112">
        <v>11.5</v>
      </c>
      <c r="D112">
        <v>1.8633043478260867</v>
      </c>
      <c r="E112">
        <f t="shared" si="2"/>
        <v>214.27999999999997</v>
      </c>
      <c r="F112">
        <v>13.2</v>
      </c>
      <c r="G112">
        <v>2.0287121212121217</v>
      </c>
      <c r="H112">
        <f t="shared" si="3"/>
        <v>267.79000000000008</v>
      </c>
    </row>
    <row r="113" spans="1:8" x14ac:dyDescent="0.15">
      <c r="A113" t="s">
        <v>29</v>
      </c>
      <c r="B113" t="s">
        <v>1052</v>
      </c>
      <c r="C113">
        <v>0</v>
      </c>
      <c r="E113">
        <f t="shared" si="2"/>
        <v>0</v>
      </c>
      <c r="F113">
        <v>6.63903</v>
      </c>
      <c r="G113">
        <v>0.82</v>
      </c>
      <c r="H113">
        <f t="shared" si="3"/>
        <v>54.440045999999995</v>
      </c>
    </row>
    <row r="114" spans="1:8" x14ac:dyDescent="0.15">
      <c r="A114" t="s">
        <v>29</v>
      </c>
      <c r="B114" t="s">
        <v>1051</v>
      </c>
      <c r="C114">
        <v>0</v>
      </c>
      <c r="E114">
        <f t="shared" si="2"/>
        <v>0</v>
      </c>
      <c r="F114">
        <v>14.701426</v>
      </c>
      <c r="G114">
        <v>0.85</v>
      </c>
      <c r="H114">
        <f t="shared" si="3"/>
        <v>124.962121</v>
      </c>
    </row>
    <row r="115" spans="1:8" x14ac:dyDescent="0.15">
      <c r="A115" t="s">
        <v>29</v>
      </c>
      <c r="B115" t="s">
        <v>902</v>
      </c>
      <c r="C115">
        <v>3.99</v>
      </c>
      <c r="D115">
        <v>0.12999999999999998</v>
      </c>
      <c r="E115">
        <f t="shared" si="2"/>
        <v>5.1869999999999994</v>
      </c>
      <c r="F115">
        <v>35.6</v>
      </c>
      <c r="G115">
        <v>0.10148876404494382</v>
      </c>
      <c r="H115">
        <f t="shared" si="3"/>
        <v>36.130000000000003</v>
      </c>
    </row>
    <row r="116" spans="1:8" x14ac:dyDescent="0.15">
      <c r="A116" t="s">
        <v>29</v>
      </c>
      <c r="B116" t="s">
        <v>1020</v>
      </c>
      <c r="C116">
        <v>0</v>
      </c>
      <c r="E116">
        <f t="shared" si="2"/>
        <v>0</v>
      </c>
      <c r="F116">
        <v>0.69699999999999995</v>
      </c>
      <c r="G116">
        <v>0.90429999999999999</v>
      </c>
      <c r="H116">
        <f t="shared" si="3"/>
        <v>6.3029709999999994</v>
      </c>
    </row>
    <row r="117" spans="1:8" x14ac:dyDescent="0.15">
      <c r="A117" t="s">
        <v>29</v>
      </c>
      <c r="B117" t="s">
        <v>1100</v>
      </c>
      <c r="C117">
        <v>0</v>
      </c>
      <c r="E117">
        <f t="shared" si="2"/>
        <v>0</v>
      </c>
      <c r="F117">
        <v>14.32</v>
      </c>
      <c r="G117">
        <v>0.26929469273743017</v>
      </c>
      <c r="H117">
        <f t="shared" si="3"/>
        <v>38.563000000000002</v>
      </c>
    </row>
    <row r="118" spans="1:8" x14ac:dyDescent="0.15">
      <c r="A118" t="s">
        <v>29</v>
      </c>
      <c r="B118" t="s">
        <v>1099</v>
      </c>
      <c r="C118">
        <v>0</v>
      </c>
      <c r="E118">
        <f t="shared" si="2"/>
        <v>0</v>
      </c>
      <c r="F118">
        <v>50</v>
      </c>
      <c r="G118">
        <v>0.3034</v>
      </c>
      <c r="H118">
        <f t="shared" si="3"/>
        <v>151.69999999999999</v>
      </c>
    </row>
    <row r="119" spans="1:8" x14ac:dyDescent="0.15">
      <c r="A119" t="s">
        <v>29</v>
      </c>
      <c r="B119" t="s">
        <v>1006</v>
      </c>
      <c r="C119">
        <v>0</v>
      </c>
      <c r="E119">
        <f t="shared" si="2"/>
        <v>0</v>
      </c>
      <c r="F119">
        <v>29.6</v>
      </c>
      <c r="G119">
        <v>0.70702702702702691</v>
      </c>
      <c r="H119">
        <f t="shared" si="3"/>
        <v>209.27999999999997</v>
      </c>
    </row>
    <row r="120" spans="1:8" x14ac:dyDescent="0.15">
      <c r="A120" t="s">
        <v>29</v>
      </c>
      <c r="B120" t="s">
        <v>1000</v>
      </c>
      <c r="C120">
        <v>0</v>
      </c>
      <c r="E120">
        <f t="shared" si="2"/>
        <v>0</v>
      </c>
      <c r="F120">
        <v>5.39</v>
      </c>
      <c r="G120">
        <v>0.96299999999999997</v>
      </c>
      <c r="H120">
        <f t="shared" si="3"/>
        <v>51.905699999999996</v>
      </c>
    </row>
    <row r="121" spans="1:8" x14ac:dyDescent="0.15">
      <c r="A121" t="s">
        <v>29</v>
      </c>
      <c r="B121" t="s">
        <v>1022</v>
      </c>
      <c r="C121">
        <v>0</v>
      </c>
      <c r="E121">
        <f t="shared" si="2"/>
        <v>0</v>
      </c>
      <c r="F121">
        <v>1.1209114</v>
      </c>
      <c r="G121">
        <v>0.33</v>
      </c>
      <c r="H121">
        <f t="shared" si="3"/>
        <v>3.6990076199999997</v>
      </c>
    </row>
    <row r="122" spans="1:8" x14ac:dyDescent="0.15">
      <c r="A122" t="s">
        <v>29</v>
      </c>
      <c r="B122" t="s">
        <v>1115</v>
      </c>
      <c r="C122">
        <v>0</v>
      </c>
      <c r="E122">
        <f t="shared" si="2"/>
        <v>0</v>
      </c>
      <c r="F122">
        <v>3.1638000000000002</v>
      </c>
      <c r="G122">
        <v>0.19743125355585053</v>
      </c>
      <c r="H122">
        <f t="shared" si="3"/>
        <v>6.2463300000000004</v>
      </c>
    </row>
    <row r="123" spans="1:8" x14ac:dyDescent="0.15">
      <c r="A123" t="s">
        <v>29</v>
      </c>
      <c r="B123" t="s">
        <v>999</v>
      </c>
      <c r="C123">
        <v>0</v>
      </c>
      <c r="E123">
        <f t="shared" si="2"/>
        <v>0</v>
      </c>
      <c r="F123">
        <v>10.5</v>
      </c>
      <c r="G123">
        <v>0.98799999999999988</v>
      </c>
      <c r="H123">
        <f t="shared" si="3"/>
        <v>103.73999999999998</v>
      </c>
    </row>
    <row r="124" spans="1:8" x14ac:dyDescent="0.15">
      <c r="A124" t="s">
        <v>29</v>
      </c>
      <c r="B124" t="s">
        <v>1034</v>
      </c>
      <c r="C124">
        <v>0</v>
      </c>
      <c r="E124">
        <f t="shared" si="2"/>
        <v>0</v>
      </c>
      <c r="F124">
        <v>26.299999999999997</v>
      </c>
      <c r="G124">
        <v>0.6450570342205324</v>
      </c>
      <c r="H124">
        <f t="shared" si="3"/>
        <v>169.65</v>
      </c>
    </row>
    <row r="125" spans="1:8" x14ac:dyDescent="0.15">
      <c r="A125" t="s">
        <v>29</v>
      </c>
      <c r="B125" t="s">
        <v>1072</v>
      </c>
      <c r="C125">
        <v>0</v>
      </c>
      <c r="E125">
        <f t="shared" si="2"/>
        <v>0</v>
      </c>
      <c r="F125">
        <v>4.0199999999999996</v>
      </c>
      <c r="G125">
        <v>0.51358208955223883</v>
      </c>
      <c r="H125">
        <f t="shared" si="3"/>
        <v>20.646000000000001</v>
      </c>
    </row>
    <row r="126" spans="1:8" x14ac:dyDescent="0.15">
      <c r="A126" t="s">
        <v>29</v>
      </c>
      <c r="B126" t="s">
        <v>914</v>
      </c>
      <c r="C126">
        <v>3.8934999999999997E-2</v>
      </c>
      <c r="D126">
        <v>2.94</v>
      </c>
      <c r="E126">
        <f t="shared" si="2"/>
        <v>1.1446889999999998</v>
      </c>
      <c r="F126">
        <v>1.705605</v>
      </c>
      <c r="G126">
        <v>1.004263208656166</v>
      </c>
      <c r="H126">
        <f t="shared" si="3"/>
        <v>17.128763500000002</v>
      </c>
    </row>
    <row r="127" spans="1:8" x14ac:dyDescent="0.15">
      <c r="A127" t="s">
        <v>29</v>
      </c>
      <c r="B127" t="s">
        <v>899</v>
      </c>
      <c r="C127">
        <v>197.2</v>
      </c>
      <c r="D127">
        <v>0.60074036511156192</v>
      </c>
      <c r="E127">
        <f t="shared" si="2"/>
        <v>1184.6600000000001</v>
      </c>
      <c r="F127">
        <v>338.7</v>
      </c>
      <c r="G127">
        <v>0.57448479480366099</v>
      </c>
      <c r="H127">
        <f t="shared" si="3"/>
        <v>1945.7799999999997</v>
      </c>
    </row>
    <row r="128" spans="1:8" x14ac:dyDescent="0.15">
      <c r="A128" t="s">
        <v>29</v>
      </c>
      <c r="B128" t="s">
        <v>1054</v>
      </c>
      <c r="C128">
        <v>0</v>
      </c>
      <c r="E128">
        <f t="shared" si="2"/>
        <v>0</v>
      </c>
      <c r="F128">
        <v>2.1958500000000001</v>
      </c>
      <c r="G128">
        <v>1.01</v>
      </c>
      <c r="H128">
        <f t="shared" si="3"/>
        <v>22.178085000000003</v>
      </c>
    </row>
    <row r="129" spans="1:10" x14ac:dyDescent="0.15">
      <c r="A129" t="s">
        <v>29</v>
      </c>
      <c r="B129" t="s">
        <v>1088</v>
      </c>
      <c r="C129">
        <v>0</v>
      </c>
      <c r="E129">
        <f t="shared" si="2"/>
        <v>0</v>
      </c>
      <c r="F129">
        <v>0.15</v>
      </c>
      <c r="G129">
        <v>1.026</v>
      </c>
      <c r="H129">
        <f t="shared" si="3"/>
        <v>1.5390000000000001</v>
      </c>
    </row>
    <row r="130" spans="1:10" x14ac:dyDescent="0.15">
      <c r="A130" t="s">
        <v>29</v>
      </c>
      <c r="B130" t="s">
        <v>1079</v>
      </c>
      <c r="C130">
        <v>0</v>
      </c>
      <c r="E130">
        <f t="shared" ref="E130:E193" si="4">C130*D130*10</f>
        <v>0</v>
      </c>
      <c r="F130">
        <v>1.05</v>
      </c>
      <c r="G130">
        <v>2</v>
      </c>
      <c r="H130">
        <f t="shared" ref="H130:H193" si="5">F130*G130*10</f>
        <v>21</v>
      </c>
    </row>
    <row r="131" spans="1:10" x14ac:dyDescent="0.15">
      <c r="A131" t="s">
        <v>29</v>
      </c>
      <c r="B131" t="s">
        <v>915</v>
      </c>
      <c r="C131">
        <v>8.2089999999999996</v>
      </c>
      <c r="D131">
        <v>1.2250347179924475</v>
      </c>
      <c r="E131">
        <f t="shared" si="4"/>
        <v>100.56309999999999</v>
      </c>
      <c r="F131">
        <v>13.212</v>
      </c>
      <c r="G131">
        <v>1.652610505600969</v>
      </c>
      <c r="H131">
        <f t="shared" si="5"/>
        <v>218.34290000000004</v>
      </c>
    </row>
    <row r="132" spans="1:10" x14ac:dyDescent="0.15">
      <c r="A132" t="s">
        <v>29</v>
      </c>
      <c r="B132" t="s">
        <v>1027</v>
      </c>
      <c r="C132">
        <v>0</v>
      </c>
      <c r="E132">
        <f t="shared" si="4"/>
        <v>0</v>
      </c>
      <c r="F132">
        <v>12.8</v>
      </c>
      <c r="G132">
        <v>0.91015625</v>
      </c>
      <c r="H132">
        <f t="shared" si="5"/>
        <v>116.5</v>
      </c>
    </row>
    <row r="133" spans="1:10" x14ac:dyDescent="0.15">
      <c r="A133" t="s">
        <v>29</v>
      </c>
      <c r="B133" t="s">
        <v>1029</v>
      </c>
      <c r="C133">
        <v>0</v>
      </c>
      <c r="E133">
        <f t="shared" si="4"/>
        <v>0</v>
      </c>
      <c r="F133">
        <v>5.6000000000000005</v>
      </c>
      <c r="G133">
        <v>0.8135714285714285</v>
      </c>
      <c r="H133">
        <f t="shared" si="5"/>
        <v>45.56</v>
      </c>
    </row>
    <row r="134" spans="1:10" x14ac:dyDescent="0.15">
      <c r="A134" t="s">
        <v>29</v>
      </c>
      <c r="B134" t="s">
        <v>1061</v>
      </c>
      <c r="C134">
        <v>0</v>
      </c>
      <c r="E134">
        <f t="shared" si="4"/>
        <v>0</v>
      </c>
      <c r="F134">
        <v>27.4</v>
      </c>
      <c r="G134">
        <v>0.60427007299270086</v>
      </c>
      <c r="H134">
        <f t="shared" si="5"/>
        <v>165.57000000000002</v>
      </c>
    </row>
    <row r="135" spans="1:10" x14ac:dyDescent="0.15">
      <c r="A135" t="s">
        <v>29</v>
      </c>
      <c r="B135" t="s">
        <v>1028</v>
      </c>
      <c r="C135">
        <v>0</v>
      </c>
      <c r="E135">
        <f t="shared" si="4"/>
        <v>0</v>
      </c>
      <c r="F135">
        <v>29.599999999999998</v>
      </c>
      <c r="G135">
        <v>0.49182432432432438</v>
      </c>
      <c r="H135">
        <f t="shared" si="5"/>
        <v>145.57999999999998</v>
      </c>
    </row>
    <row r="136" spans="1:10" x14ac:dyDescent="0.15">
      <c r="A136" t="s">
        <v>29</v>
      </c>
      <c r="B136" t="s">
        <v>1030</v>
      </c>
      <c r="C136">
        <v>0</v>
      </c>
      <c r="E136">
        <f t="shared" si="4"/>
        <v>0</v>
      </c>
      <c r="F136">
        <v>13.799999999999999</v>
      </c>
      <c r="G136">
        <v>0.30630434782608701</v>
      </c>
      <c r="H136">
        <f t="shared" si="5"/>
        <v>42.27</v>
      </c>
    </row>
    <row r="137" spans="1:10" x14ac:dyDescent="0.15">
      <c r="A137" t="s">
        <v>29</v>
      </c>
      <c r="B137" t="s">
        <v>1078</v>
      </c>
      <c r="C137">
        <v>0</v>
      </c>
      <c r="E137">
        <f t="shared" si="4"/>
        <v>0</v>
      </c>
      <c r="F137">
        <v>0.221</v>
      </c>
      <c r="G137">
        <v>3.0384615384615383</v>
      </c>
      <c r="H137">
        <f t="shared" si="5"/>
        <v>6.7149999999999999</v>
      </c>
      <c r="J137" s="10"/>
    </row>
    <row r="138" spans="1:10" x14ac:dyDescent="0.15">
      <c r="A138" t="s">
        <v>29</v>
      </c>
      <c r="B138" t="s">
        <v>987</v>
      </c>
      <c r="C138">
        <v>0</v>
      </c>
      <c r="E138">
        <f t="shared" si="4"/>
        <v>0</v>
      </c>
      <c r="F138">
        <v>24.700000000000003</v>
      </c>
      <c r="G138">
        <v>0.40469635627530359</v>
      </c>
      <c r="H138">
        <f t="shared" si="5"/>
        <v>99.960000000000008</v>
      </c>
    </row>
    <row r="139" spans="1:10" x14ac:dyDescent="0.15">
      <c r="A139" t="s">
        <v>29</v>
      </c>
      <c r="B139" t="s">
        <v>1110</v>
      </c>
      <c r="C139">
        <v>0</v>
      </c>
      <c r="E139">
        <f t="shared" si="4"/>
        <v>0</v>
      </c>
      <c r="F139">
        <v>4.3</v>
      </c>
      <c r="G139">
        <v>0.7813953488372094</v>
      </c>
      <c r="H139">
        <f t="shared" si="5"/>
        <v>33.6</v>
      </c>
    </row>
    <row r="140" spans="1:10" x14ac:dyDescent="0.15">
      <c r="A140" t="s">
        <v>29</v>
      </c>
      <c r="B140" t="s">
        <v>1094</v>
      </c>
      <c r="C140">
        <v>0</v>
      </c>
      <c r="E140">
        <f t="shared" si="4"/>
        <v>0</v>
      </c>
      <c r="F140">
        <v>0.71</v>
      </c>
      <c r="G140">
        <v>2.2704225352112677</v>
      </c>
      <c r="H140">
        <f t="shared" si="5"/>
        <v>16.119999999999997</v>
      </c>
    </row>
    <row r="141" spans="1:10" x14ac:dyDescent="0.15">
      <c r="A141" t="s">
        <v>29</v>
      </c>
      <c r="B141" t="s">
        <v>1082</v>
      </c>
      <c r="C141">
        <v>0</v>
      </c>
      <c r="E141">
        <f t="shared" si="4"/>
        <v>0</v>
      </c>
      <c r="F141">
        <v>0.35</v>
      </c>
      <c r="G141">
        <v>0.9</v>
      </c>
      <c r="H141">
        <f t="shared" si="5"/>
        <v>3.15</v>
      </c>
    </row>
    <row r="142" spans="1:10" x14ac:dyDescent="0.15">
      <c r="A142" t="s">
        <v>29</v>
      </c>
      <c r="B142" t="s">
        <v>910</v>
      </c>
      <c r="C142">
        <v>1.7980999999999998</v>
      </c>
      <c r="D142">
        <v>3.990033924698293</v>
      </c>
      <c r="E142">
        <f t="shared" si="4"/>
        <v>71.744799999999998</v>
      </c>
      <c r="F142">
        <v>2.3510660000000003</v>
      </c>
      <c r="G142">
        <v>4.9581702512817589</v>
      </c>
      <c r="H142">
        <f t="shared" si="5"/>
        <v>116.56985500000002</v>
      </c>
    </row>
    <row r="143" spans="1:10" x14ac:dyDescent="0.15">
      <c r="A143" t="s">
        <v>29</v>
      </c>
      <c r="B143" t="s">
        <v>984</v>
      </c>
      <c r="C143">
        <v>0</v>
      </c>
      <c r="E143">
        <f t="shared" si="4"/>
        <v>0</v>
      </c>
      <c r="F143">
        <v>0.94199999999999995</v>
      </c>
      <c r="G143">
        <v>5.9405520169851386E-2</v>
      </c>
      <c r="H143">
        <f t="shared" si="5"/>
        <v>0.55959999999999999</v>
      </c>
    </row>
    <row r="144" spans="1:10" x14ac:dyDescent="0.15">
      <c r="A144" t="s">
        <v>29</v>
      </c>
      <c r="B144" t="s">
        <v>1023</v>
      </c>
      <c r="C144">
        <v>0</v>
      </c>
      <c r="E144">
        <f t="shared" si="4"/>
        <v>0</v>
      </c>
      <c r="F144">
        <v>1.3181643999999999</v>
      </c>
      <c r="G144">
        <v>0.44000000000000006</v>
      </c>
      <c r="H144">
        <f t="shared" si="5"/>
        <v>5.7999233600000002</v>
      </c>
    </row>
    <row r="145" spans="1:10" x14ac:dyDescent="0.15">
      <c r="A145" t="s">
        <v>29</v>
      </c>
      <c r="B145" t="s">
        <v>903</v>
      </c>
      <c r="C145">
        <v>147.4</v>
      </c>
      <c r="D145">
        <v>0.56109905020352779</v>
      </c>
      <c r="E145">
        <f t="shared" si="4"/>
        <v>827.06000000000006</v>
      </c>
      <c r="F145">
        <v>183.29999999999998</v>
      </c>
      <c r="G145">
        <v>0.50308237861429361</v>
      </c>
      <c r="H145">
        <f t="shared" si="5"/>
        <v>922.1500000000002</v>
      </c>
    </row>
    <row r="146" spans="1:10" x14ac:dyDescent="0.15">
      <c r="A146" t="s">
        <v>29</v>
      </c>
      <c r="B146" t="s">
        <v>1065</v>
      </c>
      <c r="C146">
        <v>0</v>
      </c>
      <c r="E146">
        <f t="shared" si="4"/>
        <v>0</v>
      </c>
      <c r="F146">
        <v>0.68</v>
      </c>
      <c r="G146">
        <v>2.1</v>
      </c>
      <c r="H146">
        <f t="shared" si="5"/>
        <v>14.280000000000001</v>
      </c>
    </row>
    <row r="147" spans="1:10" x14ac:dyDescent="0.15">
      <c r="A147" t="s">
        <v>29</v>
      </c>
      <c r="B147" t="s">
        <v>1108</v>
      </c>
      <c r="C147">
        <v>0</v>
      </c>
      <c r="E147">
        <f t="shared" si="4"/>
        <v>0</v>
      </c>
      <c r="F147">
        <v>0.02</v>
      </c>
      <c r="G147">
        <v>2.7</v>
      </c>
      <c r="H147">
        <f t="shared" si="5"/>
        <v>0.54</v>
      </c>
    </row>
    <row r="148" spans="1:10" x14ac:dyDescent="0.15">
      <c r="A148" t="s">
        <v>29</v>
      </c>
      <c r="B148" t="s">
        <v>1062</v>
      </c>
      <c r="C148">
        <v>0</v>
      </c>
      <c r="E148">
        <f t="shared" si="4"/>
        <v>0</v>
      </c>
      <c r="F148">
        <v>7.37</v>
      </c>
      <c r="G148">
        <v>2.5791044776119403</v>
      </c>
      <c r="H148">
        <f t="shared" si="5"/>
        <v>190.07999999999998</v>
      </c>
    </row>
    <row r="149" spans="1:10" x14ac:dyDescent="0.15">
      <c r="A149" t="s">
        <v>29</v>
      </c>
      <c r="B149" t="s">
        <v>1053</v>
      </c>
      <c r="C149">
        <v>0</v>
      </c>
      <c r="E149">
        <f t="shared" si="4"/>
        <v>0</v>
      </c>
      <c r="F149">
        <v>3.9169999999999998</v>
      </c>
      <c r="G149">
        <v>1.04</v>
      </c>
      <c r="H149">
        <f t="shared" si="5"/>
        <v>40.736799999999995</v>
      </c>
    </row>
    <row r="150" spans="1:10" x14ac:dyDescent="0.15">
      <c r="A150" t="s">
        <v>29</v>
      </c>
      <c r="B150" t="s">
        <v>1055</v>
      </c>
      <c r="C150">
        <v>0</v>
      </c>
      <c r="E150">
        <f t="shared" si="4"/>
        <v>0</v>
      </c>
      <c r="F150">
        <v>2.5299999999999998</v>
      </c>
      <c r="G150">
        <v>0.7</v>
      </c>
      <c r="H150">
        <f t="shared" si="5"/>
        <v>17.709999999999997</v>
      </c>
    </row>
    <row r="151" spans="1:10" x14ac:dyDescent="0.15">
      <c r="A151" t="s">
        <v>29</v>
      </c>
      <c r="B151" t="s">
        <v>1060</v>
      </c>
      <c r="C151">
        <v>0</v>
      </c>
      <c r="E151">
        <f t="shared" si="4"/>
        <v>0</v>
      </c>
      <c r="F151">
        <v>330</v>
      </c>
      <c r="G151">
        <v>0.75</v>
      </c>
      <c r="H151">
        <f t="shared" si="5"/>
        <v>2475</v>
      </c>
    </row>
    <row r="152" spans="1:10" x14ac:dyDescent="0.15">
      <c r="A152" t="s">
        <v>29</v>
      </c>
      <c r="B152" t="s">
        <v>1059</v>
      </c>
      <c r="C152">
        <v>0</v>
      </c>
      <c r="E152">
        <f t="shared" si="4"/>
        <v>0</v>
      </c>
      <c r="F152">
        <v>63.5</v>
      </c>
      <c r="G152">
        <v>0.38</v>
      </c>
      <c r="H152">
        <f t="shared" si="5"/>
        <v>241.29999999999998</v>
      </c>
    </row>
    <row r="153" spans="1:10" x14ac:dyDescent="0.15">
      <c r="A153" t="s">
        <v>29</v>
      </c>
      <c r="B153" t="s">
        <v>1098</v>
      </c>
      <c r="C153">
        <v>0</v>
      </c>
      <c r="E153">
        <f t="shared" si="4"/>
        <v>0</v>
      </c>
      <c r="F153">
        <v>30.2</v>
      </c>
      <c r="G153">
        <v>9.5629139072847674E-2</v>
      </c>
      <c r="H153">
        <f t="shared" si="5"/>
        <v>28.88</v>
      </c>
    </row>
    <row r="154" spans="1:10" x14ac:dyDescent="0.15">
      <c r="A154" t="s">
        <v>29</v>
      </c>
      <c r="B154" t="s">
        <v>1114</v>
      </c>
      <c r="C154">
        <v>0</v>
      </c>
      <c r="E154">
        <f t="shared" si="4"/>
        <v>0</v>
      </c>
      <c r="F154">
        <v>243.3</v>
      </c>
      <c r="G154">
        <v>0.33911220715166462</v>
      </c>
      <c r="H154">
        <f t="shared" si="5"/>
        <v>825.06</v>
      </c>
    </row>
    <row r="155" spans="1:10" x14ac:dyDescent="0.15">
      <c r="A155" t="s">
        <v>29</v>
      </c>
      <c r="B155" t="s">
        <v>1113</v>
      </c>
      <c r="C155">
        <v>0</v>
      </c>
      <c r="E155">
        <f t="shared" si="4"/>
        <v>0</v>
      </c>
      <c r="F155">
        <v>39.699999999999996</v>
      </c>
      <c r="G155">
        <v>0.48425692695214106</v>
      </c>
      <c r="H155">
        <f t="shared" si="5"/>
        <v>192.24999999999997</v>
      </c>
    </row>
    <row r="156" spans="1:10" x14ac:dyDescent="0.15">
      <c r="A156" t="s">
        <v>29</v>
      </c>
      <c r="B156" t="s">
        <v>1050</v>
      </c>
      <c r="C156">
        <v>0</v>
      </c>
      <c r="E156">
        <f t="shared" si="4"/>
        <v>0</v>
      </c>
      <c r="F156">
        <v>80.5</v>
      </c>
      <c r="G156">
        <v>0.77</v>
      </c>
      <c r="H156">
        <f t="shared" si="5"/>
        <v>619.85</v>
      </c>
    </row>
    <row r="157" spans="1:10" x14ac:dyDescent="0.15">
      <c r="A157" t="s">
        <v>29</v>
      </c>
      <c r="B157" t="s">
        <v>1077</v>
      </c>
      <c r="C157">
        <v>0</v>
      </c>
      <c r="E157">
        <f t="shared" si="4"/>
        <v>0</v>
      </c>
      <c r="F157">
        <v>0.6</v>
      </c>
      <c r="G157">
        <v>1.39</v>
      </c>
      <c r="H157">
        <f t="shared" si="5"/>
        <v>8.34</v>
      </c>
      <c r="J157" s="10"/>
    </row>
    <row r="158" spans="1:10" x14ac:dyDescent="0.15">
      <c r="A158" t="s">
        <v>29</v>
      </c>
      <c r="B158" t="s">
        <v>1095</v>
      </c>
      <c r="C158">
        <v>0</v>
      </c>
      <c r="E158">
        <f t="shared" si="4"/>
        <v>0</v>
      </c>
      <c r="F158">
        <v>0.08</v>
      </c>
      <c r="G158">
        <v>3.5000000000000004</v>
      </c>
      <c r="H158">
        <f t="shared" si="5"/>
        <v>2.8000000000000003</v>
      </c>
    </row>
    <row r="159" spans="1:10" x14ac:dyDescent="0.15">
      <c r="A159" t="s">
        <v>29</v>
      </c>
      <c r="B159" t="s">
        <v>1071</v>
      </c>
      <c r="C159">
        <v>0</v>
      </c>
      <c r="E159">
        <f t="shared" si="4"/>
        <v>0</v>
      </c>
      <c r="F159">
        <v>9.6810000000000009</v>
      </c>
      <c r="G159">
        <v>1.5247257514719552</v>
      </c>
      <c r="H159">
        <f t="shared" si="5"/>
        <v>147.6087</v>
      </c>
    </row>
    <row r="160" spans="1:10" x14ac:dyDescent="0.15">
      <c r="A160" s="5" t="s">
        <v>29</v>
      </c>
      <c r="B160" t="s">
        <v>900</v>
      </c>
      <c r="C160">
        <v>168.4</v>
      </c>
      <c r="D160">
        <v>0.93000000000000016</v>
      </c>
      <c r="E160">
        <f t="shared" si="4"/>
        <v>1566.1200000000003</v>
      </c>
      <c r="F160">
        <v>182.6</v>
      </c>
      <c r="G160">
        <v>0.92132530120481937</v>
      </c>
      <c r="H160">
        <f t="shared" si="5"/>
        <v>1682.3400000000001</v>
      </c>
    </row>
    <row r="161" spans="1:8" x14ac:dyDescent="0.15">
      <c r="A161" t="s">
        <v>29</v>
      </c>
      <c r="B161" t="s">
        <v>1013</v>
      </c>
      <c r="C161">
        <v>0</v>
      </c>
      <c r="E161">
        <f t="shared" si="4"/>
        <v>0</v>
      </c>
      <c r="F161">
        <v>0.7</v>
      </c>
      <c r="G161">
        <v>0.83</v>
      </c>
      <c r="H161">
        <f t="shared" si="5"/>
        <v>5.81</v>
      </c>
    </row>
    <row r="162" spans="1:8" x14ac:dyDescent="0.15">
      <c r="A162" t="s">
        <v>29</v>
      </c>
      <c r="B162" t="s">
        <v>907</v>
      </c>
      <c r="C162">
        <v>153</v>
      </c>
      <c r="D162">
        <v>0.6062745098039215</v>
      </c>
      <c r="E162">
        <f t="shared" si="4"/>
        <v>927.59999999999991</v>
      </c>
      <c r="F162">
        <v>440</v>
      </c>
      <c r="G162">
        <v>0.6054772727272727</v>
      </c>
      <c r="H162">
        <f t="shared" si="5"/>
        <v>2664.0999999999995</v>
      </c>
    </row>
    <row r="163" spans="1:8" x14ac:dyDescent="0.15">
      <c r="A163" t="s">
        <v>29</v>
      </c>
      <c r="B163" t="s">
        <v>1005</v>
      </c>
      <c r="C163">
        <v>0</v>
      </c>
      <c r="E163">
        <f t="shared" si="4"/>
        <v>0</v>
      </c>
      <c r="F163">
        <v>7.782</v>
      </c>
      <c r="G163">
        <v>1.0009791827293755</v>
      </c>
      <c r="H163">
        <f t="shared" si="5"/>
        <v>77.896200000000007</v>
      </c>
    </row>
    <row r="164" spans="1:8" x14ac:dyDescent="0.15">
      <c r="A164" t="s">
        <v>859</v>
      </c>
      <c r="B164" t="s">
        <v>1121</v>
      </c>
      <c r="C164">
        <v>0</v>
      </c>
      <c r="E164">
        <f t="shared" si="4"/>
        <v>0</v>
      </c>
      <c r="F164">
        <v>4.0999999999999996</v>
      </c>
      <c r="G164">
        <v>0.7</v>
      </c>
      <c r="H164">
        <f t="shared" si="5"/>
        <v>28.699999999999996</v>
      </c>
    </row>
    <row r="165" spans="1:8" x14ac:dyDescent="0.15">
      <c r="A165" t="s">
        <v>859</v>
      </c>
      <c r="B165" t="s">
        <v>1123</v>
      </c>
      <c r="C165">
        <v>0</v>
      </c>
      <c r="E165">
        <f t="shared" si="4"/>
        <v>0</v>
      </c>
      <c r="F165">
        <v>37.201155999999997</v>
      </c>
      <c r="G165">
        <v>0.46</v>
      </c>
      <c r="H165">
        <f t="shared" si="5"/>
        <v>171.12531759999999</v>
      </c>
    </row>
    <row r="166" spans="1:8" x14ac:dyDescent="0.15">
      <c r="A166" t="s">
        <v>859</v>
      </c>
      <c r="B166" t="s">
        <v>1124</v>
      </c>
      <c r="C166">
        <v>0</v>
      </c>
      <c r="E166">
        <f t="shared" si="4"/>
        <v>0</v>
      </c>
      <c r="F166">
        <v>4.4675609999999999</v>
      </c>
      <c r="G166">
        <v>1.47</v>
      </c>
      <c r="H166">
        <f t="shared" si="5"/>
        <v>65.673146700000004</v>
      </c>
    </row>
    <row r="167" spans="1:8" x14ac:dyDescent="0.15">
      <c r="A167" t="s">
        <v>859</v>
      </c>
      <c r="B167" t="s">
        <v>1125</v>
      </c>
      <c r="C167">
        <v>0</v>
      </c>
      <c r="E167">
        <f t="shared" si="4"/>
        <v>0</v>
      </c>
      <c r="F167">
        <v>26.753516999999999</v>
      </c>
      <c r="G167">
        <v>0.79</v>
      </c>
      <c r="H167">
        <f t="shared" si="5"/>
        <v>211.3527843</v>
      </c>
    </row>
    <row r="168" spans="1:8" x14ac:dyDescent="0.15">
      <c r="A168" t="s">
        <v>859</v>
      </c>
      <c r="B168" t="s">
        <v>1126</v>
      </c>
      <c r="C168">
        <v>0</v>
      </c>
      <c r="E168">
        <f t="shared" si="4"/>
        <v>0</v>
      </c>
      <c r="F168">
        <v>19.505586000000001</v>
      </c>
      <c r="G168">
        <v>0.68</v>
      </c>
      <c r="H168">
        <f t="shared" si="5"/>
        <v>132.63798480000003</v>
      </c>
    </row>
    <row r="169" spans="1:8" x14ac:dyDescent="0.15">
      <c r="A169" t="s">
        <v>859</v>
      </c>
      <c r="B169" t="s">
        <v>1127</v>
      </c>
      <c r="C169">
        <v>0</v>
      </c>
      <c r="E169">
        <f t="shared" si="4"/>
        <v>0</v>
      </c>
      <c r="F169">
        <v>5.9466710000000003</v>
      </c>
      <c r="G169">
        <v>1.0900000000000001</v>
      </c>
      <c r="H169">
        <f t="shared" si="5"/>
        <v>64.818713900000006</v>
      </c>
    </row>
    <row r="170" spans="1:8" x14ac:dyDescent="0.15">
      <c r="A170" t="s">
        <v>859</v>
      </c>
      <c r="B170" t="s">
        <v>1122</v>
      </c>
      <c r="C170">
        <v>0</v>
      </c>
      <c r="E170">
        <f t="shared" si="4"/>
        <v>0</v>
      </c>
      <c r="F170">
        <v>106</v>
      </c>
      <c r="G170">
        <v>0.21</v>
      </c>
      <c r="H170">
        <f t="shared" si="5"/>
        <v>222.59999999999997</v>
      </c>
    </row>
    <row r="171" spans="1:8" x14ac:dyDescent="0.15">
      <c r="A171" t="s">
        <v>859</v>
      </c>
      <c r="B171" t="s">
        <v>1120</v>
      </c>
      <c r="C171">
        <v>0</v>
      </c>
      <c r="E171">
        <f t="shared" si="4"/>
        <v>0</v>
      </c>
      <c r="F171">
        <v>135.30000000000001</v>
      </c>
      <c r="G171">
        <v>0.23334072431633407</v>
      </c>
      <c r="H171">
        <f t="shared" si="5"/>
        <v>315.71000000000004</v>
      </c>
    </row>
    <row r="172" spans="1:8" x14ac:dyDescent="0.15">
      <c r="A172" t="s">
        <v>73</v>
      </c>
      <c r="B172" t="s">
        <v>1137</v>
      </c>
      <c r="C172">
        <v>0</v>
      </c>
      <c r="E172">
        <f t="shared" si="4"/>
        <v>0</v>
      </c>
      <c r="F172">
        <v>4.5309999999999997</v>
      </c>
      <c r="G172">
        <v>1.4</v>
      </c>
      <c r="H172">
        <f t="shared" si="5"/>
        <v>63.43399999999999</v>
      </c>
    </row>
    <row r="173" spans="1:8" x14ac:dyDescent="0.15">
      <c r="A173" t="s">
        <v>73</v>
      </c>
      <c r="B173" t="s">
        <v>1147</v>
      </c>
      <c r="C173">
        <v>0</v>
      </c>
      <c r="E173">
        <f t="shared" si="4"/>
        <v>0</v>
      </c>
      <c r="F173">
        <v>3.09</v>
      </c>
      <c r="G173">
        <v>1.1200000000000001</v>
      </c>
      <c r="H173">
        <f t="shared" si="5"/>
        <v>34.608000000000004</v>
      </c>
    </row>
    <row r="174" spans="1:8" x14ac:dyDescent="0.15">
      <c r="A174" t="s">
        <v>73</v>
      </c>
      <c r="B174" t="s">
        <v>1134</v>
      </c>
      <c r="C174">
        <v>0</v>
      </c>
      <c r="E174">
        <f t="shared" si="4"/>
        <v>0</v>
      </c>
      <c r="F174">
        <v>132.25699999999998</v>
      </c>
      <c r="G174">
        <v>1.2702387775316242</v>
      </c>
      <c r="H174">
        <f t="shared" si="5"/>
        <v>1679.9796999999999</v>
      </c>
    </row>
    <row r="175" spans="1:8" x14ac:dyDescent="0.15">
      <c r="A175" t="s">
        <v>73</v>
      </c>
      <c r="B175" t="s">
        <v>916</v>
      </c>
      <c r="C175">
        <v>52</v>
      </c>
      <c r="D175">
        <v>1.3100961538461537</v>
      </c>
      <c r="E175">
        <f t="shared" si="4"/>
        <v>681.25</v>
      </c>
      <c r="F175">
        <v>81.5</v>
      </c>
      <c r="G175">
        <v>1.2771165644171778</v>
      </c>
      <c r="H175">
        <f t="shared" si="5"/>
        <v>1040.8499999999999</v>
      </c>
    </row>
    <row r="176" spans="1:8" x14ac:dyDescent="0.15">
      <c r="A176" t="s">
        <v>73</v>
      </c>
      <c r="B176" t="s">
        <v>1146</v>
      </c>
      <c r="C176">
        <v>0</v>
      </c>
      <c r="E176">
        <f t="shared" si="4"/>
        <v>0</v>
      </c>
      <c r="F176">
        <v>200</v>
      </c>
      <c r="G176">
        <v>0.2</v>
      </c>
      <c r="H176">
        <f t="shared" si="5"/>
        <v>400</v>
      </c>
    </row>
    <row r="177" spans="1:8" x14ac:dyDescent="0.15">
      <c r="A177" t="s">
        <v>73</v>
      </c>
      <c r="B177" t="s">
        <v>1138</v>
      </c>
      <c r="C177">
        <v>0</v>
      </c>
      <c r="E177">
        <f t="shared" si="4"/>
        <v>0</v>
      </c>
      <c r="F177">
        <v>11.103999999999999</v>
      </c>
      <c r="G177">
        <v>1.33</v>
      </c>
      <c r="H177">
        <f t="shared" si="5"/>
        <v>147.6832</v>
      </c>
    </row>
    <row r="178" spans="1:8" x14ac:dyDescent="0.15">
      <c r="A178" t="s">
        <v>73</v>
      </c>
      <c r="B178" t="s">
        <v>1129</v>
      </c>
      <c r="C178">
        <v>0</v>
      </c>
      <c r="E178">
        <f t="shared" si="4"/>
        <v>0</v>
      </c>
      <c r="F178">
        <v>4</v>
      </c>
      <c r="G178">
        <v>1.2</v>
      </c>
      <c r="H178">
        <f t="shared" si="5"/>
        <v>48</v>
      </c>
    </row>
    <row r="179" spans="1:8" x14ac:dyDescent="0.15">
      <c r="A179" t="s">
        <v>73</v>
      </c>
      <c r="B179" t="s">
        <v>1143</v>
      </c>
      <c r="C179">
        <v>0</v>
      </c>
      <c r="E179">
        <f t="shared" si="4"/>
        <v>0</v>
      </c>
      <c r="F179">
        <v>306.60000000000002</v>
      </c>
      <c r="G179">
        <v>1.276705805609915</v>
      </c>
      <c r="H179">
        <f t="shared" si="5"/>
        <v>3914.38</v>
      </c>
    </row>
    <row r="180" spans="1:8" x14ac:dyDescent="0.15">
      <c r="A180" t="s">
        <v>73</v>
      </c>
      <c r="B180" t="s">
        <v>1133</v>
      </c>
      <c r="C180">
        <v>0</v>
      </c>
      <c r="E180">
        <f t="shared" si="4"/>
        <v>0</v>
      </c>
      <c r="F180">
        <v>13</v>
      </c>
      <c r="G180">
        <v>1.4</v>
      </c>
      <c r="H180">
        <f t="shared" si="5"/>
        <v>182</v>
      </c>
    </row>
    <row r="181" spans="1:8" x14ac:dyDescent="0.15">
      <c r="A181" t="s">
        <v>73</v>
      </c>
      <c r="B181" t="s">
        <v>1128</v>
      </c>
      <c r="C181">
        <v>0</v>
      </c>
      <c r="E181">
        <f t="shared" si="4"/>
        <v>0</v>
      </c>
      <c r="F181">
        <v>40.4</v>
      </c>
      <c r="G181">
        <v>0.77940594059405943</v>
      </c>
      <c r="H181">
        <f t="shared" si="5"/>
        <v>314.88</v>
      </c>
    </row>
    <row r="182" spans="1:8" x14ac:dyDescent="0.15">
      <c r="A182" t="s">
        <v>73</v>
      </c>
      <c r="B182" t="s">
        <v>1149</v>
      </c>
      <c r="C182">
        <v>0</v>
      </c>
      <c r="E182">
        <f t="shared" si="4"/>
        <v>0</v>
      </c>
      <c r="F182">
        <v>35</v>
      </c>
      <c r="G182">
        <v>0.25</v>
      </c>
      <c r="H182">
        <f t="shared" si="5"/>
        <v>87.5</v>
      </c>
    </row>
    <row r="183" spans="1:8" x14ac:dyDescent="0.15">
      <c r="A183" t="s">
        <v>73</v>
      </c>
      <c r="B183" t="s">
        <v>1140</v>
      </c>
      <c r="C183">
        <v>0</v>
      </c>
      <c r="E183">
        <f t="shared" si="4"/>
        <v>0</v>
      </c>
      <c r="F183">
        <v>49.966000000000001</v>
      </c>
      <c r="G183">
        <v>1.26</v>
      </c>
      <c r="H183">
        <f t="shared" si="5"/>
        <v>629.57159999999999</v>
      </c>
    </row>
    <row r="184" spans="1:8" x14ac:dyDescent="0.15">
      <c r="A184" t="s">
        <v>73</v>
      </c>
      <c r="B184" t="s">
        <v>1131</v>
      </c>
      <c r="C184">
        <v>0</v>
      </c>
      <c r="E184">
        <f t="shared" si="4"/>
        <v>0</v>
      </c>
      <c r="F184">
        <v>38.6</v>
      </c>
      <c r="G184">
        <v>1.1000000000000001</v>
      </c>
      <c r="H184">
        <f t="shared" si="5"/>
        <v>424.60000000000008</v>
      </c>
    </row>
    <row r="185" spans="1:8" x14ac:dyDescent="0.15">
      <c r="A185" t="s">
        <v>73</v>
      </c>
      <c r="B185" t="s">
        <v>1136</v>
      </c>
      <c r="C185">
        <v>0</v>
      </c>
      <c r="E185">
        <f t="shared" si="4"/>
        <v>0</v>
      </c>
      <c r="F185">
        <v>24.1</v>
      </c>
      <c r="G185">
        <v>1.3</v>
      </c>
      <c r="H185">
        <f t="shared" si="5"/>
        <v>313.3</v>
      </c>
    </row>
    <row r="186" spans="1:8" x14ac:dyDescent="0.15">
      <c r="A186" t="s">
        <v>73</v>
      </c>
      <c r="B186" t="s">
        <v>1141</v>
      </c>
      <c r="C186">
        <v>0</v>
      </c>
      <c r="E186">
        <f t="shared" si="4"/>
        <v>0</v>
      </c>
      <c r="F186">
        <v>58.003</v>
      </c>
      <c r="G186">
        <v>1.771674051342172</v>
      </c>
      <c r="H186">
        <f t="shared" si="5"/>
        <v>1027.6241</v>
      </c>
    </row>
    <row r="187" spans="1:8" x14ac:dyDescent="0.15">
      <c r="A187" t="s">
        <v>73</v>
      </c>
      <c r="B187" t="s">
        <v>917</v>
      </c>
      <c r="C187">
        <v>8.3000000000000007</v>
      </c>
      <c r="D187">
        <v>1.26</v>
      </c>
      <c r="E187">
        <f t="shared" si="4"/>
        <v>104.58</v>
      </c>
      <c r="F187">
        <v>15.2</v>
      </c>
      <c r="G187">
        <v>1.2436184210526315</v>
      </c>
      <c r="H187">
        <f t="shared" si="5"/>
        <v>189.02999999999997</v>
      </c>
    </row>
    <row r="188" spans="1:8" x14ac:dyDescent="0.15">
      <c r="A188" t="s">
        <v>73</v>
      </c>
      <c r="B188" t="s">
        <v>918</v>
      </c>
      <c r="C188">
        <v>113.80000000000001</v>
      </c>
      <c r="D188">
        <v>1.5293497363796131</v>
      </c>
      <c r="E188">
        <f t="shared" si="4"/>
        <v>1740.3999999999999</v>
      </c>
      <c r="F188">
        <v>113.80000000000001</v>
      </c>
      <c r="G188">
        <v>1.5293497363796131</v>
      </c>
      <c r="H188">
        <f t="shared" si="5"/>
        <v>1740.3999999999999</v>
      </c>
    </row>
    <row r="189" spans="1:8" x14ac:dyDescent="0.15">
      <c r="A189" t="s">
        <v>73</v>
      </c>
      <c r="B189" t="s">
        <v>1148</v>
      </c>
      <c r="C189">
        <v>0</v>
      </c>
      <c r="E189">
        <f t="shared" si="4"/>
        <v>0</v>
      </c>
      <c r="F189">
        <v>27.2</v>
      </c>
      <c r="G189">
        <v>0.18</v>
      </c>
      <c r="H189">
        <f t="shared" si="5"/>
        <v>48.96</v>
      </c>
    </row>
    <row r="190" spans="1:8" x14ac:dyDescent="0.15">
      <c r="A190" t="s">
        <v>73</v>
      </c>
      <c r="B190" t="s">
        <v>1130</v>
      </c>
      <c r="C190">
        <v>0</v>
      </c>
      <c r="E190">
        <f t="shared" si="4"/>
        <v>0</v>
      </c>
      <c r="F190">
        <v>72.210999999999999</v>
      </c>
      <c r="G190">
        <v>1.0005634875572973</v>
      </c>
      <c r="H190">
        <f t="shared" si="5"/>
        <v>722.51689999999996</v>
      </c>
    </row>
    <row r="191" spans="1:8" x14ac:dyDescent="0.15">
      <c r="A191" t="s">
        <v>73</v>
      </c>
      <c r="B191" t="s">
        <v>1132</v>
      </c>
      <c r="C191">
        <v>0</v>
      </c>
      <c r="E191">
        <f t="shared" si="4"/>
        <v>0</v>
      </c>
      <c r="F191">
        <v>61</v>
      </c>
      <c r="G191">
        <v>1.5</v>
      </c>
      <c r="H191">
        <f t="shared" si="5"/>
        <v>915</v>
      </c>
    </row>
    <row r="192" spans="1:8" x14ac:dyDescent="0.15">
      <c r="A192" t="s">
        <v>73</v>
      </c>
      <c r="B192" t="s">
        <v>1145</v>
      </c>
      <c r="C192">
        <v>0</v>
      </c>
      <c r="E192">
        <f t="shared" si="4"/>
        <v>0</v>
      </c>
      <c r="F192">
        <v>59.218000000000004</v>
      </c>
      <c r="G192">
        <v>0.21049687190494726</v>
      </c>
      <c r="H192">
        <f t="shared" si="5"/>
        <v>124.65203760467168</v>
      </c>
    </row>
    <row r="193" spans="1:8" x14ac:dyDescent="0.15">
      <c r="A193" t="s">
        <v>73</v>
      </c>
      <c r="B193" t="s">
        <v>1144</v>
      </c>
      <c r="C193">
        <v>0</v>
      </c>
      <c r="E193">
        <f t="shared" si="4"/>
        <v>0</v>
      </c>
      <c r="F193">
        <v>13</v>
      </c>
      <c r="G193">
        <v>1.3000000000000003</v>
      </c>
      <c r="H193">
        <f t="shared" si="5"/>
        <v>169.00000000000003</v>
      </c>
    </row>
    <row r="194" spans="1:8" x14ac:dyDescent="0.15">
      <c r="A194" t="s">
        <v>73</v>
      </c>
      <c r="B194" t="s">
        <v>1135</v>
      </c>
      <c r="C194">
        <v>0</v>
      </c>
      <c r="E194">
        <f t="shared" ref="E194:E257" si="6">C194*D194*10</f>
        <v>0</v>
      </c>
      <c r="F194">
        <v>72.947000000000003</v>
      </c>
      <c r="G194">
        <v>1.2193532290567124</v>
      </c>
      <c r="H194">
        <f t="shared" ref="H194:H257" si="7">F194*G194*10</f>
        <v>889.48160000000007</v>
      </c>
    </row>
    <row r="195" spans="1:8" x14ac:dyDescent="0.15">
      <c r="A195" t="s">
        <v>73</v>
      </c>
      <c r="B195" t="s">
        <v>1139</v>
      </c>
      <c r="C195">
        <v>0</v>
      </c>
      <c r="E195">
        <f t="shared" si="6"/>
        <v>0</v>
      </c>
      <c r="F195">
        <v>45.601999999999997</v>
      </c>
      <c r="G195">
        <v>1.55</v>
      </c>
      <c r="H195">
        <f t="shared" si="7"/>
        <v>706.8309999999999</v>
      </c>
    </row>
    <row r="196" spans="1:8" x14ac:dyDescent="0.15">
      <c r="A196" t="s">
        <v>73</v>
      </c>
      <c r="B196" t="s">
        <v>1142</v>
      </c>
      <c r="C196">
        <v>0</v>
      </c>
      <c r="E196">
        <f t="shared" si="6"/>
        <v>0</v>
      </c>
      <c r="F196">
        <v>197.1</v>
      </c>
      <c r="G196">
        <v>0.9551395230847286</v>
      </c>
      <c r="H196">
        <f t="shared" si="7"/>
        <v>1882.5800000000002</v>
      </c>
    </row>
    <row r="197" spans="1:8" x14ac:dyDescent="0.15">
      <c r="A197" t="s">
        <v>1150</v>
      </c>
      <c r="B197" t="s">
        <v>1153</v>
      </c>
      <c r="C197">
        <v>0</v>
      </c>
      <c r="E197">
        <f t="shared" si="6"/>
        <v>0</v>
      </c>
      <c r="F197">
        <v>150.18</v>
      </c>
      <c r="G197">
        <v>1.3127713410573976</v>
      </c>
      <c r="H197">
        <f t="shared" si="7"/>
        <v>1971.52</v>
      </c>
    </row>
    <row r="198" spans="1:8" x14ac:dyDescent="0.15">
      <c r="A198" t="s">
        <v>1150</v>
      </c>
      <c r="B198" t="s">
        <v>1151</v>
      </c>
      <c r="C198">
        <v>0</v>
      </c>
      <c r="E198">
        <f t="shared" si="6"/>
        <v>0</v>
      </c>
      <c r="F198">
        <v>46</v>
      </c>
      <c r="G198">
        <v>1.45</v>
      </c>
      <c r="H198">
        <f t="shared" si="7"/>
        <v>667</v>
      </c>
    </row>
    <row r="199" spans="1:8" x14ac:dyDescent="0.15">
      <c r="A199" t="s">
        <v>1150</v>
      </c>
      <c r="B199" t="s">
        <v>1152</v>
      </c>
      <c r="C199">
        <v>0</v>
      </c>
      <c r="E199">
        <f t="shared" si="6"/>
        <v>0</v>
      </c>
      <c r="F199">
        <v>38</v>
      </c>
      <c r="G199">
        <v>1.38</v>
      </c>
      <c r="H199">
        <f t="shared" si="7"/>
        <v>524.4</v>
      </c>
    </row>
    <row r="200" spans="1:8" x14ac:dyDescent="0.15">
      <c r="A200" t="s">
        <v>919</v>
      </c>
      <c r="B200" t="s">
        <v>920</v>
      </c>
      <c r="C200">
        <v>68.132000000000005</v>
      </c>
      <c r="D200">
        <v>0.66</v>
      </c>
      <c r="E200">
        <f t="shared" si="6"/>
        <v>449.67120000000011</v>
      </c>
      <c r="F200">
        <v>316.524</v>
      </c>
      <c r="G200">
        <v>0.61135045051876002</v>
      </c>
      <c r="H200">
        <f t="shared" si="7"/>
        <v>1935.0709000000002</v>
      </c>
    </row>
    <row r="201" spans="1:8" x14ac:dyDescent="0.15">
      <c r="A201" t="s">
        <v>30</v>
      </c>
      <c r="B201" t="s">
        <v>1160</v>
      </c>
      <c r="C201">
        <v>0</v>
      </c>
      <c r="E201">
        <f t="shared" si="6"/>
        <v>0</v>
      </c>
      <c r="F201">
        <v>0.53899999999999992</v>
      </c>
      <c r="G201">
        <v>0.94285714285714295</v>
      </c>
      <c r="H201">
        <f t="shared" si="7"/>
        <v>5.0819999999999999</v>
      </c>
    </row>
    <row r="202" spans="1:8" x14ac:dyDescent="0.15">
      <c r="A202" t="s">
        <v>30</v>
      </c>
      <c r="B202" t="s">
        <v>1188</v>
      </c>
      <c r="C202">
        <v>0</v>
      </c>
      <c r="E202">
        <f t="shared" si="6"/>
        <v>0</v>
      </c>
      <c r="F202">
        <v>4.3749169999999999</v>
      </c>
      <c r="G202">
        <v>0.52</v>
      </c>
      <c r="H202">
        <f t="shared" si="7"/>
        <v>22.749568400000001</v>
      </c>
    </row>
    <row r="203" spans="1:8" x14ac:dyDescent="0.15">
      <c r="A203" t="s">
        <v>30</v>
      </c>
      <c r="B203" t="s">
        <v>514</v>
      </c>
      <c r="C203">
        <v>2.61</v>
      </c>
      <c r="D203">
        <v>1.4376398467432949</v>
      </c>
      <c r="E203">
        <f t="shared" si="6"/>
        <v>37.522399999999998</v>
      </c>
      <c r="F203">
        <v>11.249000000000001</v>
      </c>
      <c r="G203">
        <v>1.4036261000977865</v>
      </c>
      <c r="H203">
        <f t="shared" si="7"/>
        <v>157.8939</v>
      </c>
    </row>
    <row r="204" spans="1:8" x14ac:dyDescent="0.15">
      <c r="A204" t="s">
        <v>30</v>
      </c>
      <c r="B204" t="s">
        <v>1156</v>
      </c>
      <c r="C204">
        <v>0</v>
      </c>
      <c r="E204">
        <f t="shared" si="6"/>
        <v>0</v>
      </c>
      <c r="F204">
        <v>5209.0140000000001</v>
      </c>
      <c r="G204">
        <v>6.792347407781972E-3</v>
      </c>
      <c r="H204">
        <f t="shared" si="7"/>
        <v>353.81432740000002</v>
      </c>
    </row>
    <row r="205" spans="1:8" x14ac:dyDescent="0.15">
      <c r="A205" t="s">
        <v>30</v>
      </c>
      <c r="B205" t="s">
        <v>1189</v>
      </c>
      <c r="C205">
        <v>0</v>
      </c>
      <c r="E205">
        <f t="shared" si="6"/>
        <v>0</v>
      </c>
      <c r="F205">
        <v>0.390235</v>
      </c>
      <c r="G205">
        <v>1.35</v>
      </c>
      <c r="H205">
        <f t="shared" si="7"/>
        <v>5.2681725000000004</v>
      </c>
    </row>
    <row r="206" spans="1:8" x14ac:dyDescent="0.15">
      <c r="A206" t="s">
        <v>30</v>
      </c>
      <c r="B206" t="s">
        <v>1180</v>
      </c>
      <c r="C206">
        <v>0</v>
      </c>
      <c r="E206">
        <f t="shared" si="6"/>
        <v>0</v>
      </c>
      <c r="F206">
        <v>2</v>
      </c>
      <c r="G206">
        <v>0.33</v>
      </c>
      <c r="H206">
        <f t="shared" si="7"/>
        <v>6.6000000000000005</v>
      </c>
    </row>
    <row r="207" spans="1:8" x14ac:dyDescent="0.15">
      <c r="A207" t="s">
        <v>30</v>
      </c>
      <c r="B207" t="s">
        <v>1161</v>
      </c>
      <c r="C207">
        <v>0</v>
      </c>
      <c r="E207">
        <f t="shared" si="6"/>
        <v>0</v>
      </c>
      <c r="F207">
        <v>910.88631599999997</v>
      </c>
      <c r="G207">
        <v>0.24468591773202134</v>
      </c>
      <c r="H207">
        <f t="shared" si="7"/>
        <v>2228.8105417999996</v>
      </c>
    </row>
    <row r="208" spans="1:8" x14ac:dyDescent="0.15">
      <c r="A208" t="s">
        <v>30</v>
      </c>
      <c r="B208" t="s">
        <v>1154</v>
      </c>
      <c r="C208">
        <v>0</v>
      </c>
      <c r="E208">
        <f t="shared" si="6"/>
        <v>0</v>
      </c>
      <c r="F208">
        <v>2411.5100000000002</v>
      </c>
      <c r="G208">
        <v>0.11597529763509169</v>
      </c>
      <c r="H208">
        <f t="shared" si="7"/>
        <v>2796.7559000000001</v>
      </c>
    </row>
    <row r="209" spans="1:8" x14ac:dyDescent="0.15">
      <c r="A209" t="s">
        <v>30</v>
      </c>
      <c r="B209" t="s">
        <v>1169</v>
      </c>
      <c r="C209">
        <v>0</v>
      </c>
      <c r="E209">
        <f t="shared" si="6"/>
        <v>0</v>
      </c>
      <c r="F209">
        <v>0.95699999999999996</v>
      </c>
      <c r="G209">
        <v>0.4439080459770115</v>
      </c>
      <c r="H209">
        <f t="shared" si="7"/>
        <v>4.2481999999999998</v>
      </c>
    </row>
    <row r="210" spans="1:8" x14ac:dyDescent="0.15">
      <c r="A210" t="s">
        <v>30</v>
      </c>
      <c r="B210" t="s">
        <v>921</v>
      </c>
      <c r="C210">
        <v>1028.048</v>
      </c>
      <c r="D210">
        <v>0.27110823619130625</v>
      </c>
      <c r="E210">
        <f t="shared" si="6"/>
        <v>2787.1228000000001</v>
      </c>
      <c r="F210">
        <v>2165.4</v>
      </c>
      <c r="G210">
        <v>0.26343677842430957</v>
      </c>
      <c r="H210">
        <f t="shared" si="7"/>
        <v>5704.4599999999991</v>
      </c>
    </row>
    <row r="211" spans="1:8" x14ac:dyDescent="0.15">
      <c r="A211" t="s">
        <v>30</v>
      </c>
      <c r="B211" t="s">
        <v>1162</v>
      </c>
      <c r="C211">
        <v>0</v>
      </c>
      <c r="E211">
        <f t="shared" si="6"/>
        <v>0</v>
      </c>
      <c r="F211">
        <v>0.11600000000000001</v>
      </c>
      <c r="G211">
        <v>3.16</v>
      </c>
      <c r="H211">
        <f t="shared" si="7"/>
        <v>3.6656000000000004</v>
      </c>
    </row>
    <row r="212" spans="1:8" x14ac:dyDescent="0.15">
      <c r="A212" t="s">
        <v>30</v>
      </c>
      <c r="B212" t="s">
        <v>517</v>
      </c>
      <c r="C212">
        <v>11.131</v>
      </c>
      <c r="D212">
        <v>1.6826646303117418</v>
      </c>
      <c r="E212">
        <f t="shared" si="6"/>
        <v>187.29739999999998</v>
      </c>
      <c r="F212">
        <v>19.954999999999998</v>
      </c>
      <c r="G212">
        <v>1.4756592332748686</v>
      </c>
      <c r="H212">
        <f t="shared" si="7"/>
        <v>294.46780000000001</v>
      </c>
    </row>
    <row r="213" spans="1:8" x14ac:dyDescent="0.15">
      <c r="A213" t="s">
        <v>30</v>
      </c>
      <c r="B213" t="s">
        <v>1206</v>
      </c>
      <c r="C213">
        <v>0</v>
      </c>
      <c r="E213">
        <f t="shared" si="6"/>
        <v>0</v>
      </c>
      <c r="F213">
        <v>0.82555200000000006</v>
      </c>
      <c r="G213">
        <v>0.05</v>
      </c>
      <c r="H213">
        <f t="shared" si="7"/>
        <v>0.41277600000000003</v>
      </c>
    </row>
    <row r="214" spans="1:8" x14ac:dyDescent="0.15">
      <c r="A214" t="s">
        <v>30</v>
      </c>
      <c r="B214" t="s">
        <v>1190</v>
      </c>
      <c r="C214">
        <v>0</v>
      </c>
      <c r="E214">
        <f t="shared" si="6"/>
        <v>0</v>
      </c>
      <c r="F214">
        <v>46</v>
      </c>
      <c r="G214">
        <v>0.6631304347826088</v>
      </c>
      <c r="H214">
        <f t="shared" si="7"/>
        <v>305.04000000000008</v>
      </c>
    </row>
    <row r="215" spans="1:8" x14ac:dyDescent="0.15">
      <c r="A215" t="s">
        <v>30</v>
      </c>
      <c r="B215" t="s">
        <v>1191</v>
      </c>
      <c r="C215">
        <v>0</v>
      </c>
      <c r="E215">
        <f t="shared" si="6"/>
        <v>0</v>
      </c>
      <c r="F215">
        <v>69.430000000000007</v>
      </c>
      <c r="G215">
        <v>9.5406884632003447E-3</v>
      </c>
      <c r="H215">
        <f t="shared" si="7"/>
        <v>6.6240999999999994</v>
      </c>
    </row>
    <row r="216" spans="1:8" x14ac:dyDescent="0.15">
      <c r="A216" t="s">
        <v>30</v>
      </c>
      <c r="B216" t="s">
        <v>1163</v>
      </c>
      <c r="C216">
        <v>0</v>
      </c>
      <c r="E216">
        <f t="shared" si="6"/>
        <v>0</v>
      </c>
      <c r="F216">
        <v>18.563400000000001</v>
      </c>
      <c r="G216">
        <v>0.67314295872523344</v>
      </c>
      <c r="H216">
        <f t="shared" si="7"/>
        <v>124.95821999999998</v>
      </c>
    </row>
    <row r="217" spans="1:8" x14ac:dyDescent="0.15">
      <c r="A217" t="s">
        <v>30</v>
      </c>
      <c r="B217" t="s">
        <v>1164</v>
      </c>
      <c r="C217">
        <v>0</v>
      </c>
      <c r="E217">
        <f t="shared" si="6"/>
        <v>0</v>
      </c>
      <c r="F217">
        <v>3.86</v>
      </c>
      <c r="G217">
        <v>0.61852849740932636</v>
      </c>
      <c r="H217">
        <f t="shared" si="7"/>
        <v>23.8752</v>
      </c>
    </row>
    <row r="218" spans="1:8" x14ac:dyDescent="0.15">
      <c r="A218" t="s">
        <v>30</v>
      </c>
      <c r="B218" t="s">
        <v>1165</v>
      </c>
      <c r="C218">
        <v>0</v>
      </c>
      <c r="E218">
        <f t="shared" si="6"/>
        <v>0</v>
      </c>
      <c r="F218">
        <v>1.264</v>
      </c>
      <c r="G218">
        <v>0.62572784810126592</v>
      </c>
      <c r="H218">
        <f t="shared" si="7"/>
        <v>7.909200000000002</v>
      </c>
    </row>
    <row r="219" spans="1:8" x14ac:dyDescent="0.15">
      <c r="A219" t="s">
        <v>30</v>
      </c>
      <c r="B219" t="s">
        <v>1181</v>
      </c>
      <c r="C219">
        <v>0</v>
      </c>
      <c r="E219">
        <f t="shared" si="6"/>
        <v>0</v>
      </c>
      <c r="F219">
        <v>7.2570000000000006</v>
      </c>
      <c r="G219">
        <v>0.63465894997933026</v>
      </c>
      <c r="H219">
        <f t="shared" si="7"/>
        <v>46.057199999999995</v>
      </c>
    </row>
    <row r="220" spans="1:8" x14ac:dyDescent="0.15">
      <c r="A220" t="s">
        <v>30</v>
      </c>
      <c r="B220" t="s">
        <v>531</v>
      </c>
      <c r="C220">
        <v>38.878</v>
      </c>
      <c r="D220">
        <v>6.8719327125880969E-2</v>
      </c>
      <c r="E220">
        <f t="shared" si="6"/>
        <v>26.716700000000003</v>
      </c>
      <c r="F220">
        <v>81.214999999999989</v>
      </c>
      <c r="G220">
        <v>7.0357938804408063E-2</v>
      </c>
      <c r="H220">
        <f t="shared" si="7"/>
        <v>57.141200000000005</v>
      </c>
    </row>
    <row r="221" spans="1:8" x14ac:dyDescent="0.15">
      <c r="A221" t="s">
        <v>30</v>
      </c>
      <c r="B221" t="s">
        <v>1192</v>
      </c>
      <c r="C221">
        <v>0</v>
      </c>
      <c r="E221">
        <f t="shared" si="6"/>
        <v>0</v>
      </c>
      <c r="F221">
        <v>1.4</v>
      </c>
      <c r="G221">
        <v>0.7</v>
      </c>
      <c r="H221">
        <f t="shared" si="7"/>
        <v>9.7999999999999989</v>
      </c>
    </row>
    <row r="222" spans="1:8" x14ac:dyDescent="0.15">
      <c r="A222" t="s">
        <v>30</v>
      </c>
      <c r="B222" t="s">
        <v>1193</v>
      </c>
      <c r="C222">
        <v>0</v>
      </c>
      <c r="E222">
        <f t="shared" si="6"/>
        <v>0</v>
      </c>
      <c r="F222">
        <v>3.0909999999999997</v>
      </c>
      <c r="G222">
        <v>0.97181494661921708</v>
      </c>
      <c r="H222">
        <f t="shared" si="7"/>
        <v>30.038799999999995</v>
      </c>
    </row>
    <row r="223" spans="1:8" x14ac:dyDescent="0.15">
      <c r="A223" t="s">
        <v>30</v>
      </c>
      <c r="B223" t="s">
        <v>532</v>
      </c>
      <c r="C223">
        <v>0</v>
      </c>
      <c r="E223">
        <f t="shared" si="6"/>
        <v>0</v>
      </c>
      <c r="F223">
        <v>1.2383799999999998</v>
      </c>
      <c r="G223">
        <v>0.94967024661250998</v>
      </c>
      <c r="H223">
        <f t="shared" si="7"/>
        <v>11.7605264</v>
      </c>
    </row>
    <row r="224" spans="1:8" x14ac:dyDescent="0.15">
      <c r="A224" t="s">
        <v>30</v>
      </c>
      <c r="B224" t="s">
        <v>1194</v>
      </c>
      <c r="C224">
        <v>0</v>
      </c>
      <c r="E224">
        <f t="shared" si="6"/>
        <v>0</v>
      </c>
      <c r="F224">
        <v>4.3019999999999996</v>
      </c>
      <c r="G224">
        <v>0.7893723849372386</v>
      </c>
      <c r="H224">
        <f t="shared" si="7"/>
        <v>33.958799999999997</v>
      </c>
    </row>
    <row r="225" spans="1:8" x14ac:dyDescent="0.15">
      <c r="A225" t="s">
        <v>30</v>
      </c>
      <c r="B225" t="s">
        <v>1195</v>
      </c>
      <c r="C225">
        <v>0</v>
      </c>
      <c r="E225">
        <f t="shared" si="6"/>
        <v>0</v>
      </c>
      <c r="F225">
        <v>7.8730000000000002</v>
      </c>
      <c r="G225">
        <v>0.58093611075828777</v>
      </c>
      <c r="H225">
        <f t="shared" si="7"/>
        <v>45.737099999999998</v>
      </c>
    </row>
    <row r="226" spans="1:8" x14ac:dyDescent="0.15">
      <c r="A226" t="s">
        <v>30</v>
      </c>
      <c r="B226" t="s">
        <v>1166</v>
      </c>
      <c r="C226">
        <v>0</v>
      </c>
      <c r="E226">
        <f t="shared" si="6"/>
        <v>0</v>
      </c>
      <c r="F226">
        <v>0.2</v>
      </c>
      <c r="G226">
        <v>0.85</v>
      </c>
      <c r="H226">
        <f t="shared" si="7"/>
        <v>1.7000000000000002</v>
      </c>
    </row>
    <row r="227" spans="1:8" x14ac:dyDescent="0.15">
      <c r="A227" t="s">
        <v>30</v>
      </c>
      <c r="B227" t="s">
        <v>1196</v>
      </c>
      <c r="C227">
        <v>0</v>
      </c>
      <c r="E227">
        <f t="shared" si="6"/>
        <v>0</v>
      </c>
      <c r="F227">
        <v>33.199999999999996</v>
      </c>
      <c r="G227">
        <v>0.18</v>
      </c>
      <c r="H227">
        <f t="shared" si="7"/>
        <v>59.759999999999991</v>
      </c>
    </row>
    <row r="228" spans="1:8" x14ac:dyDescent="0.15">
      <c r="A228" t="s">
        <v>30</v>
      </c>
      <c r="B228" t="s">
        <v>1184</v>
      </c>
      <c r="C228">
        <v>0</v>
      </c>
      <c r="E228">
        <f t="shared" si="6"/>
        <v>0</v>
      </c>
      <c r="F228">
        <v>5.2889999999999997</v>
      </c>
      <c r="G228">
        <v>0.86812535450935913</v>
      </c>
      <c r="H228">
        <f t="shared" si="7"/>
        <v>45.915150000000004</v>
      </c>
    </row>
    <row r="229" spans="1:8" x14ac:dyDescent="0.15">
      <c r="A229" t="s">
        <v>30</v>
      </c>
      <c r="B229" t="s">
        <v>1185</v>
      </c>
      <c r="C229">
        <v>0</v>
      </c>
      <c r="E229">
        <f t="shared" si="6"/>
        <v>0</v>
      </c>
      <c r="F229">
        <v>56.197999999999993</v>
      </c>
      <c r="G229">
        <v>0.30392573821066554</v>
      </c>
      <c r="H229">
        <f t="shared" si="7"/>
        <v>170.80018635962978</v>
      </c>
    </row>
    <row r="230" spans="1:8" x14ac:dyDescent="0.15">
      <c r="A230" t="s">
        <v>30</v>
      </c>
      <c r="B230" t="s">
        <v>1170</v>
      </c>
      <c r="C230">
        <v>0</v>
      </c>
      <c r="E230">
        <f t="shared" si="6"/>
        <v>0</v>
      </c>
      <c r="F230">
        <v>58.055999999999997</v>
      </c>
      <c r="G230">
        <v>0.31970235634559735</v>
      </c>
      <c r="H230">
        <f t="shared" si="7"/>
        <v>185.60640000000001</v>
      </c>
    </row>
    <row r="231" spans="1:8" x14ac:dyDescent="0.15">
      <c r="A231" t="s">
        <v>30</v>
      </c>
      <c r="B231" t="s">
        <v>1197</v>
      </c>
      <c r="C231">
        <v>0</v>
      </c>
      <c r="E231">
        <f t="shared" si="6"/>
        <v>0</v>
      </c>
      <c r="F231">
        <v>1.8</v>
      </c>
      <c r="G231">
        <v>0.47</v>
      </c>
      <c r="H231">
        <f t="shared" si="7"/>
        <v>8.4599999999999991</v>
      </c>
    </row>
    <row r="232" spans="1:8" x14ac:dyDescent="0.15">
      <c r="A232" t="s">
        <v>30</v>
      </c>
      <c r="B232" t="s">
        <v>1198</v>
      </c>
      <c r="C232">
        <v>0</v>
      </c>
      <c r="E232">
        <f t="shared" si="6"/>
        <v>0</v>
      </c>
      <c r="F232">
        <v>2.4572249999999998</v>
      </c>
      <c r="G232">
        <v>0.66919188922463357</v>
      </c>
      <c r="H232">
        <f t="shared" si="7"/>
        <v>16.443550399999999</v>
      </c>
    </row>
    <row r="233" spans="1:8" x14ac:dyDescent="0.15">
      <c r="A233" t="s">
        <v>30</v>
      </c>
      <c r="B233" t="s">
        <v>1155</v>
      </c>
      <c r="C233">
        <v>0</v>
      </c>
      <c r="E233">
        <f t="shared" si="6"/>
        <v>0</v>
      </c>
      <c r="F233">
        <v>30.496085000000001</v>
      </c>
      <c r="G233">
        <v>0.16020000000000001</v>
      </c>
      <c r="H233">
        <f t="shared" si="7"/>
        <v>48.854728170000001</v>
      </c>
    </row>
    <row r="234" spans="1:8" x14ac:dyDescent="0.15">
      <c r="A234" t="s">
        <v>30</v>
      </c>
      <c r="B234" t="s">
        <v>1171</v>
      </c>
      <c r="C234">
        <v>0</v>
      </c>
      <c r="E234">
        <f t="shared" si="6"/>
        <v>0</v>
      </c>
      <c r="F234">
        <v>9.2609999999999998E-2</v>
      </c>
      <c r="G234">
        <v>0.53</v>
      </c>
      <c r="H234">
        <f t="shared" si="7"/>
        <v>0.49083300000000002</v>
      </c>
    </row>
    <row r="235" spans="1:8" x14ac:dyDescent="0.15">
      <c r="A235" t="s">
        <v>30</v>
      </c>
      <c r="B235" t="s">
        <v>543</v>
      </c>
      <c r="C235">
        <v>11.27</v>
      </c>
      <c r="D235">
        <v>2.7883850931677019</v>
      </c>
      <c r="E235">
        <f t="shared" si="6"/>
        <v>314.25099999999998</v>
      </c>
      <c r="F235">
        <v>34.700000000000003</v>
      </c>
      <c r="G235">
        <v>3.2018731988472617</v>
      </c>
      <c r="H235">
        <f t="shared" si="7"/>
        <v>1111.05</v>
      </c>
    </row>
    <row r="236" spans="1:8" x14ac:dyDescent="0.15">
      <c r="A236" t="s">
        <v>30</v>
      </c>
      <c r="B236" t="s">
        <v>1186</v>
      </c>
      <c r="C236">
        <v>0</v>
      </c>
      <c r="E236">
        <f t="shared" si="6"/>
        <v>0</v>
      </c>
      <c r="F236">
        <v>26.828806999999998</v>
      </c>
      <c r="G236">
        <v>0.88430079313627319</v>
      </c>
      <c r="H236">
        <f t="shared" si="7"/>
        <v>237.24735308999996</v>
      </c>
    </row>
    <row r="237" spans="1:8" x14ac:dyDescent="0.15">
      <c r="A237" t="s">
        <v>30</v>
      </c>
      <c r="B237" t="s">
        <v>1187</v>
      </c>
      <c r="C237">
        <v>0</v>
      </c>
      <c r="E237">
        <f t="shared" si="6"/>
        <v>0</v>
      </c>
      <c r="F237">
        <v>7.4180000000000001</v>
      </c>
      <c r="G237">
        <v>0.59041790239956859</v>
      </c>
      <c r="H237">
        <f t="shared" si="7"/>
        <v>43.797199999999997</v>
      </c>
    </row>
    <row r="238" spans="1:8" x14ac:dyDescent="0.15">
      <c r="A238" t="s">
        <v>30</v>
      </c>
      <c r="B238" t="s">
        <v>1199</v>
      </c>
      <c r="C238">
        <v>0</v>
      </c>
      <c r="E238">
        <f t="shared" si="6"/>
        <v>0</v>
      </c>
      <c r="F238">
        <v>151.56119999999999</v>
      </c>
      <c r="G238">
        <v>0.02</v>
      </c>
      <c r="H238">
        <f t="shared" si="7"/>
        <v>30.312239999999999</v>
      </c>
    </row>
    <row r="239" spans="1:8" x14ac:dyDescent="0.15">
      <c r="A239" t="s">
        <v>30</v>
      </c>
      <c r="B239" t="s">
        <v>1157</v>
      </c>
      <c r="C239">
        <v>0</v>
      </c>
      <c r="E239">
        <f t="shared" si="6"/>
        <v>0</v>
      </c>
      <c r="F239">
        <v>0.55579999999999996</v>
      </c>
      <c r="G239">
        <v>5.6171284634760704E-2</v>
      </c>
      <c r="H239">
        <f t="shared" si="7"/>
        <v>0.31219999999999998</v>
      </c>
    </row>
    <row r="240" spans="1:8" x14ac:dyDescent="0.15">
      <c r="A240" t="s">
        <v>30</v>
      </c>
      <c r="B240" t="s">
        <v>927</v>
      </c>
      <c r="C240">
        <v>11.827999999999999</v>
      </c>
      <c r="D240">
        <v>0.33</v>
      </c>
      <c r="E240">
        <f t="shared" si="6"/>
        <v>39.032399999999996</v>
      </c>
      <c r="F240">
        <v>15.248000000000001</v>
      </c>
      <c r="G240">
        <v>0.35287644281217201</v>
      </c>
      <c r="H240">
        <f t="shared" si="7"/>
        <v>53.806599999999989</v>
      </c>
    </row>
    <row r="241" spans="1:8" x14ac:dyDescent="0.15">
      <c r="A241" t="s">
        <v>30</v>
      </c>
      <c r="B241" t="s">
        <v>1167</v>
      </c>
      <c r="C241">
        <v>0</v>
      </c>
      <c r="E241">
        <f t="shared" si="6"/>
        <v>0</v>
      </c>
      <c r="F241">
        <v>1.8680000000000001</v>
      </c>
      <c r="G241">
        <v>1.3772526966719367</v>
      </c>
      <c r="H241">
        <f t="shared" si="7"/>
        <v>25.727080373831779</v>
      </c>
    </row>
    <row r="242" spans="1:8" x14ac:dyDescent="0.15">
      <c r="A242" t="s">
        <v>30</v>
      </c>
      <c r="B242" t="s">
        <v>922</v>
      </c>
      <c r="C242">
        <v>0.872</v>
      </c>
      <c r="D242">
        <v>0.7</v>
      </c>
      <c r="E242">
        <f t="shared" si="6"/>
        <v>6.1039999999999992</v>
      </c>
      <c r="F242">
        <v>0.79249999999999998</v>
      </c>
      <c r="G242">
        <v>0.81000000000000016</v>
      </c>
      <c r="H242">
        <f t="shared" si="7"/>
        <v>6.4192500000000008</v>
      </c>
    </row>
    <row r="243" spans="1:8" x14ac:dyDescent="0.15">
      <c r="A243" t="s">
        <v>30</v>
      </c>
      <c r="B243" t="s">
        <v>923</v>
      </c>
      <c r="C243">
        <v>0.25990000000000002</v>
      </c>
      <c r="D243">
        <v>1.0468064640246248</v>
      </c>
      <c r="E243">
        <f t="shared" si="6"/>
        <v>2.72065</v>
      </c>
      <c r="F243">
        <v>1.3359999999999999</v>
      </c>
      <c r="G243">
        <v>1.5268637724550898</v>
      </c>
      <c r="H243">
        <f t="shared" si="7"/>
        <v>20.398899999999998</v>
      </c>
    </row>
    <row r="244" spans="1:8" x14ac:dyDescent="0.15">
      <c r="A244" t="s">
        <v>30</v>
      </c>
      <c r="B244" t="s">
        <v>1200</v>
      </c>
      <c r="C244">
        <v>0</v>
      </c>
      <c r="E244">
        <f t="shared" si="6"/>
        <v>0</v>
      </c>
      <c r="F244">
        <v>2.9250000000000003</v>
      </c>
      <c r="G244">
        <v>0.93466666666666665</v>
      </c>
      <c r="H244">
        <f t="shared" si="7"/>
        <v>27.339000000000002</v>
      </c>
    </row>
    <row r="245" spans="1:8" x14ac:dyDescent="0.15">
      <c r="A245" t="s">
        <v>30</v>
      </c>
      <c r="B245" t="s">
        <v>1201</v>
      </c>
      <c r="C245">
        <v>0</v>
      </c>
      <c r="E245">
        <f t="shared" si="6"/>
        <v>0</v>
      </c>
      <c r="F245">
        <v>2.5099999999999998</v>
      </c>
      <c r="G245">
        <v>0.68625498007968144</v>
      </c>
      <c r="H245">
        <f t="shared" si="7"/>
        <v>17.225000000000005</v>
      </c>
    </row>
    <row r="246" spans="1:8" x14ac:dyDescent="0.15">
      <c r="A246" t="s">
        <v>30</v>
      </c>
      <c r="B246" t="s">
        <v>924</v>
      </c>
      <c r="C246">
        <v>20.77</v>
      </c>
      <c r="D246">
        <v>1.8389118921521426</v>
      </c>
      <c r="E246">
        <f t="shared" si="6"/>
        <v>381.94200000000001</v>
      </c>
      <c r="F246">
        <v>53.93</v>
      </c>
      <c r="G246">
        <v>1.4900092712775821</v>
      </c>
      <c r="H246">
        <f t="shared" si="7"/>
        <v>803.56200000000001</v>
      </c>
    </row>
    <row r="247" spans="1:8" x14ac:dyDescent="0.15">
      <c r="A247" t="s">
        <v>30</v>
      </c>
      <c r="B247" t="s">
        <v>925</v>
      </c>
      <c r="C247">
        <v>61.699999999999996</v>
      </c>
      <c r="D247">
        <v>1.3987196110210696</v>
      </c>
      <c r="E247">
        <f t="shared" si="6"/>
        <v>863.00999999999988</v>
      </c>
      <c r="F247">
        <v>61.699999999999996</v>
      </c>
      <c r="G247">
        <v>1.3987196110210696</v>
      </c>
      <c r="H247">
        <f t="shared" si="7"/>
        <v>863.00999999999988</v>
      </c>
    </row>
    <row r="248" spans="1:8" x14ac:dyDescent="0.15">
      <c r="A248" t="s">
        <v>30</v>
      </c>
      <c r="B248" t="s">
        <v>1172</v>
      </c>
      <c r="C248">
        <v>0</v>
      </c>
      <c r="E248">
        <f t="shared" si="6"/>
        <v>0</v>
      </c>
      <c r="F248">
        <v>0.66100000000000003</v>
      </c>
      <c r="G248">
        <v>0.56999999999999995</v>
      </c>
      <c r="H248">
        <f t="shared" si="7"/>
        <v>3.7677</v>
      </c>
    </row>
    <row r="249" spans="1:8" x14ac:dyDescent="0.15">
      <c r="A249" t="s">
        <v>30</v>
      </c>
      <c r="B249" t="s">
        <v>1178</v>
      </c>
      <c r="C249">
        <v>0</v>
      </c>
      <c r="E249">
        <f t="shared" si="6"/>
        <v>0</v>
      </c>
      <c r="F249">
        <v>2.1500000000000004</v>
      </c>
      <c r="G249">
        <v>1.2439534883720929</v>
      </c>
      <c r="H249">
        <f t="shared" si="7"/>
        <v>26.745000000000001</v>
      </c>
    </row>
    <row r="250" spans="1:8" x14ac:dyDescent="0.15">
      <c r="A250" t="s">
        <v>30</v>
      </c>
      <c r="B250" t="s">
        <v>926</v>
      </c>
      <c r="C250">
        <v>0.76096000000000008</v>
      </c>
      <c r="D250">
        <v>2.1017069753994959</v>
      </c>
      <c r="E250">
        <f t="shared" si="6"/>
        <v>15.993149400000007</v>
      </c>
      <c r="F250">
        <v>12.31096</v>
      </c>
      <c r="G250">
        <v>0.64075546829816687</v>
      </c>
      <c r="H250">
        <f t="shared" si="7"/>
        <v>78.883149399999994</v>
      </c>
    </row>
    <row r="251" spans="1:8" x14ac:dyDescent="0.15">
      <c r="A251" t="s">
        <v>30</v>
      </c>
      <c r="B251" t="s">
        <v>1175</v>
      </c>
      <c r="C251">
        <v>0</v>
      </c>
      <c r="E251">
        <f t="shared" si="6"/>
        <v>0</v>
      </c>
      <c r="F251">
        <v>0.22</v>
      </c>
      <c r="G251">
        <v>2.4309090909090907</v>
      </c>
      <c r="H251">
        <f t="shared" si="7"/>
        <v>5.347999999999999</v>
      </c>
    </row>
    <row r="252" spans="1:8" x14ac:dyDescent="0.15">
      <c r="A252" t="s">
        <v>30</v>
      </c>
      <c r="B252" t="s">
        <v>1176</v>
      </c>
      <c r="C252">
        <v>0</v>
      </c>
      <c r="E252">
        <f t="shared" si="6"/>
        <v>0</v>
      </c>
      <c r="F252">
        <v>2.3600000000000003</v>
      </c>
      <c r="G252">
        <v>1.0179661016949151</v>
      </c>
      <c r="H252">
        <f t="shared" si="7"/>
        <v>24.024000000000001</v>
      </c>
    </row>
    <row r="253" spans="1:8" x14ac:dyDescent="0.15">
      <c r="A253" t="s">
        <v>30</v>
      </c>
      <c r="B253" t="s">
        <v>1173</v>
      </c>
      <c r="C253">
        <v>0</v>
      </c>
      <c r="E253">
        <f t="shared" si="6"/>
        <v>0</v>
      </c>
      <c r="F253">
        <v>0.35099999999999998</v>
      </c>
      <c r="G253">
        <v>0.58803418803418805</v>
      </c>
      <c r="H253">
        <f t="shared" si="7"/>
        <v>2.0640000000000001</v>
      </c>
    </row>
    <row r="254" spans="1:8" x14ac:dyDescent="0.15">
      <c r="A254" t="s">
        <v>30</v>
      </c>
      <c r="B254" t="s">
        <v>1174</v>
      </c>
      <c r="C254">
        <v>0</v>
      </c>
      <c r="E254">
        <f t="shared" si="6"/>
        <v>0</v>
      </c>
      <c r="F254">
        <v>7.4399999999999995</v>
      </c>
      <c r="G254">
        <v>0.67852150537634415</v>
      </c>
      <c r="H254">
        <f t="shared" si="7"/>
        <v>50.482000000000006</v>
      </c>
    </row>
    <row r="255" spans="1:8" x14ac:dyDescent="0.15">
      <c r="A255" t="s">
        <v>30</v>
      </c>
      <c r="B255" t="s">
        <v>1177</v>
      </c>
      <c r="C255">
        <v>0</v>
      </c>
      <c r="E255">
        <f t="shared" si="6"/>
        <v>0</v>
      </c>
      <c r="F255">
        <v>14.2</v>
      </c>
      <c r="G255">
        <v>2.5</v>
      </c>
      <c r="H255">
        <f t="shared" si="7"/>
        <v>355</v>
      </c>
    </row>
    <row r="256" spans="1:8" x14ac:dyDescent="0.15">
      <c r="A256" t="s">
        <v>30</v>
      </c>
      <c r="B256" t="s">
        <v>1179</v>
      </c>
      <c r="C256">
        <v>0</v>
      </c>
      <c r="E256">
        <f t="shared" si="6"/>
        <v>0</v>
      </c>
      <c r="F256">
        <v>10.55</v>
      </c>
      <c r="G256">
        <v>0.43672985781990525</v>
      </c>
      <c r="H256">
        <f t="shared" si="7"/>
        <v>46.07500000000001</v>
      </c>
    </row>
    <row r="257" spans="1:8" x14ac:dyDescent="0.15">
      <c r="A257" t="s">
        <v>30</v>
      </c>
      <c r="B257" t="s">
        <v>1205</v>
      </c>
      <c r="C257">
        <v>0</v>
      </c>
      <c r="E257">
        <f t="shared" si="6"/>
        <v>0</v>
      </c>
      <c r="F257">
        <v>0.453592</v>
      </c>
      <c r="G257">
        <v>0.5</v>
      </c>
      <c r="H257">
        <f t="shared" si="7"/>
        <v>2.26796</v>
      </c>
    </row>
    <row r="258" spans="1:8" x14ac:dyDescent="0.15">
      <c r="A258" t="s">
        <v>30</v>
      </c>
      <c r="B258" t="s">
        <v>1168</v>
      </c>
      <c r="C258">
        <v>0</v>
      </c>
      <c r="E258">
        <f t="shared" ref="E258:E321" si="8">C258*D258*10</f>
        <v>0</v>
      </c>
      <c r="F258">
        <v>3.19</v>
      </c>
      <c r="G258">
        <v>0.92</v>
      </c>
      <c r="H258">
        <f t="shared" ref="H258:H321" si="9">F258*G258*10</f>
        <v>29.347999999999999</v>
      </c>
    </row>
    <row r="259" spans="1:8" x14ac:dyDescent="0.15">
      <c r="A259" t="s">
        <v>30</v>
      </c>
      <c r="B259" t="s">
        <v>552</v>
      </c>
      <c r="C259">
        <v>15.965999999999999</v>
      </c>
      <c r="D259">
        <v>1.6665157209069272</v>
      </c>
      <c r="E259">
        <f t="shared" si="8"/>
        <v>266.07589999999999</v>
      </c>
      <c r="F259">
        <v>15.965999999999999</v>
      </c>
      <c r="G259">
        <v>1.6665157209069272</v>
      </c>
      <c r="H259">
        <f t="shared" si="9"/>
        <v>266.07589999999999</v>
      </c>
    </row>
    <row r="260" spans="1:8" x14ac:dyDescent="0.15">
      <c r="A260" t="s">
        <v>30</v>
      </c>
      <c r="B260" t="s">
        <v>1202</v>
      </c>
      <c r="C260">
        <v>0</v>
      </c>
      <c r="E260">
        <f t="shared" si="8"/>
        <v>0</v>
      </c>
      <c r="F260">
        <v>10.354000000000001</v>
      </c>
      <c r="G260">
        <v>0.18838902839482327</v>
      </c>
      <c r="H260">
        <f t="shared" si="9"/>
        <v>19.505800000000004</v>
      </c>
    </row>
    <row r="261" spans="1:8" x14ac:dyDescent="0.15">
      <c r="A261" t="s">
        <v>30</v>
      </c>
      <c r="B261" t="s">
        <v>1159</v>
      </c>
      <c r="C261">
        <v>0</v>
      </c>
      <c r="E261">
        <f t="shared" si="8"/>
        <v>0</v>
      </c>
      <c r="F261">
        <v>2215.42</v>
      </c>
      <c r="G261">
        <v>0.22002126007709599</v>
      </c>
      <c r="H261">
        <f t="shared" si="9"/>
        <v>4874.3950000000004</v>
      </c>
    </row>
    <row r="262" spans="1:8" x14ac:dyDescent="0.15">
      <c r="A262" t="s">
        <v>30</v>
      </c>
      <c r="B262" t="s">
        <v>554</v>
      </c>
      <c r="C262">
        <v>31</v>
      </c>
      <c r="D262">
        <v>2.12</v>
      </c>
      <c r="E262">
        <f t="shared" si="8"/>
        <v>657.2</v>
      </c>
      <c r="F262">
        <v>31</v>
      </c>
      <c r="G262">
        <v>2.12</v>
      </c>
      <c r="H262">
        <f t="shared" si="9"/>
        <v>657.2</v>
      </c>
    </row>
    <row r="263" spans="1:8" x14ac:dyDescent="0.15">
      <c r="A263" t="s">
        <v>30</v>
      </c>
      <c r="B263" t="s">
        <v>1158</v>
      </c>
      <c r="C263">
        <v>0</v>
      </c>
      <c r="E263">
        <f t="shared" si="8"/>
        <v>0</v>
      </c>
      <c r="F263">
        <v>0.696689</v>
      </c>
      <c r="G263">
        <v>3.3138918513138577E-2</v>
      </c>
      <c r="H263">
        <f t="shared" si="9"/>
        <v>0.2308752</v>
      </c>
    </row>
    <row r="264" spans="1:8" x14ac:dyDescent="0.15">
      <c r="A264" t="s">
        <v>30</v>
      </c>
      <c r="B264" t="s">
        <v>1203</v>
      </c>
      <c r="C264">
        <v>0</v>
      </c>
      <c r="E264">
        <f t="shared" si="8"/>
        <v>0</v>
      </c>
      <c r="F264">
        <v>431.5</v>
      </c>
      <c r="G264">
        <v>0.27068597914252607</v>
      </c>
      <c r="H264">
        <f t="shared" si="9"/>
        <v>1168.01</v>
      </c>
    </row>
    <row r="265" spans="1:8" x14ac:dyDescent="0.15">
      <c r="A265" t="s">
        <v>30</v>
      </c>
      <c r="B265" t="s">
        <v>1183</v>
      </c>
      <c r="C265">
        <v>0</v>
      </c>
      <c r="E265">
        <f t="shared" si="8"/>
        <v>0</v>
      </c>
      <c r="F265">
        <v>0.17239599999999999</v>
      </c>
      <c r="G265">
        <v>0.62</v>
      </c>
      <c r="H265">
        <f t="shared" si="9"/>
        <v>1.0688552</v>
      </c>
    </row>
    <row r="266" spans="1:8" x14ac:dyDescent="0.15">
      <c r="A266" t="s">
        <v>30</v>
      </c>
      <c r="B266" t="s">
        <v>1182</v>
      </c>
      <c r="C266">
        <v>0</v>
      </c>
      <c r="E266">
        <f t="shared" si="8"/>
        <v>0</v>
      </c>
      <c r="F266">
        <v>1.01</v>
      </c>
      <c r="G266">
        <v>1.2</v>
      </c>
      <c r="H266">
        <f t="shared" si="9"/>
        <v>12.12</v>
      </c>
    </row>
    <row r="267" spans="1:8" x14ac:dyDescent="0.15">
      <c r="A267" t="s">
        <v>30</v>
      </c>
      <c r="B267" t="s">
        <v>1204</v>
      </c>
      <c r="C267">
        <v>0</v>
      </c>
      <c r="E267">
        <f t="shared" si="8"/>
        <v>0</v>
      </c>
      <c r="F267">
        <v>1.69</v>
      </c>
      <c r="G267">
        <v>0.55000000000000004</v>
      </c>
      <c r="H267">
        <f t="shared" si="9"/>
        <v>9.2949999999999999</v>
      </c>
    </row>
    <row r="268" spans="1:8" x14ac:dyDescent="0.15">
      <c r="A268" t="s">
        <v>32</v>
      </c>
      <c r="B268" t="s">
        <v>1209</v>
      </c>
      <c r="C268">
        <v>0</v>
      </c>
      <c r="E268">
        <f t="shared" si="8"/>
        <v>0</v>
      </c>
      <c r="F268">
        <v>3.8</v>
      </c>
      <c r="G268">
        <v>1.03</v>
      </c>
      <c r="H268">
        <f t="shared" si="9"/>
        <v>39.14</v>
      </c>
    </row>
    <row r="269" spans="1:8" x14ac:dyDescent="0.15">
      <c r="A269" t="s">
        <v>32</v>
      </c>
      <c r="B269" t="s">
        <v>1211</v>
      </c>
      <c r="C269">
        <v>0</v>
      </c>
      <c r="E269">
        <f t="shared" si="8"/>
        <v>0</v>
      </c>
      <c r="F269">
        <v>35</v>
      </c>
      <c r="G269">
        <v>0.6</v>
      </c>
      <c r="H269">
        <f t="shared" si="9"/>
        <v>210</v>
      </c>
    </row>
    <row r="270" spans="1:8" x14ac:dyDescent="0.15">
      <c r="A270" t="s">
        <v>32</v>
      </c>
      <c r="B270" t="s">
        <v>1216</v>
      </c>
      <c r="C270">
        <v>0</v>
      </c>
      <c r="E270">
        <f t="shared" si="8"/>
        <v>0</v>
      </c>
      <c r="F270">
        <v>8.9</v>
      </c>
      <c r="G270">
        <v>2.2999999999999998</v>
      </c>
      <c r="H270">
        <f t="shared" si="9"/>
        <v>204.7</v>
      </c>
    </row>
    <row r="271" spans="1:8" x14ac:dyDescent="0.15">
      <c r="A271" t="s">
        <v>32</v>
      </c>
      <c r="B271" t="s">
        <v>598</v>
      </c>
      <c r="C271">
        <v>29.758687999999999</v>
      </c>
      <c r="D271">
        <v>0.49</v>
      </c>
      <c r="E271">
        <f t="shared" si="8"/>
        <v>145.81757119999997</v>
      </c>
      <c r="F271">
        <v>79.165654000000004</v>
      </c>
      <c r="G271">
        <v>0.45</v>
      </c>
      <c r="H271">
        <f t="shared" si="9"/>
        <v>356.24544300000002</v>
      </c>
    </row>
    <row r="272" spans="1:8" x14ac:dyDescent="0.15">
      <c r="A272" t="s">
        <v>32</v>
      </c>
      <c r="B272" t="s">
        <v>1218</v>
      </c>
      <c r="C272">
        <v>0</v>
      </c>
      <c r="E272">
        <f t="shared" si="8"/>
        <v>0</v>
      </c>
      <c r="F272">
        <v>80</v>
      </c>
      <c r="G272">
        <v>0.54</v>
      </c>
      <c r="H272">
        <f t="shared" si="9"/>
        <v>432</v>
      </c>
    </row>
    <row r="273" spans="1:8" x14ac:dyDescent="0.15">
      <c r="A273" t="s">
        <v>32</v>
      </c>
      <c r="B273" t="s">
        <v>1215</v>
      </c>
      <c r="C273">
        <v>0</v>
      </c>
      <c r="E273">
        <f t="shared" si="8"/>
        <v>0</v>
      </c>
      <c r="F273">
        <v>34</v>
      </c>
      <c r="G273">
        <v>0.17</v>
      </c>
      <c r="H273">
        <f t="shared" si="9"/>
        <v>57.800000000000004</v>
      </c>
    </row>
    <row r="274" spans="1:8" x14ac:dyDescent="0.15">
      <c r="A274" t="s">
        <v>32</v>
      </c>
      <c r="B274" t="s">
        <v>1207</v>
      </c>
      <c r="C274">
        <v>0</v>
      </c>
      <c r="E274">
        <f t="shared" si="8"/>
        <v>0</v>
      </c>
      <c r="F274">
        <v>361.91356846301909</v>
      </c>
      <c r="G274">
        <v>1.18</v>
      </c>
      <c r="H274">
        <f t="shared" si="9"/>
        <v>4270.580107863625</v>
      </c>
    </row>
    <row r="275" spans="1:8" x14ac:dyDescent="0.15">
      <c r="A275" t="s">
        <v>32</v>
      </c>
      <c r="B275" t="s">
        <v>601</v>
      </c>
      <c r="C275">
        <v>19.473970000000001</v>
      </c>
      <c r="D275">
        <v>0.62</v>
      </c>
      <c r="E275">
        <f t="shared" si="8"/>
        <v>120.738614</v>
      </c>
      <c r="F275">
        <v>29.825994000000001</v>
      </c>
      <c r="G275">
        <v>0.56000000000000005</v>
      </c>
      <c r="H275">
        <f t="shared" si="9"/>
        <v>167.0255664</v>
      </c>
    </row>
    <row r="276" spans="1:8" x14ac:dyDescent="0.15">
      <c r="A276" t="s">
        <v>32</v>
      </c>
      <c r="B276" t="s">
        <v>1219</v>
      </c>
      <c r="C276">
        <v>0</v>
      </c>
      <c r="E276">
        <f t="shared" si="8"/>
        <v>0</v>
      </c>
      <c r="F276">
        <v>3</v>
      </c>
      <c r="G276">
        <v>1</v>
      </c>
      <c r="H276">
        <f t="shared" si="9"/>
        <v>30</v>
      </c>
    </row>
    <row r="277" spans="1:8" x14ac:dyDescent="0.15">
      <c r="A277" t="s">
        <v>32</v>
      </c>
      <c r="B277" t="s">
        <v>1217</v>
      </c>
      <c r="C277">
        <v>0</v>
      </c>
      <c r="E277">
        <f t="shared" si="8"/>
        <v>0</v>
      </c>
      <c r="F277">
        <v>1.2</v>
      </c>
      <c r="G277">
        <v>0.83</v>
      </c>
      <c r="H277">
        <f t="shared" si="9"/>
        <v>9.9599999999999991</v>
      </c>
    </row>
    <row r="278" spans="1:8" x14ac:dyDescent="0.15">
      <c r="A278" t="s">
        <v>32</v>
      </c>
      <c r="B278" t="s">
        <v>1212</v>
      </c>
      <c r="C278">
        <v>0</v>
      </c>
      <c r="E278">
        <f t="shared" si="8"/>
        <v>0</v>
      </c>
      <c r="F278">
        <v>8.3000000000000007</v>
      </c>
      <c r="G278">
        <v>0.6</v>
      </c>
      <c r="H278">
        <f t="shared" si="9"/>
        <v>49.800000000000004</v>
      </c>
    </row>
    <row r="279" spans="1:8" x14ac:dyDescent="0.15">
      <c r="A279" t="s">
        <v>32</v>
      </c>
      <c r="B279" t="s">
        <v>1208</v>
      </c>
      <c r="C279">
        <v>0</v>
      </c>
      <c r="E279">
        <f t="shared" si="8"/>
        <v>0</v>
      </c>
      <c r="F279">
        <v>157</v>
      </c>
      <c r="G279">
        <v>0.64</v>
      </c>
      <c r="H279">
        <f t="shared" si="9"/>
        <v>1004.8000000000001</v>
      </c>
    </row>
    <row r="280" spans="1:8" x14ac:dyDescent="0.15">
      <c r="A280" t="s">
        <v>32</v>
      </c>
      <c r="B280" t="s">
        <v>1213</v>
      </c>
      <c r="C280">
        <v>0</v>
      </c>
      <c r="E280">
        <f t="shared" si="8"/>
        <v>0</v>
      </c>
      <c r="F280">
        <v>90</v>
      </c>
      <c r="G280">
        <v>0.45</v>
      </c>
      <c r="H280">
        <f t="shared" si="9"/>
        <v>405</v>
      </c>
    </row>
    <row r="281" spans="1:8" x14ac:dyDescent="0.15">
      <c r="A281" t="s">
        <v>32</v>
      </c>
      <c r="B281" t="s">
        <v>1210</v>
      </c>
      <c r="C281">
        <v>0</v>
      </c>
      <c r="E281">
        <f t="shared" si="8"/>
        <v>0</v>
      </c>
      <c r="F281">
        <v>96</v>
      </c>
      <c r="G281">
        <v>0.34999999999999992</v>
      </c>
      <c r="H281">
        <f t="shared" si="9"/>
        <v>335.99999999999994</v>
      </c>
    </row>
    <row r="282" spans="1:8" x14ac:dyDescent="0.15">
      <c r="A282" t="s">
        <v>32</v>
      </c>
      <c r="B282" t="s">
        <v>1214</v>
      </c>
      <c r="C282">
        <v>0</v>
      </c>
      <c r="E282">
        <f t="shared" si="8"/>
        <v>0</v>
      </c>
      <c r="F282">
        <v>6.7</v>
      </c>
      <c r="G282">
        <v>0.23</v>
      </c>
      <c r="H282">
        <f t="shared" si="9"/>
        <v>15.410000000000002</v>
      </c>
    </row>
    <row r="283" spans="1:8" x14ac:dyDescent="0.15">
      <c r="A283" t="s">
        <v>928</v>
      </c>
      <c r="B283" t="s">
        <v>929</v>
      </c>
      <c r="C283">
        <v>37.200000000000003</v>
      </c>
      <c r="D283">
        <v>1.2376344086021505</v>
      </c>
      <c r="E283">
        <f t="shared" si="8"/>
        <v>460.4</v>
      </c>
      <c r="F283">
        <v>266</v>
      </c>
      <c r="G283">
        <v>0.86203007518796992</v>
      </c>
      <c r="H283">
        <f t="shared" si="9"/>
        <v>2293</v>
      </c>
    </row>
    <row r="284" spans="1:8" x14ac:dyDescent="0.15">
      <c r="A284" t="s">
        <v>1220</v>
      </c>
      <c r="B284" t="s">
        <v>1222</v>
      </c>
      <c r="C284">
        <v>0</v>
      </c>
      <c r="E284">
        <f t="shared" si="8"/>
        <v>0</v>
      </c>
      <c r="F284">
        <v>40.639000000000003</v>
      </c>
      <c r="G284">
        <v>0.24</v>
      </c>
      <c r="H284">
        <f t="shared" si="9"/>
        <v>97.533600000000007</v>
      </c>
    </row>
    <row r="285" spans="1:8" x14ac:dyDescent="0.15">
      <c r="A285" t="s">
        <v>1220</v>
      </c>
      <c r="B285" t="s">
        <v>1221</v>
      </c>
      <c r="C285">
        <v>0</v>
      </c>
      <c r="E285">
        <f t="shared" si="8"/>
        <v>0</v>
      </c>
      <c r="F285">
        <v>293</v>
      </c>
      <c r="G285">
        <v>1.46</v>
      </c>
      <c r="H285">
        <f t="shared" si="9"/>
        <v>4277.7999999999993</v>
      </c>
    </row>
    <row r="286" spans="1:8" x14ac:dyDescent="0.15">
      <c r="A286" t="s">
        <v>76</v>
      </c>
      <c r="B286" t="s">
        <v>1228</v>
      </c>
      <c r="C286">
        <v>0</v>
      </c>
      <c r="E286">
        <f t="shared" si="8"/>
        <v>0</v>
      </c>
      <c r="F286">
        <v>44.8</v>
      </c>
      <c r="G286">
        <v>1.1100000000000001</v>
      </c>
      <c r="H286">
        <f t="shared" si="9"/>
        <v>497.28000000000003</v>
      </c>
    </row>
    <row r="287" spans="1:8" x14ac:dyDescent="0.15">
      <c r="A287" t="s">
        <v>76</v>
      </c>
      <c r="B287" t="s">
        <v>930</v>
      </c>
      <c r="C287">
        <v>9.6000000000000014</v>
      </c>
      <c r="D287">
        <v>1.1029166666666665</v>
      </c>
      <c r="E287">
        <f t="shared" si="8"/>
        <v>105.88000000000001</v>
      </c>
      <c r="F287">
        <v>54.629999999999995</v>
      </c>
      <c r="G287">
        <v>0.99030752333882477</v>
      </c>
      <c r="H287">
        <f t="shared" si="9"/>
        <v>541.00499999999988</v>
      </c>
    </row>
    <row r="288" spans="1:8" x14ac:dyDescent="0.15">
      <c r="A288" t="s">
        <v>76</v>
      </c>
      <c r="B288" t="s">
        <v>931</v>
      </c>
      <c r="C288">
        <v>34</v>
      </c>
      <c r="D288">
        <v>1.1777058823529409</v>
      </c>
      <c r="E288">
        <f t="shared" si="8"/>
        <v>400.41999999999996</v>
      </c>
      <c r="F288">
        <v>90.03</v>
      </c>
      <c r="G288">
        <v>1.0193768743752083</v>
      </c>
      <c r="H288">
        <f t="shared" si="9"/>
        <v>917.745</v>
      </c>
    </row>
    <row r="289" spans="1:8" x14ac:dyDescent="0.15">
      <c r="A289" t="s">
        <v>76</v>
      </c>
      <c r="B289" t="s">
        <v>932</v>
      </c>
      <c r="C289">
        <v>9.9</v>
      </c>
      <c r="D289">
        <v>1.1734343434343435</v>
      </c>
      <c r="E289">
        <f t="shared" si="8"/>
        <v>116.17000000000002</v>
      </c>
      <c r="F289">
        <v>47.139999999999993</v>
      </c>
      <c r="G289">
        <v>0.92213831141281299</v>
      </c>
      <c r="H289">
        <f t="shared" si="9"/>
        <v>434.69600000000003</v>
      </c>
    </row>
    <row r="290" spans="1:8" x14ac:dyDescent="0.15">
      <c r="A290" t="s">
        <v>76</v>
      </c>
      <c r="B290" t="s">
        <v>1226</v>
      </c>
      <c r="C290">
        <v>0</v>
      </c>
      <c r="E290">
        <f t="shared" si="8"/>
        <v>0</v>
      </c>
      <c r="F290">
        <v>200</v>
      </c>
      <c r="G290">
        <v>1</v>
      </c>
      <c r="H290">
        <f t="shared" si="9"/>
        <v>2000</v>
      </c>
    </row>
    <row r="291" spans="1:8" x14ac:dyDescent="0.15">
      <c r="A291" t="s">
        <v>76</v>
      </c>
      <c r="B291" t="s">
        <v>1223</v>
      </c>
      <c r="C291">
        <v>0</v>
      </c>
      <c r="E291">
        <f t="shared" si="8"/>
        <v>0</v>
      </c>
      <c r="F291">
        <v>400</v>
      </c>
      <c r="G291">
        <v>1.1000000000000001</v>
      </c>
      <c r="H291">
        <f t="shared" si="9"/>
        <v>4400.0000000000009</v>
      </c>
    </row>
    <row r="292" spans="1:8" x14ac:dyDescent="0.15">
      <c r="A292" t="s">
        <v>76</v>
      </c>
      <c r="B292" t="s">
        <v>1227</v>
      </c>
      <c r="C292">
        <v>0</v>
      </c>
      <c r="E292">
        <f t="shared" si="8"/>
        <v>0</v>
      </c>
      <c r="F292">
        <v>310</v>
      </c>
      <c r="G292">
        <v>1.3</v>
      </c>
      <c r="H292">
        <f t="shared" si="9"/>
        <v>4030</v>
      </c>
    </row>
    <row r="293" spans="1:8" x14ac:dyDescent="0.15">
      <c r="A293" t="s">
        <v>76</v>
      </c>
      <c r="B293" t="s">
        <v>1224</v>
      </c>
      <c r="C293">
        <v>0</v>
      </c>
      <c r="E293">
        <f t="shared" si="8"/>
        <v>0</v>
      </c>
      <c r="F293">
        <v>234</v>
      </c>
      <c r="G293">
        <v>1.3</v>
      </c>
      <c r="H293">
        <f t="shared" si="9"/>
        <v>3042</v>
      </c>
    </row>
    <row r="294" spans="1:8" x14ac:dyDescent="0.15">
      <c r="A294" t="s">
        <v>76</v>
      </c>
      <c r="B294" t="s">
        <v>1225</v>
      </c>
      <c r="C294">
        <v>0</v>
      </c>
      <c r="E294">
        <f t="shared" si="8"/>
        <v>0</v>
      </c>
      <c r="F294">
        <v>22.6</v>
      </c>
      <c r="G294">
        <v>1.27</v>
      </c>
      <c r="H294">
        <f t="shared" si="9"/>
        <v>287.02000000000004</v>
      </c>
    </row>
    <row r="295" spans="1:8" x14ac:dyDescent="0.15">
      <c r="A295" s="5" t="s">
        <v>861</v>
      </c>
      <c r="B295" t="s">
        <v>1229</v>
      </c>
      <c r="C295">
        <v>0</v>
      </c>
      <c r="E295">
        <f t="shared" si="8"/>
        <v>0</v>
      </c>
      <c r="F295">
        <v>6.2</v>
      </c>
      <c r="G295">
        <v>1.4951612903225806</v>
      </c>
      <c r="H295">
        <f t="shared" si="9"/>
        <v>92.699999999999989</v>
      </c>
    </row>
    <row r="296" spans="1:8" x14ac:dyDescent="0.15">
      <c r="A296" s="5" t="s">
        <v>861</v>
      </c>
      <c r="B296" t="s">
        <v>933</v>
      </c>
      <c r="C296">
        <v>71.2</v>
      </c>
      <c r="D296">
        <v>1.309550561797753</v>
      </c>
      <c r="E296">
        <f t="shared" si="8"/>
        <v>932.40000000000009</v>
      </c>
      <c r="F296">
        <v>76.5</v>
      </c>
      <c r="G296">
        <v>1.4634379084967322</v>
      </c>
      <c r="H296">
        <f t="shared" si="9"/>
        <v>1119.5300000000002</v>
      </c>
    </row>
    <row r="297" spans="1:8" x14ac:dyDescent="0.15">
      <c r="A297" t="s">
        <v>1230</v>
      </c>
      <c r="B297" t="s">
        <v>1231</v>
      </c>
      <c r="C297">
        <v>0</v>
      </c>
      <c r="E297">
        <f t="shared" si="8"/>
        <v>0</v>
      </c>
      <c r="F297">
        <v>17</v>
      </c>
      <c r="G297">
        <v>1.3</v>
      </c>
      <c r="H297">
        <f t="shared" si="9"/>
        <v>221</v>
      </c>
    </row>
    <row r="298" spans="1:8" x14ac:dyDescent="0.15">
      <c r="A298" t="s">
        <v>865</v>
      </c>
      <c r="B298" t="s">
        <v>1257</v>
      </c>
      <c r="C298">
        <v>0</v>
      </c>
      <c r="E298">
        <f t="shared" si="8"/>
        <v>0</v>
      </c>
      <c r="F298">
        <v>0.02</v>
      </c>
      <c r="G298">
        <v>1.25</v>
      </c>
      <c r="H298">
        <f t="shared" si="9"/>
        <v>0.25</v>
      </c>
    </row>
    <row r="299" spans="1:8" x14ac:dyDescent="0.15">
      <c r="A299" t="s">
        <v>865</v>
      </c>
      <c r="B299" t="s">
        <v>1255</v>
      </c>
      <c r="C299">
        <v>0</v>
      </c>
      <c r="E299">
        <f t="shared" si="8"/>
        <v>0</v>
      </c>
      <c r="F299">
        <v>208.5</v>
      </c>
      <c r="G299">
        <v>9.6647482014388511E-2</v>
      </c>
      <c r="H299">
        <f t="shared" si="9"/>
        <v>201.51000000000005</v>
      </c>
    </row>
    <row r="300" spans="1:8" x14ac:dyDescent="0.15">
      <c r="A300" t="s">
        <v>865</v>
      </c>
      <c r="B300" t="s">
        <v>1258</v>
      </c>
      <c r="C300">
        <v>0</v>
      </c>
      <c r="E300">
        <f t="shared" si="8"/>
        <v>0</v>
      </c>
      <c r="F300">
        <v>23.2</v>
      </c>
      <c r="G300">
        <v>0.14000000000000001</v>
      </c>
      <c r="H300">
        <f t="shared" si="9"/>
        <v>32.480000000000004</v>
      </c>
    </row>
    <row r="301" spans="1:8" x14ac:dyDescent="0.15">
      <c r="A301" t="s">
        <v>865</v>
      </c>
      <c r="B301" t="s">
        <v>631</v>
      </c>
      <c r="C301">
        <v>1.6560000000000001</v>
      </c>
      <c r="D301">
        <v>0.46359299516908203</v>
      </c>
      <c r="E301">
        <f t="shared" si="8"/>
        <v>7.6770999999999994</v>
      </c>
      <c r="F301">
        <v>4.72</v>
      </c>
      <c r="G301">
        <v>0.51397881355932207</v>
      </c>
      <c r="H301">
        <f t="shared" si="9"/>
        <v>24.259799999999998</v>
      </c>
    </row>
    <row r="302" spans="1:8" x14ac:dyDescent="0.15">
      <c r="A302" t="s">
        <v>865</v>
      </c>
      <c r="B302" t="s">
        <v>1253</v>
      </c>
      <c r="C302">
        <v>0</v>
      </c>
      <c r="E302">
        <f t="shared" si="8"/>
        <v>0</v>
      </c>
      <c r="F302">
        <v>1.2669999999999999</v>
      </c>
      <c r="G302">
        <v>0.42999999999999994</v>
      </c>
      <c r="H302">
        <f t="shared" si="9"/>
        <v>5.4480999999999993</v>
      </c>
    </row>
    <row r="303" spans="1:8" x14ac:dyDescent="0.15">
      <c r="A303" t="s">
        <v>865</v>
      </c>
      <c r="B303" t="s">
        <v>1259</v>
      </c>
      <c r="C303">
        <v>0</v>
      </c>
      <c r="E303">
        <f t="shared" si="8"/>
        <v>0</v>
      </c>
      <c r="F303">
        <v>0.21</v>
      </c>
      <c r="G303">
        <v>0.37</v>
      </c>
      <c r="H303">
        <f t="shared" si="9"/>
        <v>0.77699999999999991</v>
      </c>
    </row>
    <row r="304" spans="1:8" x14ac:dyDescent="0.15">
      <c r="A304" t="s">
        <v>865</v>
      </c>
      <c r="B304" t="s">
        <v>1260</v>
      </c>
      <c r="C304">
        <v>0</v>
      </c>
      <c r="E304">
        <f t="shared" si="8"/>
        <v>0</v>
      </c>
      <c r="F304">
        <v>0.104</v>
      </c>
      <c r="G304">
        <v>0.43</v>
      </c>
      <c r="H304">
        <f t="shared" si="9"/>
        <v>0.44719999999999993</v>
      </c>
    </row>
    <row r="305" spans="1:8" x14ac:dyDescent="0.15">
      <c r="A305" t="s">
        <v>865</v>
      </c>
      <c r="B305" t="s">
        <v>1261</v>
      </c>
      <c r="C305">
        <v>0</v>
      </c>
      <c r="E305">
        <f t="shared" si="8"/>
        <v>0</v>
      </c>
      <c r="F305">
        <v>0.13700000000000001</v>
      </c>
      <c r="G305">
        <v>0.24</v>
      </c>
      <c r="H305">
        <f t="shared" si="9"/>
        <v>0.32879999999999998</v>
      </c>
    </row>
    <row r="306" spans="1:8" x14ac:dyDescent="0.15">
      <c r="A306" t="s">
        <v>865</v>
      </c>
      <c r="B306" t="s">
        <v>1262</v>
      </c>
      <c r="C306">
        <v>0</v>
      </c>
      <c r="E306">
        <f t="shared" si="8"/>
        <v>0</v>
      </c>
      <c r="F306">
        <v>0.11600000000000001</v>
      </c>
      <c r="G306">
        <v>0.6</v>
      </c>
      <c r="H306">
        <f t="shared" si="9"/>
        <v>0.69599999999999995</v>
      </c>
    </row>
    <row r="307" spans="1:8" x14ac:dyDescent="0.15">
      <c r="A307" t="s">
        <v>865</v>
      </c>
      <c r="B307" t="s">
        <v>1254</v>
      </c>
      <c r="C307">
        <v>0</v>
      </c>
      <c r="E307">
        <f t="shared" si="8"/>
        <v>0</v>
      </c>
      <c r="F307">
        <v>0.5</v>
      </c>
      <c r="G307">
        <v>0.28999999999999998</v>
      </c>
      <c r="H307">
        <f t="shared" si="9"/>
        <v>1.45</v>
      </c>
    </row>
    <row r="308" spans="1:8" x14ac:dyDescent="0.15">
      <c r="A308" t="s">
        <v>865</v>
      </c>
      <c r="B308" t="s">
        <v>1232</v>
      </c>
      <c r="C308">
        <v>0</v>
      </c>
      <c r="E308">
        <f t="shared" si="8"/>
        <v>0</v>
      </c>
      <c r="F308">
        <v>16.5</v>
      </c>
      <c r="G308">
        <v>0.05</v>
      </c>
      <c r="H308">
        <f t="shared" si="9"/>
        <v>8.25</v>
      </c>
    </row>
    <row r="309" spans="1:8" x14ac:dyDescent="0.15">
      <c r="A309" t="s">
        <v>865</v>
      </c>
      <c r="B309" t="s">
        <v>1256</v>
      </c>
      <c r="C309">
        <v>0</v>
      </c>
      <c r="E309">
        <f t="shared" si="8"/>
        <v>0</v>
      </c>
      <c r="F309">
        <v>21.86</v>
      </c>
      <c r="G309">
        <v>8.5025160109789569E-2</v>
      </c>
      <c r="H309">
        <f t="shared" si="9"/>
        <v>18.586500000000001</v>
      </c>
    </row>
    <row r="310" spans="1:8" x14ac:dyDescent="0.15">
      <c r="A310" t="s">
        <v>865</v>
      </c>
      <c r="B310" t="s">
        <v>632</v>
      </c>
      <c r="C310">
        <v>128.6</v>
      </c>
      <c r="D310">
        <v>0.14541529837105699</v>
      </c>
      <c r="E310">
        <f t="shared" si="8"/>
        <v>187.00407370517928</v>
      </c>
      <c r="F310">
        <v>286.3</v>
      </c>
      <c r="G310">
        <v>0.14607836670549146</v>
      </c>
      <c r="H310">
        <f t="shared" si="9"/>
        <v>418.22236387782203</v>
      </c>
    </row>
    <row r="311" spans="1:8" x14ac:dyDescent="0.15">
      <c r="A311" t="s">
        <v>865</v>
      </c>
      <c r="B311" t="s">
        <v>1263</v>
      </c>
      <c r="C311">
        <v>0</v>
      </c>
      <c r="E311">
        <f t="shared" si="8"/>
        <v>0</v>
      </c>
      <c r="F311">
        <v>2.5000000000000001E-2</v>
      </c>
      <c r="G311">
        <v>0.94</v>
      </c>
      <c r="H311">
        <f t="shared" si="9"/>
        <v>0.23499999999999999</v>
      </c>
    </row>
    <row r="312" spans="1:8" x14ac:dyDescent="0.15">
      <c r="A312" t="s">
        <v>865</v>
      </c>
      <c r="B312" t="s">
        <v>1233</v>
      </c>
      <c r="C312">
        <v>0</v>
      </c>
      <c r="E312">
        <f t="shared" si="8"/>
        <v>0</v>
      </c>
      <c r="F312">
        <v>1.5</v>
      </c>
      <c r="G312">
        <v>0.46</v>
      </c>
      <c r="H312">
        <f t="shared" si="9"/>
        <v>6.9</v>
      </c>
    </row>
    <row r="313" spans="1:8" x14ac:dyDescent="0.15">
      <c r="A313" t="s">
        <v>865</v>
      </c>
      <c r="B313" t="s">
        <v>1234</v>
      </c>
      <c r="C313">
        <v>0</v>
      </c>
      <c r="E313">
        <f t="shared" si="8"/>
        <v>0</v>
      </c>
      <c r="F313">
        <v>1.0899999999999999</v>
      </c>
      <c r="G313">
        <v>0.7927522935779816</v>
      </c>
      <c r="H313">
        <f t="shared" si="9"/>
        <v>8.6409999999999982</v>
      </c>
    </row>
    <row r="314" spans="1:8" x14ac:dyDescent="0.15">
      <c r="A314" t="s">
        <v>865</v>
      </c>
      <c r="B314" t="s">
        <v>1235</v>
      </c>
      <c r="C314">
        <v>0</v>
      </c>
      <c r="E314">
        <f t="shared" si="8"/>
        <v>0</v>
      </c>
      <c r="F314">
        <v>0.5</v>
      </c>
      <c r="G314">
        <v>0.45</v>
      </c>
      <c r="H314">
        <f t="shared" si="9"/>
        <v>2.25</v>
      </c>
    </row>
    <row r="315" spans="1:8" x14ac:dyDescent="0.15">
      <c r="A315" t="s">
        <v>865</v>
      </c>
      <c r="B315" t="s">
        <v>1236</v>
      </c>
      <c r="C315">
        <v>0</v>
      </c>
      <c r="E315">
        <f t="shared" si="8"/>
        <v>0</v>
      </c>
      <c r="F315">
        <v>0.49</v>
      </c>
      <c r="G315">
        <v>0.60244897959183674</v>
      </c>
      <c r="H315">
        <f t="shared" si="9"/>
        <v>2.952</v>
      </c>
    </row>
    <row r="316" spans="1:8" x14ac:dyDescent="0.15">
      <c r="A316" t="s">
        <v>865</v>
      </c>
      <c r="B316" t="s">
        <v>1237</v>
      </c>
      <c r="C316">
        <v>0</v>
      </c>
      <c r="E316">
        <f t="shared" si="8"/>
        <v>0</v>
      </c>
      <c r="F316">
        <v>0.17</v>
      </c>
      <c r="G316">
        <v>0.66</v>
      </c>
      <c r="H316">
        <f t="shared" si="9"/>
        <v>1.1220000000000001</v>
      </c>
    </row>
    <row r="317" spans="1:8" x14ac:dyDescent="0.15">
      <c r="A317" t="s">
        <v>865</v>
      </c>
      <c r="B317" t="s">
        <v>1238</v>
      </c>
      <c r="C317">
        <v>0</v>
      </c>
      <c r="E317">
        <f t="shared" si="8"/>
        <v>0</v>
      </c>
      <c r="F317">
        <v>8.2413659999999993</v>
      </c>
      <c r="G317">
        <v>0.3155172297893335</v>
      </c>
      <c r="H317">
        <f t="shared" si="9"/>
        <v>26.002929699999999</v>
      </c>
    </row>
    <row r="318" spans="1:8" x14ac:dyDescent="0.15">
      <c r="A318" t="s">
        <v>865</v>
      </c>
      <c r="B318" t="s">
        <v>1275</v>
      </c>
      <c r="C318">
        <v>0</v>
      </c>
      <c r="E318">
        <f t="shared" si="8"/>
        <v>0</v>
      </c>
      <c r="F318">
        <v>7.0009999999999994</v>
      </c>
      <c r="G318">
        <v>0.24000000000000002</v>
      </c>
      <c r="H318">
        <f t="shared" si="9"/>
        <v>16.802399999999999</v>
      </c>
    </row>
    <row r="319" spans="1:8" x14ac:dyDescent="0.15">
      <c r="A319" t="s">
        <v>865</v>
      </c>
      <c r="B319" t="s">
        <v>633</v>
      </c>
      <c r="C319">
        <v>1.3359999999999999</v>
      </c>
      <c r="D319">
        <v>0.23845059880239525</v>
      </c>
      <c r="E319">
        <f t="shared" si="8"/>
        <v>3.1857000000000002</v>
      </c>
      <c r="F319">
        <v>8.2219999999999995</v>
      </c>
      <c r="G319">
        <v>0.27221357333981999</v>
      </c>
      <c r="H319">
        <f t="shared" si="9"/>
        <v>22.381399999999999</v>
      </c>
    </row>
    <row r="320" spans="1:8" x14ac:dyDescent="0.15">
      <c r="A320" t="s">
        <v>865</v>
      </c>
      <c r="B320" t="s">
        <v>1264</v>
      </c>
      <c r="C320">
        <v>0</v>
      </c>
      <c r="E320">
        <f t="shared" si="8"/>
        <v>0</v>
      </c>
      <c r="F320">
        <v>0.05</v>
      </c>
      <c r="G320">
        <v>0.3</v>
      </c>
      <c r="H320">
        <f t="shared" si="9"/>
        <v>0.15</v>
      </c>
    </row>
    <row r="321" spans="1:8" x14ac:dyDescent="0.15">
      <c r="A321" t="s">
        <v>865</v>
      </c>
      <c r="B321" t="s">
        <v>1240</v>
      </c>
      <c r="C321">
        <v>0</v>
      </c>
      <c r="E321">
        <f t="shared" si="8"/>
        <v>0</v>
      </c>
      <c r="F321">
        <v>0.114</v>
      </c>
      <c r="G321">
        <v>0.45</v>
      </c>
      <c r="H321">
        <f t="shared" si="9"/>
        <v>0.51300000000000001</v>
      </c>
    </row>
    <row r="322" spans="1:8" x14ac:dyDescent="0.15">
      <c r="A322" t="s">
        <v>865</v>
      </c>
      <c r="B322" t="s">
        <v>1242</v>
      </c>
      <c r="C322">
        <v>0</v>
      </c>
      <c r="E322">
        <f t="shared" ref="E322:E385" si="10">C322*D322*10</f>
        <v>0</v>
      </c>
      <c r="F322">
        <v>0.2</v>
      </c>
      <c r="G322">
        <v>0.15</v>
      </c>
      <c r="H322">
        <f t="shared" ref="H322:H385" si="11">F322*G322*10</f>
        <v>0.3</v>
      </c>
    </row>
    <row r="323" spans="1:8" x14ac:dyDescent="0.15">
      <c r="A323" t="s">
        <v>865</v>
      </c>
      <c r="B323" t="s">
        <v>1265</v>
      </c>
      <c r="C323">
        <v>0</v>
      </c>
      <c r="E323">
        <f t="shared" si="10"/>
        <v>0</v>
      </c>
      <c r="F323">
        <v>1.3</v>
      </c>
      <c r="G323">
        <v>0.94999999999999984</v>
      </c>
      <c r="H323">
        <f t="shared" si="11"/>
        <v>12.349999999999998</v>
      </c>
    </row>
    <row r="324" spans="1:8" x14ac:dyDescent="0.15">
      <c r="A324" t="s">
        <v>865</v>
      </c>
      <c r="B324" t="s">
        <v>1243</v>
      </c>
      <c r="C324">
        <v>0</v>
      </c>
      <c r="E324">
        <f t="shared" si="10"/>
        <v>0</v>
      </c>
      <c r="F324">
        <v>3.1599999999999997</v>
      </c>
      <c r="G324">
        <v>0.43060126582278485</v>
      </c>
      <c r="H324">
        <f t="shared" si="11"/>
        <v>13.606999999999999</v>
      </c>
    </row>
    <row r="325" spans="1:8" x14ac:dyDescent="0.15">
      <c r="A325" t="s">
        <v>865</v>
      </c>
      <c r="B325" t="s">
        <v>1244</v>
      </c>
      <c r="C325">
        <v>0</v>
      </c>
      <c r="E325">
        <f t="shared" si="10"/>
        <v>0</v>
      </c>
      <c r="F325">
        <v>0.69900000000000007</v>
      </c>
      <c r="G325">
        <v>5.603719599427754E-2</v>
      </c>
      <c r="H325">
        <f t="shared" si="11"/>
        <v>0.39170000000000005</v>
      </c>
    </row>
    <row r="326" spans="1:8" x14ac:dyDescent="0.15">
      <c r="A326" t="s">
        <v>865</v>
      </c>
      <c r="B326" t="s">
        <v>1245</v>
      </c>
      <c r="C326">
        <v>0</v>
      </c>
      <c r="E326">
        <f t="shared" si="10"/>
        <v>0</v>
      </c>
      <c r="F326">
        <v>3.4</v>
      </c>
      <c r="G326">
        <v>0.05</v>
      </c>
      <c r="H326">
        <f t="shared" si="11"/>
        <v>1.7000000000000002</v>
      </c>
    </row>
    <row r="327" spans="1:8" x14ac:dyDescent="0.15">
      <c r="A327" t="s">
        <v>865</v>
      </c>
      <c r="B327" t="s">
        <v>1246</v>
      </c>
      <c r="C327">
        <v>0</v>
      </c>
      <c r="E327">
        <f t="shared" si="10"/>
        <v>0</v>
      </c>
      <c r="F327">
        <v>0.19</v>
      </c>
      <c r="G327">
        <v>1.02</v>
      </c>
      <c r="H327">
        <f t="shared" si="11"/>
        <v>1.9379999999999999</v>
      </c>
    </row>
    <row r="328" spans="1:8" x14ac:dyDescent="0.15">
      <c r="A328" t="s">
        <v>865</v>
      </c>
      <c r="B328" t="s">
        <v>1247</v>
      </c>
      <c r="C328">
        <v>0</v>
      </c>
      <c r="E328">
        <f t="shared" si="10"/>
        <v>0</v>
      </c>
      <c r="F328">
        <v>0.1</v>
      </c>
      <c r="G328">
        <v>0.69999999999999984</v>
      </c>
      <c r="H328">
        <f t="shared" si="11"/>
        <v>0.7</v>
      </c>
    </row>
    <row r="329" spans="1:8" x14ac:dyDescent="0.15">
      <c r="A329" t="s">
        <v>865</v>
      </c>
      <c r="B329" t="s">
        <v>1248</v>
      </c>
      <c r="C329">
        <v>0</v>
      </c>
      <c r="E329">
        <f t="shared" si="10"/>
        <v>0</v>
      </c>
      <c r="F329">
        <v>1.54</v>
      </c>
      <c r="G329">
        <v>0.71</v>
      </c>
      <c r="H329">
        <f t="shared" si="11"/>
        <v>10.933999999999999</v>
      </c>
    </row>
    <row r="330" spans="1:8" x14ac:dyDescent="0.15">
      <c r="A330" t="s">
        <v>865</v>
      </c>
      <c r="B330" t="s">
        <v>1249</v>
      </c>
      <c r="C330">
        <v>0</v>
      </c>
      <c r="E330">
        <f t="shared" si="10"/>
        <v>0</v>
      </c>
      <c r="F330">
        <v>0.76</v>
      </c>
      <c r="G330">
        <v>0.13</v>
      </c>
      <c r="H330">
        <f t="shared" si="11"/>
        <v>0.98799999999999999</v>
      </c>
    </row>
    <row r="331" spans="1:8" x14ac:dyDescent="0.15">
      <c r="A331" t="s">
        <v>865</v>
      </c>
      <c r="B331" t="s">
        <v>1250</v>
      </c>
      <c r="C331">
        <v>0</v>
      </c>
      <c r="E331">
        <f t="shared" si="10"/>
        <v>0</v>
      </c>
      <c r="F331">
        <v>1.3240000000000001</v>
      </c>
      <c r="G331">
        <v>0.14000000000000001</v>
      </c>
      <c r="H331">
        <f t="shared" si="11"/>
        <v>1.8536000000000001</v>
      </c>
    </row>
    <row r="332" spans="1:8" x14ac:dyDescent="0.15">
      <c r="A332" t="s">
        <v>865</v>
      </c>
      <c r="B332" t="s">
        <v>1266</v>
      </c>
      <c r="C332">
        <v>0</v>
      </c>
      <c r="E332">
        <f t="shared" si="10"/>
        <v>0</v>
      </c>
      <c r="F332">
        <v>0.02</v>
      </c>
      <c r="G332">
        <v>0.53</v>
      </c>
      <c r="H332">
        <f t="shared" si="11"/>
        <v>0.106</v>
      </c>
    </row>
    <row r="333" spans="1:8" x14ac:dyDescent="0.15">
      <c r="A333" t="s">
        <v>865</v>
      </c>
      <c r="B333" t="s">
        <v>1239</v>
      </c>
      <c r="C333">
        <v>0</v>
      </c>
      <c r="E333">
        <f t="shared" si="10"/>
        <v>0</v>
      </c>
      <c r="F333">
        <v>34.261700000000005</v>
      </c>
      <c r="G333">
        <v>0.19095619890431587</v>
      </c>
      <c r="H333">
        <f t="shared" si="11"/>
        <v>65.424840000000003</v>
      </c>
    </row>
    <row r="334" spans="1:8" x14ac:dyDescent="0.15">
      <c r="A334" t="s">
        <v>865</v>
      </c>
      <c r="B334" t="s">
        <v>1251</v>
      </c>
      <c r="C334">
        <v>0</v>
      </c>
      <c r="E334">
        <f t="shared" si="10"/>
        <v>0</v>
      </c>
      <c r="F334">
        <v>0.7</v>
      </c>
      <c r="G334">
        <v>0.03</v>
      </c>
      <c r="H334">
        <f t="shared" si="11"/>
        <v>0.20999999999999996</v>
      </c>
    </row>
    <row r="335" spans="1:8" x14ac:dyDescent="0.15">
      <c r="A335" t="s">
        <v>865</v>
      </c>
      <c r="B335" t="s">
        <v>1267</v>
      </c>
      <c r="C335">
        <v>0</v>
      </c>
      <c r="E335">
        <f t="shared" si="10"/>
        <v>0</v>
      </c>
      <c r="F335">
        <v>3.5</v>
      </c>
      <c r="G335">
        <v>0.32</v>
      </c>
      <c r="H335">
        <f t="shared" si="11"/>
        <v>11.200000000000001</v>
      </c>
    </row>
    <row r="336" spans="1:8" x14ac:dyDescent="0.15">
      <c r="A336" t="s">
        <v>865</v>
      </c>
      <c r="B336" t="s">
        <v>1268</v>
      </c>
      <c r="C336">
        <v>0</v>
      </c>
      <c r="E336">
        <f t="shared" si="10"/>
        <v>0</v>
      </c>
      <c r="F336">
        <v>0.03</v>
      </c>
      <c r="G336">
        <v>1.4</v>
      </c>
      <c r="H336">
        <f t="shared" si="11"/>
        <v>0.41999999999999993</v>
      </c>
    </row>
    <row r="337" spans="1:8" x14ac:dyDescent="0.15">
      <c r="A337" t="s">
        <v>865</v>
      </c>
      <c r="B337" t="s">
        <v>1269</v>
      </c>
      <c r="C337">
        <v>0</v>
      </c>
      <c r="E337">
        <f t="shared" si="10"/>
        <v>0</v>
      </c>
      <c r="F337">
        <v>0.09</v>
      </c>
      <c r="G337">
        <v>0.34</v>
      </c>
      <c r="H337">
        <f t="shared" si="11"/>
        <v>0.30600000000000005</v>
      </c>
    </row>
    <row r="338" spans="1:8" x14ac:dyDescent="0.15">
      <c r="A338" t="s">
        <v>865</v>
      </c>
      <c r="B338" t="s">
        <v>1241</v>
      </c>
      <c r="C338">
        <v>0</v>
      </c>
      <c r="E338">
        <f t="shared" si="10"/>
        <v>0</v>
      </c>
      <c r="F338">
        <v>1525</v>
      </c>
      <c r="G338">
        <v>0.26700000000000002</v>
      </c>
      <c r="H338">
        <f t="shared" si="11"/>
        <v>4071.75</v>
      </c>
    </row>
    <row r="339" spans="1:8" x14ac:dyDescent="0.15">
      <c r="A339" t="s">
        <v>865</v>
      </c>
      <c r="B339" t="s">
        <v>1270</v>
      </c>
      <c r="C339">
        <v>0</v>
      </c>
      <c r="E339">
        <f t="shared" si="10"/>
        <v>0</v>
      </c>
      <c r="F339">
        <v>1.052</v>
      </c>
      <c r="G339">
        <v>0.49000000000000005</v>
      </c>
      <c r="H339">
        <f t="shared" si="11"/>
        <v>5.1548000000000007</v>
      </c>
    </row>
    <row r="340" spans="1:8" x14ac:dyDescent="0.15">
      <c r="A340" t="s">
        <v>865</v>
      </c>
      <c r="B340" t="s">
        <v>1271</v>
      </c>
      <c r="C340">
        <v>0</v>
      </c>
      <c r="E340">
        <f t="shared" si="10"/>
        <v>0</v>
      </c>
      <c r="F340">
        <v>1.6</v>
      </c>
      <c r="G340">
        <v>0.65</v>
      </c>
      <c r="H340">
        <f t="shared" si="11"/>
        <v>10.4</v>
      </c>
    </row>
    <row r="341" spans="1:8" x14ac:dyDescent="0.15">
      <c r="A341" t="s">
        <v>865</v>
      </c>
      <c r="B341" t="s">
        <v>1272</v>
      </c>
      <c r="C341">
        <v>0</v>
      </c>
      <c r="E341">
        <f t="shared" si="10"/>
        <v>0</v>
      </c>
      <c r="F341">
        <v>0.05</v>
      </c>
      <c r="G341">
        <v>0.44</v>
      </c>
      <c r="H341">
        <f t="shared" si="11"/>
        <v>0.22000000000000003</v>
      </c>
    </row>
    <row r="342" spans="1:8" x14ac:dyDescent="0.15">
      <c r="A342" t="s">
        <v>865</v>
      </c>
      <c r="B342" t="s">
        <v>1273</v>
      </c>
      <c r="C342">
        <v>0</v>
      </c>
      <c r="E342">
        <f t="shared" si="10"/>
        <v>0</v>
      </c>
      <c r="F342">
        <v>1.6</v>
      </c>
      <c r="G342">
        <v>0.44</v>
      </c>
      <c r="H342">
        <f t="shared" si="11"/>
        <v>7.0400000000000009</v>
      </c>
    </row>
    <row r="343" spans="1:8" x14ac:dyDescent="0.15">
      <c r="A343" t="s">
        <v>865</v>
      </c>
      <c r="B343" t="s">
        <v>1274</v>
      </c>
      <c r="C343">
        <v>0</v>
      </c>
      <c r="E343">
        <f t="shared" si="10"/>
        <v>0</v>
      </c>
      <c r="F343">
        <v>3.5999999999999997E-2</v>
      </c>
      <c r="G343">
        <v>0.94</v>
      </c>
      <c r="H343">
        <f t="shared" si="11"/>
        <v>0.33839999999999992</v>
      </c>
    </row>
    <row r="344" spans="1:8" x14ac:dyDescent="0.15">
      <c r="A344" t="s">
        <v>865</v>
      </c>
      <c r="B344" t="s">
        <v>1252</v>
      </c>
      <c r="C344">
        <v>0</v>
      </c>
      <c r="E344">
        <f t="shared" si="10"/>
        <v>0</v>
      </c>
      <c r="F344">
        <v>1.8</v>
      </c>
      <c r="G344">
        <v>0.02</v>
      </c>
      <c r="H344">
        <f t="shared" si="11"/>
        <v>0.36000000000000004</v>
      </c>
    </row>
    <row r="345" spans="1:8" x14ac:dyDescent="0.15">
      <c r="A345" t="s">
        <v>866</v>
      </c>
      <c r="B345" t="s">
        <v>1276</v>
      </c>
      <c r="C345">
        <v>0</v>
      </c>
      <c r="E345">
        <f t="shared" si="10"/>
        <v>0</v>
      </c>
      <c r="F345">
        <v>57.1</v>
      </c>
      <c r="G345">
        <v>0.76999999999999991</v>
      </c>
      <c r="H345">
        <f t="shared" si="11"/>
        <v>439.66999999999996</v>
      </c>
    </row>
    <row r="346" spans="1:8" x14ac:dyDescent="0.15">
      <c r="A346" t="s">
        <v>866</v>
      </c>
      <c r="B346" t="s">
        <v>1277</v>
      </c>
      <c r="C346">
        <v>0</v>
      </c>
      <c r="E346">
        <f t="shared" si="10"/>
        <v>0</v>
      </c>
      <c r="F346">
        <v>210.75</v>
      </c>
      <c r="G346">
        <v>0.83</v>
      </c>
      <c r="H346">
        <f t="shared" si="11"/>
        <v>1749.2249999999999</v>
      </c>
    </row>
    <row r="347" spans="1:8" x14ac:dyDescent="0.15">
      <c r="A347" t="s">
        <v>866</v>
      </c>
      <c r="B347" t="s">
        <v>1278</v>
      </c>
      <c r="C347">
        <v>0</v>
      </c>
      <c r="E347">
        <f t="shared" si="10"/>
        <v>0</v>
      </c>
      <c r="F347">
        <v>1.6</v>
      </c>
      <c r="G347">
        <v>1.32</v>
      </c>
      <c r="H347">
        <f t="shared" si="11"/>
        <v>21.12</v>
      </c>
    </row>
    <row r="348" spans="1:8" x14ac:dyDescent="0.15">
      <c r="A348" t="s">
        <v>1279</v>
      </c>
      <c r="B348" t="s">
        <v>1280</v>
      </c>
      <c r="C348">
        <v>0</v>
      </c>
      <c r="E348">
        <f t="shared" si="10"/>
        <v>0</v>
      </c>
      <c r="F348">
        <v>40</v>
      </c>
      <c r="G348">
        <v>1.35</v>
      </c>
      <c r="H348">
        <f t="shared" si="11"/>
        <v>540</v>
      </c>
    </row>
    <row r="349" spans="1:8" x14ac:dyDescent="0.15">
      <c r="A349" t="s">
        <v>1279</v>
      </c>
      <c r="B349" t="s">
        <v>1281</v>
      </c>
      <c r="C349">
        <v>0</v>
      </c>
      <c r="E349">
        <f t="shared" si="10"/>
        <v>0</v>
      </c>
      <c r="F349">
        <v>151.274</v>
      </c>
      <c r="G349">
        <v>1.3500132210426117</v>
      </c>
      <c r="H349">
        <f t="shared" si="11"/>
        <v>2042.2190000000003</v>
      </c>
    </row>
    <row r="350" spans="1:8" x14ac:dyDescent="0.15">
      <c r="A350" t="s">
        <v>1279</v>
      </c>
      <c r="B350" t="s">
        <v>1282</v>
      </c>
      <c r="C350">
        <v>0</v>
      </c>
      <c r="E350">
        <f t="shared" si="10"/>
        <v>0</v>
      </c>
      <c r="F350">
        <v>134.92099999999999</v>
      </c>
      <c r="G350">
        <v>1.240096426797904</v>
      </c>
      <c r="H350">
        <f t="shared" si="11"/>
        <v>1673.1504999999997</v>
      </c>
    </row>
    <row r="351" spans="1:8" x14ac:dyDescent="0.15">
      <c r="A351" t="s">
        <v>316</v>
      </c>
      <c r="B351" t="s">
        <v>1283</v>
      </c>
      <c r="C351">
        <v>0</v>
      </c>
      <c r="E351">
        <f t="shared" si="10"/>
        <v>0</v>
      </c>
      <c r="F351">
        <v>44.89</v>
      </c>
      <c r="G351">
        <v>1.28</v>
      </c>
      <c r="H351">
        <f t="shared" si="11"/>
        <v>574.59199999999998</v>
      </c>
    </row>
    <row r="352" spans="1:8" x14ac:dyDescent="0.15">
      <c r="A352" t="s">
        <v>71</v>
      </c>
      <c r="B352" t="s">
        <v>1286</v>
      </c>
      <c r="C352">
        <v>0</v>
      </c>
      <c r="E352">
        <f t="shared" si="10"/>
        <v>0</v>
      </c>
      <c r="F352">
        <v>63.9</v>
      </c>
      <c r="G352">
        <v>1.03</v>
      </c>
      <c r="H352">
        <f t="shared" si="11"/>
        <v>658.17000000000007</v>
      </c>
    </row>
    <row r="353" spans="1:8" x14ac:dyDescent="0.15">
      <c r="A353" t="s">
        <v>71</v>
      </c>
      <c r="B353" t="s">
        <v>1287</v>
      </c>
      <c r="C353">
        <v>0</v>
      </c>
      <c r="E353">
        <f t="shared" si="10"/>
        <v>0</v>
      </c>
      <c r="F353">
        <v>64.599999999999994</v>
      </c>
      <c r="G353">
        <v>0.88</v>
      </c>
      <c r="H353">
        <f t="shared" si="11"/>
        <v>568.4799999999999</v>
      </c>
    </row>
    <row r="354" spans="1:8" x14ac:dyDescent="0.15">
      <c r="A354" t="s">
        <v>71</v>
      </c>
      <c r="B354" t="s">
        <v>1284</v>
      </c>
      <c r="C354">
        <v>0</v>
      </c>
      <c r="E354">
        <f t="shared" si="10"/>
        <v>0</v>
      </c>
      <c r="F354">
        <v>40.880000000000003</v>
      </c>
      <c r="G354">
        <v>0.79999999999999993</v>
      </c>
      <c r="H354">
        <f t="shared" si="11"/>
        <v>327.04000000000002</v>
      </c>
    </row>
    <row r="355" spans="1:8" x14ac:dyDescent="0.15">
      <c r="A355" t="s">
        <v>71</v>
      </c>
      <c r="B355" t="s">
        <v>1288</v>
      </c>
      <c r="C355">
        <v>0</v>
      </c>
      <c r="E355">
        <f t="shared" si="10"/>
        <v>0</v>
      </c>
      <c r="F355">
        <v>18.399999999999999</v>
      </c>
      <c r="G355">
        <v>0.92000000000000015</v>
      </c>
      <c r="H355">
        <f t="shared" si="11"/>
        <v>169.28</v>
      </c>
    </row>
    <row r="356" spans="1:8" x14ac:dyDescent="0.15">
      <c r="A356" t="s">
        <v>71</v>
      </c>
      <c r="B356" t="s">
        <v>1285</v>
      </c>
      <c r="C356">
        <v>0</v>
      </c>
      <c r="E356">
        <f t="shared" si="10"/>
        <v>0</v>
      </c>
      <c r="F356">
        <v>27</v>
      </c>
      <c r="G356">
        <v>1</v>
      </c>
      <c r="H356">
        <f t="shared" si="11"/>
        <v>270</v>
      </c>
    </row>
    <row r="357" spans="1:8" x14ac:dyDescent="0.15">
      <c r="A357" t="s">
        <v>35</v>
      </c>
      <c r="B357" t="s">
        <v>1290</v>
      </c>
      <c r="C357">
        <v>0</v>
      </c>
      <c r="E357">
        <f t="shared" si="10"/>
        <v>0</v>
      </c>
      <c r="F357">
        <v>175</v>
      </c>
      <c r="G357">
        <v>1.77</v>
      </c>
      <c r="H357">
        <f t="shared" si="11"/>
        <v>3097.5</v>
      </c>
    </row>
    <row r="358" spans="1:8" x14ac:dyDescent="0.15">
      <c r="A358" t="s">
        <v>35</v>
      </c>
      <c r="B358" t="s">
        <v>1291</v>
      </c>
      <c r="C358">
        <v>0</v>
      </c>
      <c r="E358">
        <f t="shared" si="10"/>
        <v>0</v>
      </c>
      <c r="F358">
        <v>194.6</v>
      </c>
      <c r="G358">
        <v>1.1000000000000001</v>
      </c>
      <c r="H358">
        <f t="shared" si="11"/>
        <v>2140.6</v>
      </c>
    </row>
    <row r="359" spans="1:8" x14ac:dyDescent="0.15">
      <c r="A359" t="s">
        <v>35</v>
      </c>
      <c r="B359" t="s">
        <v>1292</v>
      </c>
      <c r="C359">
        <v>0</v>
      </c>
      <c r="E359">
        <f t="shared" si="10"/>
        <v>0</v>
      </c>
      <c r="F359">
        <v>13</v>
      </c>
      <c r="G359">
        <v>1.31</v>
      </c>
      <c r="H359">
        <f t="shared" si="11"/>
        <v>170.3</v>
      </c>
    </row>
    <row r="360" spans="1:8" x14ac:dyDescent="0.15">
      <c r="A360" t="s">
        <v>35</v>
      </c>
      <c r="B360" t="s">
        <v>939</v>
      </c>
      <c r="C360">
        <v>12.75</v>
      </c>
      <c r="D360">
        <v>1.6816549019607845</v>
      </c>
      <c r="E360">
        <f t="shared" si="10"/>
        <v>214.41100000000003</v>
      </c>
      <c r="F360">
        <v>88.3</v>
      </c>
      <c r="G360">
        <v>1.4154156285390715</v>
      </c>
      <c r="H360">
        <f t="shared" si="11"/>
        <v>1249.8120000000001</v>
      </c>
    </row>
    <row r="361" spans="1:8" x14ac:dyDescent="0.15">
      <c r="A361" t="s">
        <v>35</v>
      </c>
      <c r="B361" t="s">
        <v>934</v>
      </c>
      <c r="C361">
        <v>134.5</v>
      </c>
      <c r="D361">
        <v>1.8680579925650558</v>
      </c>
      <c r="E361">
        <f t="shared" si="10"/>
        <v>2512.538</v>
      </c>
      <c r="F361">
        <v>286.59999999999997</v>
      </c>
      <c r="G361">
        <v>1.8859145150034891</v>
      </c>
      <c r="H361">
        <f t="shared" si="11"/>
        <v>5405.030999999999</v>
      </c>
    </row>
    <row r="362" spans="1:8" x14ac:dyDescent="0.15">
      <c r="A362" t="s">
        <v>35</v>
      </c>
      <c r="B362" t="s">
        <v>1293</v>
      </c>
      <c r="C362">
        <v>0</v>
      </c>
      <c r="E362">
        <f t="shared" si="10"/>
        <v>0</v>
      </c>
      <c r="F362">
        <v>27</v>
      </c>
      <c r="G362">
        <v>2.2000000000000002</v>
      </c>
      <c r="H362">
        <f t="shared" si="11"/>
        <v>594</v>
      </c>
    </row>
    <row r="363" spans="1:8" x14ac:dyDescent="0.15">
      <c r="A363" t="s">
        <v>35</v>
      </c>
      <c r="B363" t="s">
        <v>1299</v>
      </c>
      <c r="C363">
        <v>0</v>
      </c>
      <c r="E363">
        <f t="shared" si="10"/>
        <v>0</v>
      </c>
      <c r="F363">
        <v>37.058</v>
      </c>
      <c r="G363">
        <v>1.8168978358249233</v>
      </c>
      <c r="H363">
        <f t="shared" si="11"/>
        <v>673.30600000000004</v>
      </c>
    </row>
    <row r="364" spans="1:8" x14ac:dyDescent="0.15">
      <c r="A364" t="s">
        <v>35</v>
      </c>
      <c r="B364" t="s">
        <v>1294</v>
      </c>
      <c r="C364">
        <v>0</v>
      </c>
      <c r="E364">
        <f t="shared" si="10"/>
        <v>0</v>
      </c>
      <c r="F364">
        <v>440.39107000000001</v>
      </c>
      <c r="G364">
        <v>1.2519312067340511</v>
      </c>
      <c r="H364">
        <f t="shared" si="11"/>
        <v>5513.3932370000002</v>
      </c>
    </row>
    <row r="365" spans="1:8" x14ac:dyDescent="0.15">
      <c r="A365" t="s">
        <v>35</v>
      </c>
      <c r="B365" t="s">
        <v>940</v>
      </c>
      <c r="C365">
        <v>64.5</v>
      </c>
      <c r="D365">
        <v>1.3775782945736432</v>
      </c>
      <c r="E365">
        <f t="shared" si="10"/>
        <v>888.5379999999999</v>
      </c>
      <c r="F365">
        <v>131.30000000000001</v>
      </c>
      <c r="G365">
        <v>1.4069969535415079</v>
      </c>
      <c r="H365">
        <f t="shared" si="11"/>
        <v>1847.3869999999999</v>
      </c>
    </row>
    <row r="366" spans="1:8" x14ac:dyDescent="0.15">
      <c r="A366" t="s">
        <v>35</v>
      </c>
      <c r="B366" t="s">
        <v>935</v>
      </c>
      <c r="C366">
        <v>53.96</v>
      </c>
      <c r="D366">
        <v>1.6244773906597481</v>
      </c>
      <c r="E366">
        <f t="shared" si="10"/>
        <v>876.56799999999998</v>
      </c>
      <c r="F366">
        <v>166.72</v>
      </c>
      <c r="G366">
        <v>1.6488915547024949</v>
      </c>
      <c r="H366">
        <f t="shared" si="11"/>
        <v>2749.0319999999997</v>
      </c>
    </row>
    <row r="367" spans="1:8" x14ac:dyDescent="0.15">
      <c r="A367" t="s">
        <v>35</v>
      </c>
      <c r="B367" t="s">
        <v>1295</v>
      </c>
      <c r="C367">
        <v>0</v>
      </c>
      <c r="E367">
        <f t="shared" si="10"/>
        <v>0</v>
      </c>
      <c r="F367">
        <v>88</v>
      </c>
      <c r="G367">
        <v>1.2</v>
      </c>
      <c r="H367">
        <f t="shared" si="11"/>
        <v>1056</v>
      </c>
    </row>
    <row r="368" spans="1:8" x14ac:dyDescent="0.15">
      <c r="A368" t="s">
        <v>35</v>
      </c>
      <c r="B368" t="s">
        <v>941</v>
      </c>
      <c r="C368">
        <v>1.5</v>
      </c>
      <c r="D368">
        <v>1.6102666666666667</v>
      </c>
      <c r="E368">
        <f t="shared" si="10"/>
        <v>24.154</v>
      </c>
      <c r="F368">
        <v>18.43</v>
      </c>
      <c r="G368">
        <v>1.4007704829083016</v>
      </c>
      <c r="H368">
        <f t="shared" si="11"/>
        <v>258.16199999999998</v>
      </c>
    </row>
    <row r="369" spans="1:8" x14ac:dyDescent="0.15">
      <c r="A369" t="s">
        <v>35</v>
      </c>
      <c r="B369" t="s">
        <v>936</v>
      </c>
      <c r="C369">
        <v>18.810000000000002</v>
      </c>
      <c r="D369">
        <v>1.8070866560340244</v>
      </c>
      <c r="E369">
        <f t="shared" si="10"/>
        <v>339.91300000000001</v>
      </c>
      <c r="F369">
        <v>30.75</v>
      </c>
      <c r="G369">
        <v>1.8131154471544715</v>
      </c>
      <c r="H369">
        <f t="shared" si="11"/>
        <v>557.5329999999999</v>
      </c>
    </row>
    <row r="370" spans="1:8" x14ac:dyDescent="0.15">
      <c r="A370" t="s">
        <v>35</v>
      </c>
      <c r="B370" t="s">
        <v>942</v>
      </c>
      <c r="C370">
        <v>5.51</v>
      </c>
      <c r="D370">
        <v>1.5549727767695101</v>
      </c>
      <c r="E370">
        <f t="shared" si="10"/>
        <v>85.679000000000002</v>
      </c>
      <c r="F370">
        <v>128.71</v>
      </c>
      <c r="G370">
        <v>1.4534364074275501</v>
      </c>
      <c r="H370">
        <f t="shared" si="11"/>
        <v>1870.7179999999998</v>
      </c>
    </row>
    <row r="371" spans="1:8" x14ac:dyDescent="0.15">
      <c r="A371" t="s">
        <v>35</v>
      </c>
      <c r="B371" t="s">
        <v>937</v>
      </c>
      <c r="C371">
        <v>28.87</v>
      </c>
      <c r="D371">
        <v>1.8902009005888467</v>
      </c>
      <c r="E371">
        <f t="shared" si="10"/>
        <v>545.70100000000002</v>
      </c>
      <c r="F371">
        <v>116.86000000000001</v>
      </c>
      <c r="G371">
        <v>1.9175680301215126</v>
      </c>
      <c r="H371">
        <f t="shared" si="11"/>
        <v>2240.87</v>
      </c>
    </row>
    <row r="372" spans="1:8" x14ac:dyDescent="0.15">
      <c r="A372" t="s">
        <v>35</v>
      </c>
      <c r="B372" t="s">
        <v>938</v>
      </c>
      <c r="C372">
        <v>116.5</v>
      </c>
      <c r="D372">
        <v>1.7448583690987125</v>
      </c>
      <c r="E372">
        <f t="shared" si="10"/>
        <v>2032.7600000000002</v>
      </c>
      <c r="F372">
        <v>116.5</v>
      </c>
      <c r="G372">
        <v>1.7448583690987125</v>
      </c>
      <c r="H372">
        <f t="shared" si="11"/>
        <v>2032.7600000000002</v>
      </c>
    </row>
    <row r="373" spans="1:8" x14ac:dyDescent="0.15">
      <c r="A373" t="s">
        <v>35</v>
      </c>
      <c r="B373" t="s">
        <v>1289</v>
      </c>
      <c r="C373">
        <v>0</v>
      </c>
      <c r="E373">
        <f t="shared" si="10"/>
        <v>0</v>
      </c>
      <c r="F373">
        <v>56</v>
      </c>
      <c r="G373">
        <v>1.5</v>
      </c>
      <c r="H373">
        <f t="shared" si="11"/>
        <v>840</v>
      </c>
    </row>
    <row r="374" spans="1:8" x14ac:dyDescent="0.15">
      <c r="A374" t="s">
        <v>35</v>
      </c>
      <c r="B374" t="s">
        <v>1296</v>
      </c>
      <c r="C374">
        <v>0</v>
      </c>
      <c r="E374">
        <f t="shared" si="10"/>
        <v>0</v>
      </c>
      <c r="F374">
        <v>97</v>
      </c>
      <c r="G374">
        <v>1.78</v>
      </c>
      <c r="H374">
        <f t="shared" si="11"/>
        <v>1726.6</v>
      </c>
    </row>
    <row r="375" spans="1:8" x14ac:dyDescent="0.15">
      <c r="A375" t="s">
        <v>35</v>
      </c>
      <c r="B375" t="s">
        <v>1297</v>
      </c>
      <c r="C375">
        <v>0</v>
      </c>
      <c r="E375">
        <f t="shared" si="10"/>
        <v>0</v>
      </c>
      <c r="F375">
        <v>162</v>
      </c>
      <c r="G375">
        <v>1.6199999999999999</v>
      </c>
      <c r="H375">
        <f t="shared" si="11"/>
        <v>2624.4</v>
      </c>
    </row>
    <row r="376" spans="1:8" x14ac:dyDescent="0.15">
      <c r="A376" t="s">
        <v>35</v>
      </c>
      <c r="B376" t="s">
        <v>1298</v>
      </c>
      <c r="C376">
        <v>0</v>
      </c>
      <c r="E376">
        <f t="shared" si="10"/>
        <v>0</v>
      </c>
      <c r="F376">
        <v>635</v>
      </c>
      <c r="G376">
        <v>1.4700440944881892</v>
      </c>
      <c r="H376">
        <f t="shared" si="11"/>
        <v>9334.7800000000025</v>
      </c>
    </row>
    <row r="377" spans="1:8" x14ac:dyDescent="0.15">
      <c r="A377" t="s">
        <v>37</v>
      </c>
      <c r="B377" t="s">
        <v>1301</v>
      </c>
      <c r="C377">
        <v>0</v>
      </c>
      <c r="E377">
        <f t="shared" si="10"/>
        <v>0</v>
      </c>
      <c r="F377">
        <v>9.6999999999999993</v>
      </c>
      <c r="G377">
        <v>0.91</v>
      </c>
      <c r="H377">
        <f t="shared" si="11"/>
        <v>88.27</v>
      </c>
    </row>
    <row r="378" spans="1:8" x14ac:dyDescent="0.15">
      <c r="A378" t="s">
        <v>37</v>
      </c>
      <c r="B378" t="s">
        <v>1300</v>
      </c>
      <c r="C378">
        <v>0</v>
      </c>
      <c r="E378">
        <f t="shared" si="10"/>
        <v>0</v>
      </c>
      <c r="F378">
        <v>8.6999999999999993</v>
      </c>
      <c r="G378">
        <v>1.1399999999999999</v>
      </c>
      <c r="H378">
        <f t="shared" si="11"/>
        <v>99.179999999999978</v>
      </c>
    </row>
    <row r="379" spans="1:8" x14ac:dyDescent="0.15">
      <c r="A379" t="s">
        <v>37</v>
      </c>
      <c r="B379" t="s">
        <v>1302</v>
      </c>
      <c r="C379">
        <v>0</v>
      </c>
      <c r="E379">
        <f t="shared" si="10"/>
        <v>0</v>
      </c>
      <c r="F379">
        <v>107.4</v>
      </c>
      <c r="G379">
        <v>0.84000000000000008</v>
      </c>
      <c r="H379">
        <f t="shared" si="11"/>
        <v>902.16000000000008</v>
      </c>
    </row>
    <row r="380" spans="1:8" x14ac:dyDescent="0.15">
      <c r="A380" t="s">
        <v>1303</v>
      </c>
      <c r="B380" t="s">
        <v>1304</v>
      </c>
      <c r="C380">
        <v>0</v>
      </c>
      <c r="E380">
        <f t="shared" si="10"/>
        <v>0</v>
      </c>
      <c r="F380">
        <v>10</v>
      </c>
      <c r="G380">
        <v>1.175</v>
      </c>
      <c r="H380">
        <f t="shared" si="11"/>
        <v>117.5</v>
      </c>
    </row>
    <row r="381" spans="1:8" x14ac:dyDescent="0.15">
      <c r="A381" t="s">
        <v>1303</v>
      </c>
      <c r="B381" t="s">
        <v>1305</v>
      </c>
      <c r="C381">
        <v>0</v>
      </c>
      <c r="E381">
        <f t="shared" si="10"/>
        <v>0</v>
      </c>
      <c r="F381">
        <v>2.9999999999999996</v>
      </c>
      <c r="G381">
        <v>1</v>
      </c>
      <c r="H381">
        <f t="shared" si="11"/>
        <v>29.999999999999996</v>
      </c>
    </row>
    <row r="382" spans="1:8" x14ac:dyDescent="0.15">
      <c r="A382" t="s">
        <v>77</v>
      </c>
      <c r="B382" t="s">
        <v>943</v>
      </c>
      <c r="C382">
        <v>152.5</v>
      </c>
      <c r="D382">
        <v>0.93327213114754104</v>
      </c>
      <c r="E382">
        <f t="shared" si="10"/>
        <v>1423.2400000000002</v>
      </c>
      <c r="F382">
        <v>228.8</v>
      </c>
      <c r="G382">
        <v>0.90638986013986012</v>
      </c>
      <c r="H382">
        <f t="shared" si="11"/>
        <v>2073.8200000000002</v>
      </c>
    </row>
    <row r="383" spans="1:8" x14ac:dyDescent="0.15">
      <c r="A383" t="s">
        <v>77</v>
      </c>
      <c r="B383" t="s">
        <v>1306</v>
      </c>
      <c r="C383">
        <v>0</v>
      </c>
      <c r="E383">
        <f t="shared" si="10"/>
        <v>0</v>
      </c>
      <c r="F383">
        <v>3.7</v>
      </c>
      <c r="G383">
        <v>1.75</v>
      </c>
      <c r="H383">
        <f t="shared" si="11"/>
        <v>64.75</v>
      </c>
    </row>
    <row r="384" spans="1:8" x14ac:dyDescent="0.15">
      <c r="A384" t="s">
        <v>1307</v>
      </c>
      <c r="B384" t="s">
        <v>1308</v>
      </c>
      <c r="C384">
        <v>0</v>
      </c>
      <c r="E384">
        <f t="shared" si="10"/>
        <v>0</v>
      </c>
      <c r="F384">
        <v>8.5530000000000008</v>
      </c>
      <c r="G384">
        <v>0.36276043493511045</v>
      </c>
      <c r="H384">
        <f t="shared" si="11"/>
        <v>31.026899999999998</v>
      </c>
    </row>
    <row r="385" spans="1:8" x14ac:dyDescent="0.15">
      <c r="A385" t="s">
        <v>78</v>
      </c>
      <c r="B385" t="s">
        <v>944</v>
      </c>
      <c r="C385">
        <v>5.9999999999999991E-2</v>
      </c>
      <c r="D385">
        <v>1</v>
      </c>
      <c r="E385">
        <f t="shared" si="10"/>
        <v>0.59999999999999987</v>
      </c>
      <c r="F385">
        <v>1.82</v>
      </c>
      <c r="G385">
        <v>1</v>
      </c>
      <c r="H385">
        <f t="shared" si="11"/>
        <v>18.2</v>
      </c>
    </row>
    <row r="386" spans="1:8" x14ac:dyDescent="0.15">
      <c r="A386" t="s">
        <v>1309</v>
      </c>
      <c r="B386" t="s">
        <v>1311</v>
      </c>
      <c r="C386">
        <v>0</v>
      </c>
      <c r="E386">
        <f t="shared" ref="E386:E449" si="12">C386*D386*10</f>
        <v>0</v>
      </c>
      <c r="F386">
        <v>110</v>
      </c>
      <c r="G386">
        <v>1.0900000000000001</v>
      </c>
      <c r="H386">
        <f t="shared" ref="H386:H449" si="13">F386*G386*10</f>
        <v>1199</v>
      </c>
    </row>
    <row r="387" spans="1:8" x14ac:dyDescent="0.15">
      <c r="A387" t="s">
        <v>1309</v>
      </c>
      <c r="B387" t="s">
        <v>1310</v>
      </c>
      <c r="C387">
        <v>0</v>
      </c>
      <c r="E387">
        <f t="shared" si="12"/>
        <v>0</v>
      </c>
      <c r="F387">
        <v>40</v>
      </c>
      <c r="G387">
        <v>2.15</v>
      </c>
      <c r="H387">
        <f t="shared" si="13"/>
        <v>860</v>
      </c>
    </row>
    <row r="388" spans="1:8" x14ac:dyDescent="0.15">
      <c r="A388" t="s">
        <v>74</v>
      </c>
      <c r="B388" t="s">
        <v>946</v>
      </c>
      <c r="C388">
        <v>36.299999999999997</v>
      </c>
      <c r="D388">
        <v>2.5306611570247934</v>
      </c>
      <c r="E388">
        <f t="shared" si="12"/>
        <v>918.63</v>
      </c>
      <c r="F388">
        <v>189.6</v>
      </c>
      <c r="G388">
        <v>2.4182225738396625</v>
      </c>
      <c r="H388">
        <f t="shared" si="13"/>
        <v>4584.95</v>
      </c>
    </row>
    <row r="389" spans="1:8" x14ac:dyDescent="0.15">
      <c r="A389" t="s">
        <v>74</v>
      </c>
      <c r="B389" t="s">
        <v>1312</v>
      </c>
      <c r="C389">
        <v>0</v>
      </c>
      <c r="E389">
        <f t="shared" si="12"/>
        <v>0</v>
      </c>
      <c r="F389">
        <v>111.17</v>
      </c>
      <c r="G389">
        <v>1.4150366105963839</v>
      </c>
      <c r="H389">
        <f t="shared" si="13"/>
        <v>1573.0962</v>
      </c>
    </row>
    <row r="390" spans="1:8" x14ac:dyDescent="0.15">
      <c r="A390" t="s">
        <v>74</v>
      </c>
      <c r="B390" t="s">
        <v>945</v>
      </c>
      <c r="C390">
        <v>41.8</v>
      </c>
      <c r="D390">
        <v>2.219593301435407</v>
      </c>
      <c r="E390">
        <f t="shared" si="12"/>
        <v>927.79000000000008</v>
      </c>
      <c r="F390">
        <v>139.4</v>
      </c>
      <c r="G390">
        <v>2.4668866571018651</v>
      </c>
      <c r="H390">
        <f t="shared" si="13"/>
        <v>3438.84</v>
      </c>
    </row>
    <row r="391" spans="1:8" x14ac:dyDescent="0.15">
      <c r="A391" t="s">
        <v>74</v>
      </c>
      <c r="B391" t="s">
        <v>1313</v>
      </c>
      <c r="C391">
        <v>0</v>
      </c>
      <c r="E391">
        <f t="shared" si="12"/>
        <v>0</v>
      </c>
      <c r="F391">
        <v>150</v>
      </c>
      <c r="G391">
        <v>1.38</v>
      </c>
      <c r="H391">
        <f t="shared" si="13"/>
        <v>2069.9999999999995</v>
      </c>
    </row>
    <row r="392" spans="1:8" x14ac:dyDescent="0.15">
      <c r="A392" t="s">
        <v>324</v>
      </c>
      <c r="B392" t="s">
        <v>1319</v>
      </c>
      <c r="C392">
        <v>0</v>
      </c>
      <c r="E392">
        <f t="shared" si="12"/>
        <v>0</v>
      </c>
      <c r="F392">
        <v>9.15</v>
      </c>
      <c r="G392">
        <v>0.36</v>
      </c>
      <c r="H392">
        <f t="shared" si="13"/>
        <v>32.94</v>
      </c>
    </row>
    <row r="393" spans="1:8" x14ac:dyDescent="0.15">
      <c r="A393" t="s">
        <v>324</v>
      </c>
      <c r="B393" t="s">
        <v>1314</v>
      </c>
      <c r="C393">
        <v>0</v>
      </c>
      <c r="E393">
        <f t="shared" si="12"/>
        <v>0</v>
      </c>
      <c r="F393">
        <v>10.062999999999999</v>
      </c>
      <c r="G393">
        <v>0.26838417966809103</v>
      </c>
      <c r="H393">
        <f t="shared" si="13"/>
        <v>27.007499999999997</v>
      </c>
    </row>
    <row r="394" spans="1:8" x14ac:dyDescent="0.15">
      <c r="A394" t="s">
        <v>324</v>
      </c>
      <c r="B394" t="s">
        <v>1315</v>
      </c>
      <c r="C394">
        <v>0</v>
      </c>
      <c r="E394">
        <f t="shared" si="12"/>
        <v>0</v>
      </c>
      <c r="F394">
        <v>2.698</v>
      </c>
      <c r="G394">
        <v>0.83</v>
      </c>
      <c r="H394">
        <f t="shared" si="13"/>
        <v>22.3934</v>
      </c>
    </row>
    <row r="395" spans="1:8" x14ac:dyDescent="0.15">
      <c r="A395" t="s">
        <v>324</v>
      </c>
      <c r="B395" t="s">
        <v>1318</v>
      </c>
      <c r="C395">
        <v>0</v>
      </c>
      <c r="E395">
        <f t="shared" si="12"/>
        <v>0</v>
      </c>
      <c r="F395">
        <v>2.6</v>
      </c>
      <c r="G395">
        <v>0.75</v>
      </c>
      <c r="H395">
        <f t="shared" si="13"/>
        <v>19.5</v>
      </c>
    </row>
    <row r="396" spans="1:8" x14ac:dyDescent="0.15">
      <c r="A396" t="s">
        <v>324</v>
      </c>
      <c r="B396" t="s">
        <v>1316</v>
      </c>
      <c r="C396">
        <v>0</v>
      </c>
      <c r="E396">
        <f t="shared" si="12"/>
        <v>0</v>
      </c>
      <c r="F396">
        <v>1.0129999999999999</v>
      </c>
      <c r="G396">
        <v>1.0900000000000001</v>
      </c>
      <c r="H396">
        <f t="shared" si="13"/>
        <v>11.041699999999999</v>
      </c>
    </row>
    <row r="397" spans="1:8" x14ac:dyDescent="0.15">
      <c r="A397" t="s">
        <v>324</v>
      </c>
      <c r="B397" t="s">
        <v>1317</v>
      </c>
      <c r="C397">
        <v>0</v>
      </c>
      <c r="E397">
        <f t="shared" si="12"/>
        <v>0</v>
      </c>
      <c r="F397">
        <v>0.31</v>
      </c>
      <c r="G397">
        <v>1.2</v>
      </c>
      <c r="H397">
        <f t="shared" si="13"/>
        <v>3.7199999999999998</v>
      </c>
    </row>
    <row r="398" spans="1:8" x14ac:dyDescent="0.15">
      <c r="A398" t="s">
        <v>1320</v>
      </c>
      <c r="B398" t="s">
        <v>1321</v>
      </c>
      <c r="C398">
        <v>0</v>
      </c>
      <c r="E398">
        <f t="shared" si="12"/>
        <v>0</v>
      </c>
      <c r="F398">
        <v>150</v>
      </c>
      <c r="G398">
        <v>0.7</v>
      </c>
      <c r="H398">
        <f t="shared" si="13"/>
        <v>1050</v>
      </c>
    </row>
    <row r="399" spans="1:8" x14ac:dyDescent="0.15">
      <c r="A399" s="5" t="s">
        <v>873</v>
      </c>
      <c r="B399" t="s">
        <v>1352</v>
      </c>
      <c r="C399">
        <v>0</v>
      </c>
      <c r="E399">
        <f t="shared" si="12"/>
        <v>0</v>
      </c>
      <c r="F399">
        <v>23.333333333333329</v>
      </c>
      <c r="G399">
        <v>0.9</v>
      </c>
      <c r="H399">
        <f t="shared" si="13"/>
        <v>209.99999999999997</v>
      </c>
    </row>
    <row r="400" spans="1:8" x14ac:dyDescent="0.15">
      <c r="A400" t="s">
        <v>873</v>
      </c>
      <c r="B400" t="s">
        <v>1353</v>
      </c>
      <c r="C400">
        <v>0</v>
      </c>
      <c r="E400">
        <f t="shared" si="12"/>
        <v>0</v>
      </c>
      <c r="F400">
        <v>13.321792</v>
      </c>
      <c r="G400">
        <v>0.71356924954240375</v>
      </c>
      <c r="H400">
        <f t="shared" si="13"/>
        <v>95.060211199999983</v>
      </c>
    </row>
    <row r="401" spans="1:8" x14ac:dyDescent="0.15">
      <c r="A401" t="s">
        <v>873</v>
      </c>
      <c r="B401" t="s">
        <v>1351</v>
      </c>
      <c r="C401">
        <v>0</v>
      </c>
      <c r="E401">
        <f t="shared" si="12"/>
        <v>0</v>
      </c>
      <c r="F401">
        <v>70</v>
      </c>
      <c r="G401">
        <v>0.68</v>
      </c>
      <c r="H401">
        <f t="shared" si="13"/>
        <v>476</v>
      </c>
    </row>
    <row r="402" spans="1:8" x14ac:dyDescent="0.15">
      <c r="A402" t="s">
        <v>873</v>
      </c>
      <c r="B402" t="s">
        <v>1349</v>
      </c>
      <c r="C402">
        <v>0</v>
      </c>
      <c r="E402">
        <f t="shared" si="12"/>
        <v>0</v>
      </c>
      <c r="F402">
        <v>162.5</v>
      </c>
      <c r="G402">
        <v>0.94</v>
      </c>
      <c r="H402">
        <f t="shared" si="13"/>
        <v>1527.5</v>
      </c>
    </row>
    <row r="403" spans="1:8" x14ac:dyDescent="0.15">
      <c r="A403" t="s">
        <v>873</v>
      </c>
      <c r="B403" t="s">
        <v>954</v>
      </c>
      <c r="C403">
        <v>57</v>
      </c>
      <c r="D403">
        <v>0.89999999999999991</v>
      </c>
      <c r="E403">
        <f t="shared" si="12"/>
        <v>513</v>
      </c>
      <c r="F403">
        <v>136</v>
      </c>
      <c r="G403">
        <v>0.94411764705882362</v>
      </c>
      <c r="H403">
        <f t="shared" si="13"/>
        <v>1284</v>
      </c>
    </row>
    <row r="404" spans="1:8" x14ac:dyDescent="0.15">
      <c r="A404" t="s">
        <v>873</v>
      </c>
      <c r="B404" t="s">
        <v>1350</v>
      </c>
      <c r="C404">
        <v>0</v>
      </c>
      <c r="E404">
        <f t="shared" si="12"/>
        <v>0</v>
      </c>
      <c r="F404">
        <v>125</v>
      </c>
      <c r="G404">
        <v>1.0512000000000001</v>
      </c>
      <c r="H404">
        <f t="shared" si="13"/>
        <v>1314</v>
      </c>
    </row>
    <row r="405" spans="1:8" x14ac:dyDescent="0.15">
      <c r="A405" t="s">
        <v>75</v>
      </c>
      <c r="B405" t="s">
        <v>1337</v>
      </c>
      <c r="C405">
        <v>0</v>
      </c>
      <c r="E405">
        <f t="shared" si="12"/>
        <v>0</v>
      </c>
      <c r="F405">
        <v>30.76</v>
      </c>
      <c r="G405">
        <v>1.1200000000000001</v>
      </c>
      <c r="H405">
        <f t="shared" si="13"/>
        <v>344.51200000000006</v>
      </c>
    </row>
    <row r="406" spans="1:8" x14ac:dyDescent="0.15">
      <c r="A406" t="s">
        <v>75</v>
      </c>
      <c r="B406" t="s">
        <v>1325</v>
      </c>
      <c r="C406">
        <v>0</v>
      </c>
      <c r="E406">
        <f t="shared" si="12"/>
        <v>0</v>
      </c>
      <c r="F406">
        <v>45.18</v>
      </c>
      <c r="G406">
        <v>1.0017264276228419</v>
      </c>
      <c r="H406">
        <f t="shared" si="13"/>
        <v>452.57999999999993</v>
      </c>
    </row>
    <row r="407" spans="1:8" x14ac:dyDescent="0.15">
      <c r="A407" t="s">
        <v>75</v>
      </c>
      <c r="B407" t="s">
        <v>1326</v>
      </c>
      <c r="C407">
        <v>0</v>
      </c>
      <c r="E407">
        <f t="shared" si="12"/>
        <v>0</v>
      </c>
      <c r="F407">
        <v>2.7210000000000001</v>
      </c>
      <c r="G407">
        <v>1.2996655641308341</v>
      </c>
      <c r="H407">
        <f t="shared" si="13"/>
        <v>35.363900000000001</v>
      </c>
    </row>
    <row r="408" spans="1:8" x14ac:dyDescent="0.15">
      <c r="A408" t="s">
        <v>75</v>
      </c>
      <c r="B408" t="s">
        <v>1322</v>
      </c>
      <c r="C408">
        <v>0</v>
      </c>
      <c r="E408">
        <f t="shared" si="12"/>
        <v>0</v>
      </c>
      <c r="F408">
        <v>9.1300000000000008</v>
      </c>
      <c r="G408">
        <v>1.55</v>
      </c>
      <c r="H408">
        <f t="shared" si="13"/>
        <v>141.51500000000001</v>
      </c>
    </row>
    <row r="409" spans="1:8" x14ac:dyDescent="0.15">
      <c r="A409" t="s">
        <v>75</v>
      </c>
      <c r="B409" t="s">
        <v>1327</v>
      </c>
      <c r="C409">
        <v>0</v>
      </c>
      <c r="E409">
        <f t="shared" si="12"/>
        <v>0</v>
      </c>
      <c r="F409">
        <v>5.8180379999999996</v>
      </c>
      <c r="G409">
        <v>1.0589129015657857</v>
      </c>
      <c r="H409">
        <f t="shared" si="13"/>
        <v>61.607954999999997</v>
      </c>
    </row>
    <row r="410" spans="1:8" x14ac:dyDescent="0.15">
      <c r="A410" t="s">
        <v>75</v>
      </c>
      <c r="B410" t="s">
        <v>949</v>
      </c>
      <c r="C410">
        <v>36.342671000000003</v>
      </c>
      <c r="D410">
        <v>1.2226758630371444</v>
      </c>
      <c r="E410">
        <f t="shared" si="12"/>
        <v>444.35306630000002</v>
      </c>
      <c r="F410">
        <v>54.16</v>
      </c>
      <c r="G410">
        <v>1.1394848596750371</v>
      </c>
      <c r="H410">
        <f t="shared" si="13"/>
        <v>617.1450000000001</v>
      </c>
    </row>
    <row r="411" spans="1:8" x14ac:dyDescent="0.15">
      <c r="A411" t="s">
        <v>75</v>
      </c>
      <c r="B411" t="s">
        <v>950</v>
      </c>
      <c r="C411">
        <v>25.215</v>
      </c>
      <c r="D411">
        <v>1.3425282569898869</v>
      </c>
      <c r="E411">
        <f t="shared" si="12"/>
        <v>338.51850000000002</v>
      </c>
      <c r="F411">
        <v>34.18</v>
      </c>
      <c r="G411">
        <v>1.2908616149795202</v>
      </c>
      <c r="H411">
        <f t="shared" si="13"/>
        <v>441.2165</v>
      </c>
    </row>
    <row r="412" spans="1:8" x14ac:dyDescent="0.15">
      <c r="A412" t="s">
        <v>75</v>
      </c>
      <c r="B412" t="s">
        <v>1346</v>
      </c>
      <c r="C412">
        <v>0</v>
      </c>
      <c r="E412">
        <f t="shared" si="12"/>
        <v>0</v>
      </c>
      <c r="F412">
        <v>21</v>
      </c>
      <c r="G412">
        <v>1.1000000000000001</v>
      </c>
      <c r="H412">
        <f t="shared" si="13"/>
        <v>231</v>
      </c>
    </row>
    <row r="413" spans="1:8" x14ac:dyDescent="0.15">
      <c r="A413" t="s">
        <v>75</v>
      </c>
      <c r="B413" t="s">
        <v>1338</v>
      </c>
      <c r="C413">
        <v>0</v>
      </c>
      <c r="E413">
        <f t="shared" si="12"/>
        <v>0</v>
      </c>
      <c r="F413">
        <v>9.8970000000000002</v>
      </c>
      <c r="G413">
        <v>1.02</v>
      </c>
      <c r="H413">
        <f t="shared" si="13"/>
        <v>100.94940000000001</v>
      </c>
    </row>
    <row r="414" spans="1:8" x14ac:dyDescent="0.15">
      <c r="A414" t="s">
        <v>75</v>
      </c>
      <c r="B414" t="s">
        <v>952</v>
      </c>
      <c r="C414">
        <v>35.694000000000003</v>
      </c>
      <c r="D414">
        <v>1.3618577351935899</v>
      </c>
      <c r="E414">
        <f t="shared" si="12"/>
        <v>486.10149999999999</v>
      </c>
      <c r="F414">
        <v>89.89</v>
      </c>
      <c r="G414">
        <v>1.1934208477027479</v>
      </c>
      <c r="H414">
        <f t="shared" si="13"/>
        <v>1072.7660000000001</v>
      </c>
    </row>
    <row r="415" spans="1:8" x14ac:dyDescent="0.15">
      <c r="A415" t="s">
        <v>75</v>
      </c>
      <c r="B415" t="s">
        <v>947</v>
      </c>
      <c r="C415">
        <v>2.9580000000000002</v>
      </c>
      <c r="D415">
        <v>1.2200135226504394</v>
      </c>
      <c r="E415">
        <f t="shared" si="12"/>
        <v>36.088000000000001</v>
      </c>
      <c r="F415">
        <v>19.537000000000003</v>
      </c>
      <c r="G415">
        <v>1.1664272918052925</v>
      </c>
      <c r="H415">
        <f t="shared" si="13"/>
        <v>227.88490000000002</v>
      </c>
    </row>
    <row r="416" spans="1:8" x14ac:dyDescent="0.15">
      <c r="A416" t="s">
        <v>75</v>
      </c>
      <c r="B416" t="s">
        <v>1334</v>
      </c>
      <c r="C416">
        <v>0</v>
      </c>
      <c r="E416">
        <f t="shared" si="12"/>
        <v>0</v>
      </c>
      <c r="F416">
        <v>52.745999999999995</v>
      </c>
      <c r="G416">
        <v>1.1129325446479357</v>
      </c>
      <c r="H416">
        <f t="shared" si="13"/>
        <v>587.02740000000017</v>
      </c>
    </row>
    <row r="417" spans="1:8" x14ac:dyDescent="0.15">
      <c r="A417" t="s">
        <v>75</v>
      </c>
      <c r="B417" t="s">
        <v>1341</v>
      </c>
      <c r="C417">
        <v>0</v>
      </c>
      <c r="E417">
        <f t="shared" si="12"/>
        <v>0</v>
      </c>
      <c r="F417">
        <v>43.37</v>
      </c>
      <c r="G417">
        <v>1.2</v>
      </c>
      <c r="H417">
        <f t="shared" si="13"/>
        <v>520.43999999999994</v>
      </c>
    </row>
    <row r="418" spans="1:8" x14ac:dyDescent="0.15">
      <c r="A418" t="s">
        <v>75</v>
      </c>
      <c r="B418" t="s">
        <v>1344</v>
      </c>
      <c r="C418">
        <v>0</v>
      </c>
      <c r="E418">
        <f t="shared" si="12"/>
        <v>0</v>
      </c>
      <c r="F418">
        <v>42.38</v>
      </c>
      <c r="G418">
        <v>1.1599999999999999</v>
      </c>
      <c r="H418">
        <f t="shared" si="13"/>
        <v>491.608</v>
      </c>
    </row>
    <row r="419" spans="1:8" x14ac:dyDescent="0.15">
      <c r="A419" t="s">
        <v>75</v>
      </c>
      <c r="B419" t="s">
        <v>1343</v>
      </c>
      <c r="C419">
        <v>0</v>
      </c>
      <c r="E419">
        <f t="shared" si="12"/>
        <v>0</v>
      </c>
      <c r="F419">
        <v>35</v>
      </c>
      <c r="G419">
        <v>0.65</v>
      </c>
      <c r="H419">
        <f t="shared" si="13"/>
        <v>227.5</v>
      </c>
    </row>
    <row r="420" spans="1:8" x14ac:dyDescent="0.15">
      <c r="A420" t="s">
        <v>75</v>
      </c>
      <c r="B420" t="s">
        <v>1339</v>
      </c>
      <c r="C420">
        <v>0</v>
      </c>
      <c r="E420">
        <f t="shared" si="12"/>
        <v>0</v>
      </c>
      <c r="F420">
        <v>87</v>
      </c>
      <c r="G420">
        <v>1.37</v>
      </c>
      <c r="H420">
        <f t="shared" si="13"/>
        <v>1191.9000000000001</v>
      </c>
    </row>
    <row r="421" spans="1:8" x14ac:dyDescent="0.15">
      <c r="A421" t="s">
        <v>75</v>
      </c>
      <c r="B421" t="s">
        <v>1332</v>
      </c>
      <c r="C421">
        <v>0</v>
      </c>
      <c r="E421">
        <f t="shared" si="12"/>
        <v>0</v>
      </c>
      <c r="F421">
        <v>34.31</v>
      </c>
      <c r="G421">
        <v>1.1100000000000001</v>
      </c>
      <c r="H421">
        <f t="shared" si="13"/>
        <v>380.84100000000007</v>
      </c>
    </row>
    <row r="422" spans="1:8" x14ac:dyDescent="0.15">
      <c r="A422" t="s">
        <v>75</v>
      </c>
      <c r="B422" t="s">
        <v>1328</v>
      </c>
      <c r="C422">
        <v>0</v>
      </c>
      <c r="E422">
        <f t="shared" si="12"/>
        <v>0</v>
      </c>
      <c r="F422">
        <v>1.0596000000000001</v>
      </c>
      <c r="G422">
        <v>1.0443488108720271</v>
      </c>
      <c r="H422">
        <f t="shared" si="13"/>
        <v>11.06592</v>
      </c>
    </row>
    <row r="423" spans="1:8" x14ac:dyDescent="0.15">
      <c r="A423" t="s">
        <v>75</v>
      </c>
      <c r="B423" t="s">
        <v>1348</v>
      </c>
      <c r="C423">
        <v>0</v>
      </c>
      <c r="E423">
        <f t="shared" si="12"/>
        <v>0</v>
      </c>
      <c r="F423">
        <v>13.055</v>
      </c>
      <c r="G423">
        <v>1.0379731903485254</v>
      </c>
      <c r="H423">
        <f t="shared" si="13"/>
        <v>135.50739999999999</v>
      </c>
    </row>
    <row r="424" spans="1:8" x14ac:dyDescent="0.15">
      <c r="A424" t="s">
        <v>75</v>
      </c>
      <c r="B424" t="s">
        <v>1342</v>
      </c>
      <c r="C424">
        <v>0</v>
      </c>
      <c r="E424">
        <f t="shared" si="12"/>
        <v>0</v>
      </c>
      <c r="F424">
        <v>24</v>
      </c>
      <c r="G424">
        <v>1.68</v>
      </c>
      <c r="H424">
        <f t="shared" si="13"/>
        <v>403.2</v>
      </c>
    </row>
    <row r="425" spans="1:8" x14ac:dyDescent="0.15">
      <c r="A425" t="s">
        <v>75</v>
      </c>
      <c r="B425" t="s">
        <v>953</v>
      </c>
      <c r="C425">
        <v>126.27</v>
      </c>
      <c r="D425">
        <v>0.95</v>
      </c>
      <c r="E425">
        <f t="shared" si="12"/>
        <v>1199.5649999999998</v>
      </c>
      <c r="F425">
        <v>198.863</v>
      </c>
      <c r="G425">
        <v>0.86</v>
      </c>
      <c r="H425">
        <f t="shared" si="13"/>
        <v>1710.2217999999998</v>
      </c>
    </row>
    <row r="426" spans="1:8" x14ac:dyDescent="0.15">
      <c r="A426" t="s">
        <v>75</v>
      </c>
      <c r="B426" t="s">
        <v>1347</v>
      </c>
      <c r="C426">
        <v>0</v>
      </c>
      <c r="E426">
        <f t="shared" si="12"/>
        <v>0</v>
      </c>
      <c r="F426">
        <v>42.364600000000003</v>
      </c>
      <c r="G426">
        <v>0.90872325479291682</v>
      </c>
      <c r="H426">
        <f t="shared" si="13"/>
        <v>384.97697200000005</v>
      </c>
    </row>
    <row r="427" spans="1:8" x14ac:dyDescent="0.15">
      <c r="A427" t="s">
        <v>75</v>
      </c>
      <c r="B427" t="s">
        <v>1323</v>
      </c>
      <c r="C427">
        <v>0</v>
      </c>
      <c r="E427">
        <f t="shared" si="12"/>
        <v>0</v>
      </c>
      <c r="F427">
        <v>43</v>
      </c>
      <c r="G427">
        <v>0.79999999999999993</v>
      </c>
      <c r="H427">
        <f t="shared" si="13"/>
        <v>344</v>
      </c>
    </row>
    <row r="428" spans="1:8" x14ac:dyDescent="0.15">
      <c r="A428" t="s">
        <v>75</v>
      </c>
      <c r="B428" t="s">
        <v>1335</v>
      </c>
      <c r="C428">
        <v>0</v>
      </c>
      <c r="E428">
        <f t="shared" si="12"/>
        <v>0</v>
      </c>
      <c r="F428">
        <v>144.69999999999999</v>
      </c>
      <c r="G428">
        <v>1.1000000000000001</v>
      </c>
      <c r="H428">
        <f t="shared" si="13"/>
        <v>1591.6999999999998</v>
      </c>
    </row>
    <row r="429" spans="1:8" x14ac:dyDescent="0.15">
      <c r="A429" t="s">
        <v>75</v>
      </c>
      <c r="B429" t="s">
        <v>1340</v>
      </c>
      <c r="C429">
        <v>0</v>
      </c>
      <c r="E429">
        <f t="shared" si="12"/>
        <v>0</v>
      </c>
      <c r="F429">
        <v>200</v>
      </c>
      <c r="G429">
        <v>1.3</v>
      </c>
      <c r="H429">
        <f t="shared" si="13"/>
        <v>2600</v>
      </c>
    </row>
    <row r="430" spans="1:8" x14ac:dyDescent="0.15">
      <c r="A430" t="s">
        <v>75</v>
      </c>
      <c r="B430" t="s">
        <v>1330</v>
      </c>
      <c r="C430">
        <v>0</v>
      </c>
      <c r="E430">
        <f t="shared" si="12"/>
        <v>0</v>
      </c>
      <c r="F430">
        <v>9.6598249999999997</v>
      </c>
      <c r="G430">
        <v>1.5098742472042714</v>
      </c>
      <c r="H430">
        <f t="shared" si="13"/>
        <v>145.85121000000001</v>
      </c>
    </row>
    <row r="431" spans="1:8" x14ac:dyDescent="0.15">
      <c r="A431" t="s">
        <v>75</v>
      </c>
      <c r="B431" t="s">
        <v>1324</v>
      </c>
      <c r="C431">
        <v>0</v>
      </c>
      <c r="E431">
        <f t="shared" si="12"/>
        <v>0</v>
      </c>
      <c r="F431">
        <v>9.0670000000000002</v>
      </c>
      <c r="G431">
        <v>1.07</v>
      </c>
      <c r="H431">
        <f t="shared" si="13"/>
        <v>97.016900000000007</v>
      </c>
    </row>
    <row r="432" spans="1:8" x14ac:dyDescent="0.15">
      <c r="A432" t="s">
        <v>75</v>
      </c>
      <c r="B432" t="s">
        <v>948</v>
      </c>
      <c r="C432">
        <v>48.853999999999999</v>
      </c>
      <c r="D432">
        <v>1.2007025013304951</v>
      </c>
      <c r="E432">
        <f t="shared" si="12"/>
        <v>586.59120000000007</v>
      </c>
      <c r="F432">
        <v>61.363</v>
      </c>
      <c r="G432">
        <v>1.3230792171178074</v>
      </c>
      <c r="H432">
        <f t="shared" si="13"/>
        <v>811.88110000000006</v>
      </c>
    </row>
    <row r="433" spans="1:8" x14ac:dyDescent="0.15">
      <c r="A433" t="s">
        <v>75</v>
      </c>
      <c r="B433" t="s">
        <v>1345</v>
      </c>
      <c r="C433">
        <v>0</v>
      </c>
      <c r="E433">
        <f t="shared" si="12"/>
        <v>0</v>
      </c>
      <c r="F433">
        <v>7.26</v>
      </c>
      <c r="G433">
        <v>1.54</v>
      </c>
      <c r="H433">
        <f t="shared" si="13"/>
        <v>111.804</v>
      </c>
    </row>
    <row r="434" spans="1:8" x14ac:dyDescent="0.15">
      <c r="A434" t="s">
        <v>75</v>
      </c>
      <c r="B434" t="s">
        <v>1336</v>
      </c>
      <c r="C434">
        <v>0</v>
      </c>
      <c r="E434">
        <f t="shared" si="12"/>
        <v>0</v>
      </c>
      <c r="F434">
        <v>55.831190000000007</v>
      </c>
      <c r="G434">
        <v>1.0640008031353083</v>
      </c>
      <c r="H434">
        <f t="shared" si="13"/>
        <v>594.04431</v>
      </c>
    </row>
    <row r="435" spans="1:8" x14ac:dyDescent="0.15">
      <c r="A435" t="s">
        <v>75</v>
      </c>
      <c r="B435" t="s">
        <v>951</v>
      </c>
      <c r="C435">
        <v>109.97</v>
      </c>
      <c r="D435">
        <v>1.2011928707829409</v>
      </c>
      <c r="E435">
        <f t="shared" si="12"/>
        <v>1320.9518</v>
      </c>
      <c r="F435">
        <v>112.465</v>
      </c>
      <c r="G435">
        <v>1.2650345440803805</v>
      </c>
      <c r="H435">
        <f t="shared" si="13"/>
        <v>1422.7211</v>
      </c>
    </row>
    <row r="436" spans="1:8" x14ac:dyDescent="0.15">
      <c r="A436" t="s">
        <v>75</v>
      </c>
      <c r="B436" t="s">
        <v>1329</v>
      </c>
      <c r="C436">
        <v>0</v>
      </c>
      <c r="E436">
        <f t="shared" si="12"/>
        <v>0</v>
      </c>
      <c r="F436">
        <v>44.889341999999999</v>
      </c>
      <c r="G436">
        <v>1.5517910048670351</v>
      </c>
      <c r="H436">
        <f t="shared" si="13"/>
        <v>696.58877130000008</v>
      </c>
    </row>
    <row r="437" spans="1:8" x14ac:dyDescent="0.15">
      <c r="A437" t="s">
        <v>75</v>
      </c>
      <c r="B437" t="s">
        <v>1333</v>
      </c>
      <c r="C437">
        <v>0</v>
      </c>
      <c r="E437">
        <f t="shared" si="12"/>
        <v>0</v>
      </c>
      <c r="F437">
        <v>23.5</v>
      </c>
      <c r="G437">
        <v>1.18</v>
      </c>
      <c r="H437">
        <f t="shared" si="13"/>
        <v>277.29999999999995</v>
      </c>
    </row>
    <row r="438" spans="1:8" x14ac:dyDescent="0.15">
      <c r="A438" t="s">
        <v>75</v>
      </c>
      <c r="B438" t="s">
        <v>1331</v>
      </c>
      <c r="C438">
        <v>0</v>
      </c>
      <c r="E438">
        <f t="shared" si="12"/>
        <v>0</v>
      </c>
      <c r="F438">
        <v>23</v>
      </c>
      <c r="G438">
        <v>1.75</v>
      </c>
      <c r="H438">
        <f t="shared" si="13"/>
        <v>402.5</v>
      </c>
    </row>
    <row r="439" spans="1:8" x14ac:dyDescent="0.15">
      <c r="A439" t="s">
        <v>40</v>
      </c>
      <c r="B439" t="s">
        <v>1354</v>
      </c>
      <c r="C439">
        <v>0</v>
      </c>
      <c r="E439">
        <f t="shared" si="12"/>
        <v>0</v>
      </c>
      <c r="F439">
        <v>16.8</v>
      </c>
      <c r="G439">
        <v>0.6</v>
      </c>
      <c r="H439">
        <f t="shared" si="13"/>
        <v>100.8</v>
      </c>
    </row>
    <row r="440" spans="1:8" x14ac:dyDescent="0.15">
      <c r="A440" s="5" t="s">
        <v>1355</v>
      </c>
      <c r="B440" t="s">
        <v>1356</v>
      </c>
      <c r="C440">
        <v>0</v>
      </c>
      <c r="E440">
        <f t="shared" si="12"/>
        <v>0</v>
      </c>
      <c r="F440">
        <v>44.4</v>
      </c>
      <c r="G440">
        <v>0.89</v>
      </c>
      <c r="H440">
        <f t="shared" si="13"/>
        <v>395.15999999999997</v>
      </c>
    </row>
    <row r="441" spans="1:8" x14ac:dyDescent="0.15">
      <c r="A441" t="s">
        <v>1355</v>
      </c>
      <c r="B441" t="s">
        <v>1357</v>
      </c>
      <c r="C441">
        <v>0</v>
      </c>
      <c r="E441">
        <f t="shared" si="12"/>
        <v>0</v>
      </c>
      <c r="F441">
        <v>22.7</v>
      </c>
      <c r="G441">
        <v>0.81</v>
      </c>
      <c r="H441">
        <f t="shared" si="13"/>
        <v>183.87</v>
      </c>
    </row>
    <row r="442" spans="1:8" x14ac:dyDescent="0.15">
      <c r="A442" t="s">
        <v>1355</v>
      </c>
      <c r="B442" t="s">
        <v>1359</v>
      </c>
      <c r="C442">
        <v>0</v>
      </c>
      <c r="E442">
        <f t="shared" si="12"/>
        <v>0</v>
      </c>
      <c r="F442">
        <v>9.61632</v>
      </c>
      <c r="G442">
        <v>1.0328301886792453</v>
      </c>
      <c r="H442">
        <f t="shared" si="13"/>
        <v>99.320256000000001</v>
      </c>
    </row>
    <row r="443" spans="1:8" x14ac:dyDescent="0.15">
      <c r="A443" t="s">
        <v>1355</v>
      </c>
      <c r="B443" t="s">
        <v>1358</v>
      </c>
      <c r="C443">
        <v>0</v>
      </c>
      <c r="E443">
        <f t="shared" si="12"/>
        <v>0</v>
      </c>
      <c r="F443">
        <v>5.3524800000000008</v>
      </c>
      <c r="G443">
        <v>0.82389830508474582</v>
      </c>
      <c r="H443">
        <f t="shared" si="13"/>
        <v>44.09899200000001</v>
      </c>
    </row>
    <row r="444" spans="1:8" x14ac:dyDescent="0.15">
      <c r="A444" t="s">
        <v>41</v>
      </c>
      <c r="B444" t="s">
        <v>1366</v>
      </c>
      <c r="C444">
        <v>0</v>
      </c>
      <c r="E444">
        <f t="shared" si="12"/>
        <v>0</v>
      </c>
      <c r="F444">
        <v>2773.79</v>
      </c>
      <c r="G444">
        <v>0.28999999999999998</v>
      </c>
      <c r="H444">
        <f t="shared" si="13"/>
        <v>8043.991</v>
      </c>
    </row>
    <row r="445" spans="1:8" x14ac:dyDescent="0.15">
      <c r="A445" t="s">
        <v>41</v>
      </c>
      <c r="B445" t="s">
        <v>1389</v>
      </c>
      <c r="C445">
        <v>0</v>
      </c>
      <c r="E445">
        <f t="shared" si="12"/>
        <v>0</v>
      </c>
      <c r="F445">
        <v>1.75</v>
      </c>
      <c r="G445">
        <v>0.47000000000000003</v>
      </c>
      <c r="H445">
        <f t="shared" si="13"/>
        <v>8.2249999999999996</v>
      </c>
    </row>
    <row r="446" spans="1:8" x14ac:dyDescent="0.15">
      <c r="A446" t="s">
        <v>41</v>
      </c>
      <c r="B446" t="s">
        <v>1362</v>
      </c>
      <c r="C446">
        <v>0</v>
      </c>
      <c r="E446">
        <f t="shared" si="12"/>
        <v>0</v>
      </c>
      <c r="F446">
        <v>70.368500000000012</v>
      </c>
      <c r="G446">
        <v>0.85736146144936998</v>
      </c>
      <c r="H446">
        <f t="shared" si="13"/>
        <v>603.31240000000003</v>
      </c>
    </row>
    <row r="447" spans="1:8" x14ac:dyDescent="0.15">
      <c r="A447" t="s">
        <v>41</v>
      </c>
      <c r="B447" t="s">
        <v>1363</v>
      </c>
      <c r="C447">
        <v>0</v>
      </c>
      <c r="E447">
        <f t="shared" si="12"/>
        <v>0</v>
      </c>
      <c r="F447">
        <v>45</v>
      </c>
      <c r="G447">
        <v>1.6</v>
      </c>
      <c r="H447">
        <f t="shared" si="13"/>
        <v>720</v>
      </c>
    </row>
    <row r="448" spans="1:8" x14ac:dyDescent="0.15">
      <c r="A448" t="s">
        <v>41</v>
      </c>
      <c r="B448" t="s">
        <v>1377</v>
      </c>
      <c r="C448">
        <v>0</v>
      </c>
      <c r="E448">
        <f t="shared" si="12"/>
        <v>0</v>
      </c>
      <c r="F448">
        <v>143</v>
      </c>
      <c r="G448">
        <v>0.28999999999999998</v>
      </c>
      <c r="H448">
        <f t="shared" si="13"/>
        <v>414.7</v>
      </c>
    </row>
    <row r="449" spans="1:8" x14ac:dyDescent="0.15">
      <c r="A449" t="s">
        <v>41</v>
      </c>
      <c r="B449" t="s">
        <v>1378</v>
      </c>
      <c r="C449">
        <v>0</v>
      </c>
      <c r="E449">
        <f t="shared" si="12"/>
        <v>0</v>
      </c>
      <c r="F449">
        <v>260.5</v>
      </c>
      <c r="G449">
        <v>7.0000000000000007E-2</v>
      </c>
      <c r="H449">
        <f t="shared" si="13"/>
        <v>182.35000000000002</v>
      </c>
    </row>
    <row r="450" spans="1:8" x14ac:dyDescent="0.15">
      <c r="A450" t="s">
        <v>41</v>
      </c>
      <c r="B450" t="s">
        <v>1367</v>
      </c>
      <c r="C450">
        <v>0</v>
      </c>
      <c r="E450">
        <f t="shared" ref="E450:E513" si="14">C450*D450*10</f>
        <v>0</v>
      </c>
      <c r="F450">
        <v>0.3</v>
      </c>
      <c r="G450">
        <v>0.49</v>
      </c>
      <c r="H450">
        <f t="shared" ref="H450:H513" si="15">F450*G450*10</f>
        <v>1.47</v>
      </c>
    </row>
    <row r="451" spans="1:8" x14ac:dyDescent="0.15">
      <c r="A451" t="s">
        <v>41</v>
      </c>
      <c r="B451" t="s">
        <v>1368</v>
      </c>
      <c r="C451">
        <v>0</v>
      </c>
      <c r="E451">
        <f t="shared" si="14"/>
        <v>0</v>
      </c>
      <c r="F451">
        <v>1125</v>
      </c>
      <c r="G451">
        <v>0.4</v>
      </c>
      <c r="H451">
        <f t="shared" si="15"/>
        <v>4500</v>
      </c>
    </row>
    <row r="452" spans="1:8" x14ac:dyDescent="0.15">
      <c r="A452" t="s">
        <v>41</v>
      </c>
      <c r="B452" t="s">
        <v>1360</v>
      </c>
      <c r="C452">
        <v>0</v>
      </c>
      <c r="E452">
        <f t="shared" si="14"/>
        <v>0</v>
      </c>
      <c r="F452">
        <v>1</v>
      </c>
      <c r="G452">
        <v>0.3</v>
      </c>
      <c r="H452">
        <f t="shared" si="15"/>
        <v>3</v>
      </c>
    </row>
    <row r="453" spans="1:8" x14ac:dyDescent="0.15">
      <c r="A453" t="s">
        <v>41</v>
      </c>
      <c r="B453" t="s">
        <v>1369</v>
      </c>
      <c r="C453">
        <v>0</v>
      </c>
      <c r="E453">
        <f t="shared" si="14"/>
        <v>0</v>
      </c>
      <c r="F453">
        <v>4.2</v>
      </c>
      <c r="G453">
        <v>0.38</v>
      </c>
      <c r="H453">
        <f t="shared" si="15"/>
        <v>15.96</v>
      </c>
    </row>
    <row r="454" spans="1:8" x14ac:dyDescent="0.15">
      <c r="A454" t="s">
        <v>41</v>
      </c>
      <c r="B454" t="s">
        <v>1387</v>
      </c>
      <c r="C454">
        <v>0</v>
      </c>
      <c r="E454">
        <f t="shared" si="14"/>
        <v>0</v>
      </c>
      <c r="F454">
        <v>2.6</v>
      </c>
      <c r="G454">
        <v>0.47</v>
      </c>
      <c r="H454">
        <f t="shared" si="15"/>
        <v>12.219999999999999</v>
      </c>
    </row>
    <row r="455" spans="1:8" x14ac:dyDescent="0.15">
      <c r="A455" t="s">
        <v>41</v>
      </c>
      <c r="B455" t="s">
        <v>1390</v>
      </c>
      <c r="C455">
        <v>0</v>
      </c>
      <c r="E455">
        <f t="shared" si="14"/>
        <v>0</v>
      </c>
      <c r="F455">
        <v>311.2</v>
      </c>
      <c r="G455">
        <v>0.36644399100257069</v>
      </c>
      <c r="H455">
        <f t="shared" si="15"/>
        <v>1140.3736999999999</v>
      </c>
    </row>
    <row r="456" spans="1:8" x14ac:dyDescent="0.15">
      <c r="A456" t="s">
        <v>41</v>
      </c>
      <c r="B456" t="s">
        <v>1391</v>
      </c>
      <c r="C456">
        <v>0</v>
      </c>
      <c r="E456">
        <f t="shared" si="14"/>
        <v>0</v>
      </c>
      <c r="F456">
        <v>91.07</v>
      </c>
      <c r="G456">
        <v>0.53599494894037569</v>
      </c>
      <c r="H456">
        <f t="shared" si="15"/>
        <v>488.13060000000007</v>
      </c>
    </row>
    <row r="457" spans="1:8" x14ac:dyDescent="0.15">
      <c r="A457" t="s">
        <v>41</v>
      </c>
      <c r="B457" t="s">
        <v>1392</v>
      </c>
      <c r="C457">
        <v>0</v>
      </c>
      <c r="E457">
        <f t="shared" si="14"/>
        <v>0</v>
      </c>
      <c r="F457">
        <v>190.62</v>
      </c>
      <c r="G457">
        <v>0.38911803588290844</v>
      </c>
      <c r="H457">
        <f t="shared" si="15"/>
        <v>741.73680000000002</v>
      </c>
    </row>
    <row r="458" spans="1:8" x14ac:dyDescent="0.15">
      <c r="A458" t="s">
        <v>41</v>
      </c>
      <c r="B458" t="s">
        <v>750</v>
      </c>
      <c r="C458">
        <v>100.91800000000001</v>
      </c>
      <c r="D458">
        <v>0.57446639846211767</v>
      </c>
      <c r="E458">
        <f t="shared" si="14"/>
        <v>579.74</v>
      </c>
      <c r="F458">
        <v>471.488</v>
      </c>
      <c r="G458">
        <v>0.67164818616804667</v>
      </c>
      <c r="H458">
        <f t="shared" si="15"/>
        <v>3166.7406000000001</v>
      </c>
    </row>
    <row r="459" spans="1:8" x14ac:dyDescent="0.15">
      <c r="A459" t="s">
        <v>41</v>
      </c>
      <c r="B459" t="s">
        <v>1393</v>
      </c>
      <c r="C459">
        <v>0</v>
      </c>
      <c r="E459">
        <f t="shared" si="14"/>
        <v>0</v>
      </c>
      <c r="F459">
        <v>20.83</v>
      </c>
      <c r="G459">
        <v>0.7</v>
      </c>
      <c r="H459">
        <f t="shared" si="15"/>
        <v>145.80999999999997</v>
      </c>
    </row>
    <row r="460" spans="1:8" x14ac:dyDescent="0.15">
      <c r="A460" t="s">
        <v>41</v>
      </c>
      <c r="B460" t="s">
        <v>751</v>
      </c>
      <c r="C460">
        <v>89</v>
      </c>
      <c r="D460">
        <v>0.74698876404494385</v>
      </c>
      <c r="E460">
        <f t="shared" si="14"/>
        <v>664.81999999999994</v>
      </c>
      <c r="F460">
        <v>155.19999999999999</v>
      </c>
      <c r="G460">
        <v>0.7497551546391753</v>
      </c>
      <c r="H460">
        <f t="shared" si="15"/>
        <v>1163.6199999999999</v>
      </c>
    </row>
    <row r="461" spans="1:8" x14ac:dyDescent="0.15">
      <c r="A461" t="s">
        <v>41</v>
      </c>
      <c r="B461" t="s">
        <v>1379</v>
      </c>
      <c r="C461">
        <v>0</v>
      </c>
      <c r="E461">
        <f t="shared" si="14"/>
        <v>0</v>
      </c>
      <c r="F461">
        <v>4</v>
      </c>
      <c r="G461">
        <v>0.5</v>
      </c>
      <c r="H461">
        <f t="shared" si="15"/>
        <v>20</v>
      </c>
    </row>
    <row r="462" spans="1:8" x14ac:dyDescent="0.15">
      <c r="A462" t="s">
        <v>41</v>
      </c>
      <c r="B462" t="s">
        <v>1394</v>
      </c>
      <c r="C462">
        <v>0</v>
      </c>
      <c r="E462">
        <f t="shared" si="14"/>
        <v>0</v>
      </c>
      <c r="F462">
        <v>1.67</v>
      </c>
      <c r="G462">
        <v>0.51500000000000001</v>
      </c>
      <c r="H462">
        <f t="shared" si="15"/>
        <v>8.6005000000000003</v>
      </c>
    </row>
    <row r="463" spans="1:8" x14ac:dyDescent="0.15">
      <c r="A463" t="s">
        <v>41</v>
      </c>
      <c r="B463" t="s">
        <v>1370</v>
      </c>
      <c r="C463">
        <v>0</v>
      </c>
      <c r="E463">
        <f t="shared" si="14"/>
        <v>0</v>
      </c>
      <c r="F463">
        <v>10.35</v>
      </c>
      <c r="G463">
        <v>0.74</v>
      </c>
      <c r="H463">
        <f t="shared" si="15"/>
        <v>76.59</v>
      </c>
    </row>
    <row r="464" spans="1:8" x14ac:dyDescent="0.15">
      <c r="A464" t="s">
        <v>41</v>
      </c>
      <c r="B464" t="s">
        <v>1371</v>
      </c>
      <c r="C464">
        <v>0</v>
      </c>
      <c r="E464">
        <f t="shared" si="14"/>
        <v>0</v>
      </c>
      <c r="F464">
        <v>2.2000000000000002</v>
      </c>
      <c r="G464">
        <v>0.59</v>
      </c>
      <c r="H464">
        <f t="shared" si="15"/>
        <v>12.98</v>
      </c>
    </row>
    <row r="465" spans="1:8" x14ac:dyDescent="0.15">
      <c r="A465" t="s">
        <v>41</v>
      </c>
      <c r="B465" t="s">
        <v>1395</v>
      </c>
      <c r="C465">
        <v>0</v>
      </c>
      <c r="E465">
        <f t="shared" si="14"/>
        <v>0</v>
      </c>
      <c r="F465">
        <v>20.863</v>
      </c>
      <c r="G465">
        <v>0.88</v>
      </c>
      <c r="H465">
        <f t="shared" si="15"/>
        <v>183.59440000000001</v>
      </c>
    </row>
    <row r="466" spans="1:8" x14ac:dyDescent="0.15">
      <c r="A466" t="s">
        <v>41</v>
      </c>
      <c r="B466" t="s">
        <v>1401</v>
      </c>
      <c r="C466">
        <v>0</v>
      </c>
      <c r="E466">
        <f t="shared" si="14"/>
        <v>0</v>
      </c>
      <c r="F466">
        <v>0.56000000000000005</v>
      </c>
      <c r="G466">
        <v>0.38</v>
      </c>
      <c r="H466">
        <f t="shared" si="15"/>
        <v>2.1280000000000001</v>
      </c>
    </row>
    <row r="467" spans="1:8" x14ac:dyDescent="0.15">
      <c r="A467" t="s">
        <v>41</v>
      </c>
      <c r="B467" t="s">
        <v>1380</v>
      </c>
      <c r="C467">
        <v>0</v>
      </c>
      <c r="E467">
        <f t="shared" si="14"/>
        <v>0</v>
      </c>
      <c r="F467">
        <v>13.8407</v>
      </c>
      <c r="G467">
        <v>0.12099999999999998</v>
      </c>
      <c r="H467">
        <f t="shared" si="15"/>
        <v>16.747246999999998</v>
      </c>
    </row>
    <row r="468" spans="1:8" x14ac:dyDescent="0.15">
      <c r="A468" t="s">
        <v>41</v>
      </c>
      <c r="B468" t="s">
        <v>1396</v>
      </c>
      <c r="C468">
        <v>0</v>
      </c>
      <c r="E468">
        <f t="shared" si="14"/>
        <v>0</v>
      </c>
      <c r="F468">
        <v>206.8</v>
      </c>
      <c r="G468">
        <v>0.3</v>
      </c>
      <c r="H468">
        <f t="shared" si="15"/>
        <v>620.4</v>
      </c>
    </row>
    <row r="469" spans="1:8" x14ac:dyDescent="0.15">
      <c r="A469" t="s">
        <v>41</v>
      </c>
      <c r="B469" t="s">
        <v>1381</v>
      </c>
      <c r="C469">
        <v>0</v>
      </c>
      <c r="E469">
        <f t="shared" si="14"/>
        <v>0</v>
      </c>
      <c r="F469">
        <v>13.1</v>
      </c>
      <c r="G469">
        <v>0.24</v>
      </c>
      <c r="H469">
        <f t="shared" si="15"/>
        <v>31.439999999999998</v>
      </c>
    </row>
    <row r="470" spans="1:8" x14ac:dyDescent="0.15">
      <c r="A470" t="s">
        <v>41</v>
      </c>
      <c r="B470" t="s">
        <v>1382</v>
      </c>
      <c r="C470">
        <v>0</v>
      </c>
      <c r="E470">
        <f t="shared" si="14"/>
        <v>0</v>
      </c>
      <c r="F470">
        <v>8.16</v>
      </c>
      <c r="G470">
        <v>5.0999999999999996</v>
      </c>
      <c r="H470">
        <f t="shared" si="15"/>
        <v>416.15999999999997</v>
      </c>
    </row>
    <row r="471" spans="1:8" x14ac:dyDescent="0.15">
      <c r="A471" t="s">
        <v>41</v>
      </c>
      <c r="B471" t="s">
        <v>1383</v>
      </c>
      <c r="C471">
        <v>0</v>
      </c>
      <c r="E471">
        <f t="shared" si="14"/>
        <v>0</v>
      </c>
      <c r="F471">
        <v>0.71</v>
      </c>
      <c r="G471">
        <v>3.23</v>
      </c>
      <c r="H471">
        <f t="shared" si="15"/>
        <v>22.933</v>
      </c>
    </row>
    <row r="472" spans="1:8" x14ac:dyDescent="0.15">
      <c r="A472" t="s">
        <v>41</v>
      </c>
      <c r="B472" t="s">
        <v>1384</v>
      </c>
      <c r="C472">
        <v>0</v>
      </c>
      <c r="E472">
        <f t="shared" si="14"/>
        <v>0</v>
      </c>
      <c r="F472">
        <v>131.19999999999999</v>
      </c>
      <c r="G472">
        <v>0.33</v>
      </c>
      <c r="H472">
        <f t="shared" si="15"/>
        <v>432.96</v>
      </c>
    </row>
    <row r="473" spans="1:8" x14ac:dyDescent="0.15">
      <c r="A473" t="s">
        <v>41</v>
      </c>
      <c r="B473" t="s">
        <v>1385</v>
      </c>
      <c r="C473">
        <v>0</v>
      </c>
      <c r="E473">
        <f t="shared" si="14"/>
        <v>0</v>
      </c>
      <c r="F473">
        <v>53.332999999999998</v>
      </c>
      <c r="G473">
        <v>0.27</v>
      </c>
      <c r="H473">
        <f t="shared" si="15"/>
        <v>143.9991</v>
      </c>
    </row>
    <row r="474" spans="1:8" x14ac:dyDescent="0.15">
      <c r="A474" t="s">
        <v>41</v>
      </c>
      <c r="B474" t="s">
        <v>1388</v>
      </c>
      <c r="C474">
        <v>0</v>
      </c>
      <c r="E474">
        <f t="shared" si="14"/>
        <v>0</v>
      </c>
      <c r="F474">
        <v>3.1469999999999998</v>
      </c>
      <c r="G474">
        <v>0.13</v>
      </c>
      <c r="H474">
        <f t="shared" si="15"/>
        <v>4.0911</v>
      </c>
    </row>
    <row r="475" spans="1:8" x14ac:dyDescent="0.15">
      <c r="A475" t="s">
        <v>41</v>
      </c>
      <c r="B475" t="s">
        <v>955</v>
      </c>
      <c r="C475">
        <v>1.103</v>
      </c>
      <c r="D475">
        <v>0.23000000000000004</v>
      </c>
      <c r="E475">
        <f t="shared" si="14"/>
        <v>2.5369000000000002</v>
      </c>
      <c r="F475">
        <v>1.103</v>
      </c>
      <c r="G475">
        <v>0.23000000000000004</v>
      </c>
      <c r="H475">
        <f t="shared" si="15"/>
        <v>2.5369000000000002</v>
      </c>
    </row>
    <row r="476" spans="1:8" x14ac:dyDescent="0.15">
      <c r="A476" t="s">
        <v>41</v>
      </c>
      <c r="B476" t="s">
        <v>956</v>
      </c>
      <c r="C476">
        <v>12.712999999999999</v>
      </c>
      <c r="D476">
        <v>0.12</v>
      </c>
      <c r="E476">
        <f t="shared" si="14"/>
        <v>15.255599999999998</v>
      </c>
      <c r="F476">
        <v>12.712999999999999</v>
      </c>
      <c r="G476">
        <v>0.12</v>
      </c>
      <c r="H476">
        <f t="shared" si="15"/>
        <v>15.255599999999998</v>
      </c>
    </row>
    <row r="477" spans="1:8" x14ac:dyDescent="0.15">
      <c r="A477" t="s">
        <v>41</v>
      </c>
      <c r="B477" t="s">
        <v>1364</v>
      </c>
      <c r="C477">
        <v>0</v>
      </c>
      <c r="E477">
        <f t="shared" si="14"/>
        <v>0</v>
      </c>
      <c r="F477">
        <v>2.5</v>
      </c>
      <c r="G477">
        <v>0.8</v>
      </c>
      <c r="H477">
        <f t="shared" si="15"/>
        <v>20</v>
      </c>
    </row>
    <row r="478" spans="1:8" x14ac:dyDescent="0.15">
      <c r="A478" t="s">
        <v>41</v>
      </c>
      <c r="B478" t="s">
        <v>1397</v>
      </c>
      <c r="C478">
        <v>0</v>
      </c>
      <c r="E478">
        <f t="shared" si="14"/>
        <v>0</v>
      </c>
      <c r="F478">
        <v>15.385</v>
      </c>
      <c r="G478">
        <v>0.65</v>
      </c>
      <c r="H478">
        <f t="shared" si="15"/>
        <v>100.0025</v>
      </c>
    </row>
    <row r="479" spans="1:8" x14ac:dyDescent="0.15">
      <c r="A479" t="s">
        <v>41</v>
      </c>
      <c r="B479" t="s">
        <v>1372</v>
      </c>
      <c r="C479">
        <v>0</v>
      </c>
      <c r="E479">
        <f t="shared" si="14"/>
        <v>0</v>
      </c>
      <c r="F479">
        <v>5.26</v>
      </c>
      <c r="G479">
        <v>0.38</v>
      </c>
      <c r="H479">
        <f t="shared" si="15"/>
        <v>19.988</v>
      </c>
    </row>
    <row r="480" spans="1:8" x14ac:dyDescent="0.15">
      <c r="A480" t="s">
        <v>41</v>
      </c>
      <c r="B480" t="s">
        <v>1361</v>
      </c>
      <c r="C480">
        <v>0</v>
      </c>
      <c r="E480">
        <f t="shared" si="14"/>
        <v>0</v>
      </c>
      <c r="F480">
        <v>770</v>
      </c>
      <c r="G480">
        <v>0.77</v>
      </c>
      <c r="H480">
        <f t="shared" si="15"/>
        <v>5929</v>
      </c>
    </row>
    <row r="481" spans="1:8" x14ac:dyDescent="0.15">
      <c r="A481" t="s">
        <v>41</v>
      </c>
      <c r="B481" t="s">
        <v>1373</v>
      </c>
      <c r="C481">
        <v>0</v>
      </c>
      <c r="E481">
        <f t="shared" si="14"/>
        <v>0</v>
      </c>
      <c r="F481">
        <v>8</v>
      </c>
      <c r="G481">
        <v>0.35</v>
      </c>
      <c r="H481">
        <f t="shared" si="15"/>
        <v>28</v>
      </c>
    </row>
    <row r="482" spans="1:8" x14ac:dyDescent="0.15">
      <c r="A482" t="s">
        <v>41</v>
      </c>
      <c r="B482" t="s">
        <v>1365</v>
      </c>
      <c r="C482">
        <v>0</v>
      </c>
      <c r="E482">
        <f t="shared" si="14"/>
        <v>0</v>
      </c>
      <c r="F482">
        <v>18</v>
      </c>
      <c r="G482">
        <v>1.07</v>
      </c>
      <c r="H482">
        <f t="shared" si="15"/>
        <v>192.60000000000002</v>
      </c>
    </row>
    <row r="483" spans="1:8" x14ac:dyDescent="0.15">
      <c r="A483" t="s">
        <v>41</v>
      </c>
      <c r="B483" t="s">
        <v>1376</v>
      </c>
      <c r="C483">
        <v>0</v>
      </c>
      <c r="E483">
        <f t="shared" si="14"/>
        <v>0</v>
      </c>
      <c r="F483">
        <v>13.41</v>
      </c>
      <c r="G483">
        <v>0.36999999999999994</v>
      </c>
      <c r="H483">
        <f t="shared" si="15"/>
        <v>49.616999999999997</v>
      </c>
    </row>
    <row r="484" spans="1:8" x14ac:dyDescent="0.15">
      <c r="A484" t="s">
        <v>41</v>
      </c>
      <c r="B484" t="s">
        <v>1398</v>
      </c>
      <c r="C484">
        <v>0</v>
      </c>
      <c r="E484">
        <f t="shared" si="14"/>
        <v>0</v>
      </c>
      <c r="F484">
        <v>2.25</v>
      </c>
      <c r="G484">
        <v>0.3</v>
      </c>
      <c r="H484">
        <f t="shared" si="15"/>
        <v>6.7499999999999991</v>
      </c>
    </row>
    <row r="485" spans="1:8" x14ac:dyDescent="0.15">
      <c r="A485" t="s">
        <v>41</v>
      </c>
      <c r="B485" t="s">
        <v>1386</v>
      </c>
      <c r="C485">
        <v>0</v>
      </c>
      <c r="E485">
        <f t="shared" si="14"/>
        <v>0</v>
      </c>
      <c r="F485">
        <v>5.18</v>
      </c>
      <c r="G485">
        <v>0.79</v>
      </c>
      <c r="H485">
        <f t="shared" si="15"/>
        <v>40.921999999999997</v>
      </c>
    </row>
    <row r="486" spans="1:8" x14ac:dyDescent="0.15">
      <c r="A486" t="s">
        <v>41</v>
      </c>
      <c r="B486" t="s">
        <v>752</v>
      </c>
      <c r="C486">
        <v>640.19299999999998</v>
      </c>
      <c r="D486">
        <v>0.96036690498021682</v>
      </c>
      <c r="E486">
        <f t="shared" si="14"/>
        <v>6148.2016999999996</v>
      </c>
      <c r="F486">
        <v>2149.4630000000002</v>
      </c>
      <c r="G486">
        <v>0.73076801042865125</v>
      </c>
      <c r="H486">
        <f t="shared" si="15"/>
        <v>15707.588</v>
      </c>
    </row>
    <row r="487" spans="1:8" x14ac:dyDescent="0.15">
      <c r="A487" t="s">
        <v>41</v>
      </c>
      <c r="B487" t="s">
        <v>1399</v>
      </c>
      <c r="C487">
        <v>0</v>
      </c>
      <c r="E487">
        <f t="shared" si="14"/>
        <v>0</v>
      </c>
      <c r="F487">
        <v>1.754</v>
      </c>
      <c r="G487">
        <v>0.56999999999999995</v>
      </c>
      <c r="H487">
        <f t="shared" si="15"/>
        <v>9.997799999999998</v>
      </c>
    </row>
    <row r="488" spans="1:8" x14ac:dyDescent="0.15">
      <c r="A488" t="s">
        <v>41</v>
      </c>
      <c r="B488" t="s">
        <v>1400</v>
      </c>
      <c r="C488">
        <v>0</v>
      </c>
      <c r="E488">
        <f t="shared" si="14"/>
        <v>0</v>
      </c>
      <c r="F488">
        <v>0.56000000000000005</v>
      </c>
      <c r="G488">
        <v>0.38</v>
      </c>
      <c r="H488">
        <f t="shared" si="15"/>
        <v>2.1280000000000001</v>
      </c>
    </row>
    <row r="489" spans="1:8" x14ac:dyDescent="0.15">
      <c r="A489" t="s">
        <v>41</v>
      </c>
      <c r="B489" t="s">
        <v>1374</v>
      </c>
      <c r="C489">
        <v>0</v>
      </c>
      <c r="E489">
        <f t="shared" si="14"/>
        <v>0</v>
      </c>
      <c r="F489">
        <v>4.12</v>
      </c>
      <c r="G489">
        <v>0.34</v>
      </c>
      <c r="H489">
        <f t="shared" si="15"/>
        <v>14.008000000000001</v>
      </c>
    </row>
    <row r="490" spans="1:8" x14ac:dyDescent="0.15">
      <c r="A490" t="s">
        <v>41</v>
      </c>
      <c r="B490" t="s">
        <v>1375</v>
      </c>
      <c r="C490">
        <v>0</v>
      </c>
      <c r="E490">
        <f t="shared" si="14"/>
        <v>0</v>
      </c>
      <c r="F490">
        <v>3.0760000000000001</v>
      </c>
      <c r="G490">
        <v>0.52</v>
      </c>
      <c r="H490">
        <f t="shared" si="15"/>
        <v>15.995200000000001</v>
      </c>
    </row>
    <row r="491" spans="1:8" x14ac:dyDescent="0.15">
      <c r="A491" t="s">
        <v>1402</v>
      </c>
      <c r="B491" t="s">
        <v>1406</v>
      </c>
      <c r="C491">
        <v>0</v>
      </c>
      <c r="E491">
        <f t="shared" si="14"/>
        <v>0</v>
      </c>
      <c r="F491">
        <v>2.5</v>
      </c>
      <c r="G491">
        <v>1.55</v>
      </c>
      <c r="H491">
        <f t="shared" si="15"/>
        <v>38.75</v>
      </c>
    </row>
    <row r="492" spans="1:8" x14ac:dyDescent="0.15">
      <c r="A492" t="s">
        <v>1402</v>
      </c>
      <c r="B492" t="s">
        <v>1405</v>
      </c>
      <c r="C492">
        <v>0</v>
      </c>
      <c r="E492">
        <f t="shared" si="14"/>
        <v>0</v>
      </c>
      <c r="F492">
        <v>244.6</v>
      </c>
      <c r="G492">
        <v>0.70000000000000007</v>
      </c>
      <c r="H492">
        <f t="shared" si="15"/>
        <v>1712.2</v>
      </c>
    </row>
    <row r="493" spans="1:8" x14ac:dyDescent="0.15">
      <c r="A493" t="s">
        <v>1402</v>
      </c>
      <c r="B493" t="s">
        <v>1403</v>
      </c>
      <c r="C493">
        <v>0</v>
      </c>
      <c r="E493">
        <f t="shared" si="14"/>
        <v>0</v>
      </c>
      <c r="F493">
        <v>14</v>
      </c>
      <c r="G493">
        <v>1.1499999999999999</v>
      </c>
      <c r="H493">
        <f t="shared" si="15"/>
        <v>160.99999999999997</v>
      </c>
    </row>
    <row r="494" spans="1:8" x14ac:dyDescent="0.15">
      <c r="A494" t="s">
        <v>1402</v>
      </c>
      <c r="B494" t="s">
        <v>1404</v>
      </c>
      <c r="C494">
        <v>0</v>
      </c>
      <c r="E494">
        <f t="shared" si="14"/>
        <v>0</v>
      </c>
      <c r="F494">
        <v>3</v>
      </c>
      <c r="G494">
        <v>1.23</v>
      </c>
      <c r="H494">
        <f t="shared" si="15"/>
        <v>36.9</v>
      </c>
    </row>
    <row r="495" spans="1:8" x14ac:dyDescent="0.15">
      <c r="A495" t="s">
        <v>1407</v>
      </c>
      <c r="B495" t="s">
        <v>1408</v>
      </c>
      <c r="C495">
        <v>0</v>
      </c>
      <c r="E495">
        <f t="shared" si="14"/>
        <v>0</v>
      </c>
      <c r="F495">
        <v>16</v>
      </c>
      <c r="G495">
        <v>1.2668750000000002</v>
      </c>
      <c r="H495">
        <f t="shared" si="15"/>
        <v>202.70000000000005</v>
      </c>
    </row>
    <row r="496" spans="1:8" x14ac:dyDescent="0.15">
      <c r="A496" t="s">
        <v>1407</v>
      </c>
      <c r="B496" t="s">
        <v>1409</v>
      </c>
      <c r="C496">
        <v>0</v>
      </c>
      <c r="E496">
        <f t="shared" si="14"/>
        <v>0</v>
      </c>
      <c r="F496">
        <v>1.6950000000000001</v>
      </c>
      <c r="G496">
        <v>0.59999999999999987</v>
      </c>
      <c r="H496">
        <f t="shared" si="15"/>
        <v>10.169999999999998</v>
      </c>
    </row>
    <row r="497" spans="1:8" x14ac:dyDescent="0.15">
      <c r="A497" t="s">
        <v>87</v>
      </c>
      <c r="B497" t="s">
        <v>1411</v>
      </c>
      <c r="C497">
        <v>0</v>
      </c>
      <c r="E497">
        <f t="shared" si="14"/>
        <v>0</v>
      </c>
      <c r="F497">
        <v>174.7</v>
      </c>
      <c r="G497">
        <v>0.03</v>
      </c>
      <c r="H497">
        <f t="shared" si="15"/>
        <v>52.41</v>
      </c>
    </row>
    <row r="498" spans="1:8" x14ac:dyDescent="0.15">
      <c r="A498" t="s">
        <v>87</v>
      </c>
      <c r="B498" t="s">
        <v>1412</v>
      </c>
      <c r="C498">
        <v>0</v>
      </c>
      <c r="E498">
        <f t="shared" si="14"/>
        <v>0</v>
      </c>
      <c r="F498">
        <v>165.1</v>
      </c>
      <c r="G498">
        <v>0.03</v>
      </c>
      <c r="H498">
        <f t="shared" si="15"/>
        <v>49.529999999999994</v>
      </c>
    </row>
    <row r="499" spans="1:8" x14ac:dyDescent="0.15">
      <c r="A499" t="s">
        <v>87</v>
      </c>
      <c r="B499" t="s">
        <v>1436</v>
      </c>
      <c r="C499">
        <v>0</v>
      </c>
      <c r="E499">
        <f t="shared" si="14"/>
        <v>0</v>
      </c>
      <c r="F499">
        <v>233.09999999999997</v>
      </c>
      <c r="G499">
        <v>0.21708708708708713</v>
      </c>
      <c r="H499">
        <f t="shared" si="15"/>
        <v>506.03000000000003</v>
      </c>
    </row>
    <row r="500" spans="1:8" x14ac:dyDescent="0.15">
      <c r="A500" t="s">
        <v>87</v>
      </c>
      <c r="B500" t="s">
        <v>957</v>
      </c>
      <c r="C500">
        <v>63.1</v>
      </c>
      <c r="D500">
        <v>0.14115689381933438</v>
      </c>
      <c r="E500">
        <f t="shared" si="14"/>
        <v>89.07</v>
      </c>
      <c r="F500">
        <v>175.8</v>
      </c>
      <c r="G500">
        <v>0.1497952218430034</v>
      </c>
      <c r="H500">
        <f t="shared" si="15"/>
        <v>263.33999999999997</v>
      </c>
    </row>
    <row r="501" spans="1:8" x14ac:dyDescent="0.15">
      <c r="A501" t="s">
        <v>87</v>
      </c>
      <c r="B501" t="s">
        <v>958</v>
      </c>
      <c r="C501">
        <v>40.5</v>
      </c>
      <c r="D501">
        <v>0.12029629629629628</v>
      </c>
      <c r="E501">
        <f t="shared" si="14"/>
        <v>48.719999999999992</v>
      </c>
      <c r="F501">
        <v>364.4</v>
      </c>
      <c r="G501">
        <v>0.1587266739846323</v>
      </c>
      <c r="H501">
        <f t="shared" si="15"/>
        <v>578.40000000000009</v>
      </c>
    </row>
    <row r="502" spans="1:8" x14ac:dyDescent="0.15">
      <c r="A502" t="s">
        <v>87</v>
      </c>
      <c r="B502" t="s">
        <v>1441</v>
      </c>
      <c r="C502">
        <v>0</v>
      </c>
      <c r="E502">
        <f t="shared" si="14"/>
        <v>0</v>
      </c>
      <c r="F502">
        <v>133.43</v>
      </c>
      <c r="G502">
        <v>0.20463110206781226</v>
      </c>
      <c r="H502">
        <f t="shared" si="15"/>
        <v>273.03927948908193</v>
      </c>
    </row>
    <row r="503" spans="1:8" x14ac:dyDescent="0.15">
      <c r="A503" t="s">
        <v>87</v>
      </c>
      <c r="B503" t="s">
        <v>756</v>
      </c>
      <c r="C503">
        <v>125.22</v>
      </c>
      <c r="D503">
        <v>0.18218974604695737</v>
      </c>
      <c r="E503">
        <f t="shared" si="14"/>
        <v>228.13800000000001</v>
      </c>
      <c r="F503">
        <v>347.95</v>
      </c>
      <c r="G503">
        <v>0.16187986779709729</v>
      </c>
      <c r="H503">
        <f t="shared" si="15"/>
        <v>563.26099999999997</v>
      </c>
    </row>
    <row r="504" spans="1:8" x14ac:dyDescent="0.15">
      <c r="A504" t="s">
        <v>87</v>
      </c>
      <c r="B504" t="s">
        <v>757</v>
      </c>
      <c r="C504">
        <v>61.122000000000007</v>
      </c>
      <c r="D504">
        <v>0.15648526629890436</v>
      </c>
      <c r="E504">
        <f t="shared" si="14"/>
        <v>95.646924467216337</v>
      </c>
      <c r="F504">
        <v>79.004999999999995</v>
      </c>
      <c r="G504">
        <v>0.15661457629485723</v>
      </c>
      <c r="H504">
        <f t="shared" si="15"/>
        <v>123.73334600175195</v>
      </c>
    </row>
    <row r="505" spans="1:8" x14ac:dyDescent="0.15">
      <c r="A505" t="s">
        <v>87</v>
      </c>
      <c r="B505" t="s">
        <v>1413</v>
      </c>
      <c r="C505">
        <v>0</v>
      </c>
      <c r="E505">
        <f t="shared" si="14"/>
        <v>0</v>
      </c>
      <c r="F505">
        <v>23.630000000000003</v>
      </c>
      <c r="G505">
        <v>0.11240231217618898</v>
      </c>
      <c r="H505">
        <f t="shared" si="15"/>
        <v>26.560666367233459</v>
      </c>
    </row>
    <row r="506" spans="1:8" x14ac:dyDescent="0.15">
      <c r="A506" t="s">
        <v>87</v>
      </c>
      <c r="B506" t="s">
        <v>1414</v>
      </c>
      <c r="C506">
        <v>0</v>
      </c>
      <c r="E506">
        <f t="shared" si="14"/>
        <v>0</v>
      </c>
      <c r="F506">
        <v>46.199999999999996</v>
      </c>
      <c r="G506">
        <v>0.11240231217618903</v>
      </c>
      <c r="H506">
        <f t="shared" si="15"/>
        <v>51.929868225399325</v>
      </c>
    </row>
    <row r="507" spans="1:8" x14ac:dyDescent="0.15">
      <c r="A507" t="s">
        <v>87</v>
      </c>
      <c r="B507" t="s">
        <v>760</v>
      </c>
      <c r="C507">
        <v>0</v>
      </c>
      <c r="E507">
        <f t="shared" si="14"/>
        <v>0</v>
      </c>
      <c r="F507">
        <v>811.83673469387759</v>
      </c>
      <c r="G507">
        <v>0.18279788838612368</v>
      </c>
      <c r="H507">
        <f t="shared" si="15"/>
        <v>1484.0204081632655</v>
      </c>
    </row>
    <row r="508" spans="1:8" x14ac:dyDescent="0.15">
      <c r="A508" t="s">
        <v>87</v>
      </c>
      <c r="B508" t="s">
        <v>1410</v>
      </c>
      <c r="C508">
        <v>0</v>
      </c>
      <c r="E508">
        <f t="shared" si="14"/>
        <v>0</v>
      </c>
      <c r="F508">
        <v>20.3</v>
      </c>
      <c r="G508">
        <v>0.40125615763546796</v>
      </c>
      <c r="H508">
        <f t="shared" si="15"/>
        <v>81.454999999999998</v>
      </c>
    </row>
    <row r="509" spans="1:8" x14ac:dyDescent="0.15">
      <c r="A509" t="s">
        <v>87</v>
      </c>
      <c r="B509" t="s">
        <v>959</v>
      </c>
      <c r="C509">
        <v>158.21999999999997</v>
      </c>
      <c r="D509">
        <v>0.10319434963974215</v>
      </c>
      <c r="E509">
        <f t="shared" si="14"/>
        <v>163.2741</v>
      </c>
      <c r="F509">
        <v>722.57999999999993</v>
      </c>
      <c r="G509">
        <v>0.15649216695729196</v>
      </c>
      <c r="H509">
        <f t="shared" si="15"/>
        <v>1130.7811000000002</v>
      </c>
    </row>
    <row r="510" spans="1:8" x14ac:dyDescent="0.15">
      <c r="A510" t="s">
        <v>87</v>
      </c>
      <c r="B510" t="s">
        <v>1415</v>
      </c>
      <c r="C510">
        <v>0</v>
      </c>
      <c r="E510">
        <f t="shared" si="14"/>
        <v>0</v>
      </c>
      <c r="F510">
        <v>259.81</v>
      </c>
      <c r="G510">
        <v>0.14062229501023565</v>
      </c>
      <c r="H510">
        <f t="shared" si="15"/>
        <v>365.35078466609326</v>
      </c>
    </row>
    <row r="511" spans="1:8" x14ac:dyDescent="0.15">
      <c r="A511" t="s">
        <v>87</v>
      </c>
      <c r="B511" t="s">
        <v>762</v>
      </c>
      <c r="C511">
        <v>24.125</v>
      </c>
      <c r="D511">
        <v>0.11240231217618901</v>
      </c>
      <c r="E511">
        <f t="shared" si="14"/>
        <v>27.1170578125056</v>
      </c>
      <c r="F511">
        <v>56.200959999999995</v>
      </c>
      <c r="G511">
        <v>0.11240231217618903</v>
      </c>
      <c r="H511">
        <f t="shared" si="15"/>
        <v>63.171178505215117</v>
      </c>
    </row>
    <row r="512" spans="1:8" x14ac:dyDescent="0.15">
      <c r="A512" t="s">
        <v>87</v>
      </c>
      <c r="B512" t="s">
        <v>1416</v>
      </c>
      <c r="C512">
        <v>0</v>
      </c>
      <c r="E512">
        <f t="shared" si="14"/>
        <v>0</v>
      </c>
      <c r="F512">
        <v>567.5</v>
      </c>
      <c r="G512">
        <v>0.14933920704845813</v>
      </c>
      <c r="H512">
        <f t="shared" si="15"/>
        <v>847.49999999999989</v>
      </c>
    </row>
    <row r="513" spans="1:8" x14ac:dyDescent="0.15">
      <c r="A513" t="s">
        <v>87</v>
      </c>
      <c r="B513" t="s">
        <v>960</v>
      </c>
      <c r="C513">
        <v>8.81</v>
      </c>
      <c r="D513">
        <v>0.10100454029511918</v>
      </c>
      <c r="E513">
        <f t="shared" si="14"/>
        <v>8.8985000000000003</v>
      </c>
      <c r="F513">
        <v>152.25</v>
      </c>
      <c r="G513">
        <v>9.7221609195402292E-2</v>
      </c>
      <c r="H513">
        <f t="shared" si="15"/>
        <v>148.01989999999998</v>
      </c>
    </row>
    <row r="514" spans="1:8" x14ac:dyDescent="0.15">
      <c r="A514" t="s">
        <v>87</v>
      </c>
      <c r="B514" t="s">
        <v>1417</v>
      </c>
      <c r="C514">
        <v>0</v>
      </c>
      <c r="E514">
        <f t="shared" ref="E514:E577" si="16">C514*D514*10</f>
        <v>0</v>
      </c>
      <c r="F514">
        <v>2.8</v>
      </c>
      <c r="G514">
        <v>0.11240231217618901</v>
      </c>
      <c r="H514">
        <f t="shared" ref="H514:H577" si="17">F514*G514*10</f>
        <v>3.1472647409332923</v>
      </c>
    </row>
    <row r="515" spans="1:8" x14ac:dyDescent="0.15">
      <c r="A515" t="s">
        <v>87</v>
      </c>
      <c r="B515" t="s">
        <v>1418</v>
      </c>
      <c r="C515">
        <v>0</v>
      </c>
      <c r="E515">
        <f t="shared" si="16"/>
        <v>0</v>
      </c>
      <c r="F515">
        <v>6.6</v>
      </c>
      <c r="G515">
        <v>0.11240231217618901</v>
      </c>
      <c r="H515">
        <f t="shared" si="17"/>
        <v>7.4185526036284744</v>
      </c>
    </row>
    <row r="516" spans="1:8" x14ac:dyDescent="0.15">
      <c r="A516" t="s">
        <v>87</v>
      </c>
      <c r="B516" t="s">
        <v>1419</v>
      </c>
      <c r="C516">
        <v>0</v>
      </c>
      <c r="E516">
        <f t="shared" si="16"/>
        <v>0</v>
      </c>
      <c r="F516">
        <v>354.97300000000001</v>
      </c>
      <c r="G516">
        <v>0.16493821110212786</v>
      </c>
      <c r="H516">
        <f t="shared" si="17"/>
        <v>585.48611609555633</v>
      </c>
    </row>
    <row r="517" spans="1:8" x14ac:dyDescent="0.15">
      <c r="A517" t="s">
        <v>87</v>
      </c>
      <c r="B517" t="s">
        <v>1420</v>
      </c>
      <c r="C517">
        <v>0</v>
      </c>
      <c r="E517">
        <f t="shared" si="16"/>
        <v>0</v>
      </c>
      <c r="F517">
        <v>12.2</v>
      </c>
      <c r="G517">
        <v>0.15393774011700964</v>
      </c>
      <c r="H517">
        <f t="shared" si="17"/>
        <v>18.780404294275176</v>
      </c>
    </row>
    <row r="518" spans="1:8" x14ac:dyDescent="0.15">
      <c r="A518" t="s">
        <v>87</v>
      </c>
      <c r="B518" t="s">
        <v>1421</v>
      </c>
      <c r="C518">
        <v>0</v>
      </c>
      <c r="E518">
        <f t="shared" si="16"/>
        <v>0</v>
      </c>
      <c r="F518">
        <v>44.054054054054049</v>
      </c>
      <c r="G518">
        <v>0.1593730610930775</v>
      </c>
      <c r="H518">
        <f t="shared" si="17"/>
        <v>70.210294481544949</v>
      </c>
    </row>
    <row r="519" spans="1:8" x14ac:dyDescent="0.15">
      <c r="A519" t="s">
        <v>87</v>
      </c>
      <c r="B519" t="s">
        <v>765</v>
      </c>
      <c r="C519">
        <v>106.9</v>
      </c>
      <c r="D519">
        <v>6.7717492984097294E-2</v>
      </c>
      <c r="E519">
        <f t="shared" si="16"/>
        <v>72.390000000000015</v>
      </c>
      <c r="F519">
        <v>452.8</v>
      </c>
      <c r="G519">
        <v>0.20884496466431093</v>
      </c>
      <c r="H519">
        <f t="shared" si="17"/>
        <v>945.65</v>
      </c>
    </row>
    <row r="520" spans="1:8" x14ac:dyDescent="0.15">
      <c r="A520" t="s">
        <v>87</v>
      </c>
      <c r="B520" t="s">
        <v>1422</v>
      </c>
      <c r="C520">
        <v>0</v>
      </c>
      <c r="E520">
        <f t="shared" si="16"/>
        <v>0</v>
      </c>
      <c r="F520">
        <v>11.399999999999999</v>
      </c>
      <c r="G520">
        <v>0.17578748079679699</v>
      </c>
      <c r="H520">
        <f t="shared" si="17"/>
        <v>20.039772810834855</v>
      </c>
    </row>
    <row r="521" spans="1:8" x14ac:dyDescent="0.15">
      <c r="A521" t="s">
        <v>87</v>
      </c>
      <c r="B521" t="s">
        <v>1445</v>
      </c>
      <c r="C521">
        <v>0</v>
      </c>
      <c r="E521">
        <f t="shared" si="16"/>
        <v>0</v>
      </c>
      <c r="F521">
        <v>114.18</v>
      </c>
      <c r="G521">
        <v>0.24662637940094587</v>
      </c>
      <c r="H521">
        <f t="shared" si="17"/>
        <v>281.59800000000001</v>
      </c>
    </row>
    <row r="522" spans="1:8" x14ac:dyDescent="0.15">
      <c r="A522" t="s">
        <v>87</v>
      </c>
      <c r="B522" t="s">
        <v>1423</v>
      </c>
      <c r="C522">
        <v>0</v>
      </c>
      <c r="E522">
        <f t="shared" si="16"/>
        <v>0</v>
      </c>
      <c r="F522">
        <v>109.6</v>
      </c>
      <c r="G522">
        <v>0.11240231217618903</v>
      </c>
      <c r="H522">
        <f t="shared" si="17"/>
        <v>123.19293414510315</v>
      </c>
    </row>
    <row r="523" spans="1:8" x14ac:dyDescent="0.15">
      <c r="A523" t="s">
        <v>87</v>
      </c>
      <c r="B523" t="s">
        <v>766</v>
      </c>
      <c r="C523">
        <v>16</v>
      </c>
      <c r="D523">
        <v>0.05</v>
      </c>
      <c r="E523">
        <f t="shared" si="16"/>
        <v>8</v>
      </c>
      <c r="F523">
        <v>43.5</v>
      </c>
      <c r="G523">
        <v>0.05</v>
      </c>
      <c r="H523">
        <f t="shared" si="17"/>
        <v>21.750000000000004</v>
      </c>
    </row>
    <row r="524" spans="1:8" x14ac:dyDescent="0.15">
      <c r="A524" t="s">
        <v>87</v>
      </c>
      <c r="B524" t="s">
        <v>1424</v>
      </c>
      <c r="C524">
        <v>0</v>
      </c>
      <c r="E524">
        <f t="shared" si="16"/>
        <v>0</v>
      </c>
      <c r="F524">
        <v>148.80000000000001</v>
      </c>
      <c r="G524">
        <v>0.13200000000000001</v>
      </c>
      <c r="H524">
        <f t="shared" si="17"/>
        <v>196.41600000000005</v>
      </c>
    </row>
    <row r="525" spans="1:8" x14ac:dyDescent="0.15">
      <c r="A525" t="s">
        <v>87</v>
      </c>
      <c r="B525" t="s">
        <v>767</v>
      </c>
      <c r="C525">
        <v>0</v>
      </c>
      <c r="E525">
        <f t="shared" si="16"/>
        <v>0</v>
      </c>
      <c r="F525">
        <v>279.79000000000002</v>
      </c>
      <c r="G525">
        <v>0.19449908860216589</v>
      </c>
      <c r="H525">
        <f t="shared" si="17"/>
        <v>544.18899999999996</v>
      </c>
    </row>
    <row r="526" spans="1:8" x14ac:dyDescent="0.15">
      <c r="A526" t="s">
        <v>87</v>
      </c>
      <c r="B526" t="s">
        <v>1425</v>
      </c>
      <c r="C526">
        <v>0</v>
      </c>
      <c r="E526">
        <f t="shared" si="16"/>
        <v>0</v>
      </c>
      <c r="F526">
        <v>9.5519999999999996</v>
      </c>
      <c r="G526">
        <v>0.16168649771652202</v>
      </c>
      <c r="H526">
        <f t="shared" si="17"/>
        <v>15.444294261882183</v>
      </c>
    </row>
    <row r="527" spans="1:8" x14ac:dyDescent="0.15">
      <c r="A527" t="s">
        <v>87</v>
      </c>
      <c r="B527" t="s">
        <v>1426</v>
      </c>
      <c r="C527">
        <v>0</v>
      </c>
      <c r="E527">
        <f t="shared" si="16"/>
        <v>0</v>
      </c>
      <c r="F527">
        <v>174.8</v>
      </c>
      <c r="G527">
        <v>0.1512242562929062</v>
      </c>
      <c r="H527">
        <f t="shared" si="17"/>
        <v>264.34000000000003</v>
      </c>
    </row>
    <row r="528" spans="1:8" x14ac:dyDescent="0.15">
      <c r="A528" t="s">
        <v>87</v>
      </c>
      <c r="B528" t="s">
        <v>1443</v>
      </c>
      <c r="C528">
        <v>0</v>
      </c>
      <c r="E528">
        <f t="shared" si="16"/>
        <v>0</v>
      </c>
      <c r="F528">
        <v>9.6999999999999993</v>
      </c>
      <c r="G528">
        <v>0.19425101214574897</v>
      </c>
      <c r="H528">
        <f t="shared" si="17"/>
        <v>18.842348178137648</v>
      </c>
    </row>
    <row r="529" spans="1:8" x14ac:dyDescent="0.15">
      <c r="A529" t="s">
        <v>87</v>
      </c>
      <c r="B529" t="s">
        <v>961</v>
      </c>
      <c r="C529">
        <v>28.5</v>
      </c>
      <c r="D529">
        <v>1.4999999999999999E-2</v>
      </c>
      <c r="E529">
        <f t="shared" si="16"/>
        <v>4.2750000000000004</v>
      </c>
      <c r="F529">
        <v>181.3</v>
      </c>
      <c r="G529">
        <v>7.6345284059569765E-2</v>
      </c>
      <c r="H529">
        <f t="shared" si="17"/>
        <v>138.41399999999999</v>
      </c>
    </row>
    <row r="530" spans="1:8" x14ac:dyDescent="0.15">
      <c r="A530" t="s">
        <v>87</v>
      </c>
      <c r="B530" t="s">
        <v>769</v>
      </c>
      <c r="C530">
        <v>4.5578099999999999</v>
      </c>
      <c r="D530">
        <v>0.11240231217618903</v>
      </c>
      <c r="E530">
        <f t="shared" si="16"/>
        <v>5.1230838245975612</v>
      </c>
      <c r="F530">
        <v>15.89</v>
      </c>
      <c r="G530">
        <v>7.0628067967275013E-2</v>
      </c>
      <c r="H530">
        <f t="shared" si="17"/>
        <v>11.222799999999999</v>
      </c>
    </row>
    <row r="531" spans="1:8" x14ac:dyDescent="0.15">
      <c r="A531" t="s">
        <v>87</v>
      </c>
      <c r="B531" t="s">
        <v>770</v>
      </c>
      <c r="C531">
        <v>283.53658536585374</v>
      </c>
      <c r="D531">
        <v>0.1394411983000251</v>
      </c>
      <c r="E531">
        <f t="shared" si="16"/>
        <v>395.36681225312009</v>
      </c>
      <c r="F531">
        <v>664.26829268292693</v>
      </c>
      <c r="G531">
        <v>0.15418776577294949</v>
      </c>
      <c r="H531">
        <f t="shared" si="17"/>
        <v>1024.2204392259218</v>
      </c>
    </row>
    <row r="532" spans="1:8" x14ac:dyDescent="0.15">
      <c r="A532" t="s">
        <v>87</v>
      </c>
      <c r="B532" t="s">
        <v>771</v>
      </c>
      <c r="C532">
        <v>0</v>
      </c>
      <c r="E532">
        <f t="shared" si="16"/>
        <v>0</v>
      </c>
      <c r="F532">
        <v>41.6</v>
      </c>
      <c r="G532">
        <v>0.11240231217618901</v>
      </c>
      <c r="H532">
        <f t="shared" si="17"/>
        <v>46.759361865294629</v>
      </c>
    </row>
    <row r="533" spans="1:8" x14ac:dyDescent="0.15">
      <c r="A533" t="s">
        <v>87</v>
      </c>
      <c r="B533" t="s">
        <v>772</v>
      </c>
      <c r="C533">
        <v>22.3</v>
      </c>
      <c r="D533">
        <v>4.8744394618834085E-2</v>
      </c>
      <c r="E533">
        <f t="shared" si="16"/>
        <v>10.870000000000001</v>
      </c>
      <c r="F533">
        <v>125.9</v>
      </c>
      <c r="G533">
        <v>0.10154090548054009</v>
      </c>
      <c r="H533">
        <f t="shared" si="17"/>
        <v>127.83999999999999</v>
      </c>
    </row>
    <row r="534" spans="1:8" x14ac:dyDescent="0.15">
      <c r="A534" t="s">
        <v>87</v>
      </c>
      <c r="B534" t="s">
        <v>1427</v>
      </c>
      <c r="C534">
        <v>0</v>
      </c>
      <c r="E534">
        <f t="shared" si="16"/>
        <v>0</v>
      </c>
      <c r="F534">
        <v>383.07602339181284</v>
      </c>
      <c r="G534">
        <v>0.15413423533050072</v>
      </c>
      <c r="H534">
        <f t="shared" si="17"/>
        <v>590.4512993894607</v>
      </c>
    </row>
    <row r="535" spans="1:8" x14ac:dyDescent="0.15">
      <c r="A535" t="s">
        <v>87</v>
      </c>
      <c r="B535" t="s">
        <v>1428</v>
      </c>
      <c r="C535">
        <v>0</v>
      </c>
      <c r="E535">
        <f t="shared" si="16"/>
        <v>0</v>
      </c>
      <c r="F535">
        <v>17.47</v>
      </c>
      <c r="G535">
        <v>0.11240231217618901</v>
      </c>
      <c r="H535">
        <f t="shared" si="17"/>
        <v>19.636683937180219</v>
      </c>
    </row>
    <row r="536" spans="1:8" x14ac:dyDescent="0.15">
      <c r="A536" t="s">
        <v>87</v>
      </c>
      <c r="B536" t="s">
        <v>774</v>
      </c>
      <c r="C536">
        <v>47.6</v>
      </c>
      <c r="D536">
        <v>0.13</v>
      </c>
      <c r="E536">
        <f t="shared" si="16"/>
        <v>61.88000000000001</v>
      </c>
      <c r="F536">
        <v>479.40000000000003</v>
      </c>
      <c r="G536">
        <v>0.13444305381727156</v>
      </c>
      <c r="H536">
        <f t="shared" si="17"/>
        <v>644.52</v>
      </c>
    </row>
    <row r="537" spans="1:8" x14ac:dyDescent="0.15">
      <c r="A537" t="s">
        <v>87</v>
      </c>
      <c r="B537" t="s">
        <v>969</v>
      </c>
      <c r="C537">
        <v>1200.3</v>
      </c>
      <c r="D537">
        <v>0.19</v>
      </c>
      <c r="E537">
        <f t="shared" si="16"/>
        <v>2280.5699999999997</v>
      </c>
      <c r="F537">
        <v>3683.5</v>
      </c>
      <c r="G537">
        <v>0.19</v>
      </c>
      <c r="H537">
        <f t="shared" si="17"/>
        <v>6998.65</v>
      </c>
    </row>
    <row r="538" spans="1:8" x14ac:dyDescent="0.15">
      <c r="A538" t="s">
        <v>87</v>
      </c>
      <c r="B538" t="s">
        <v>1442</v>
      </c>
      <c r="C538">
        <v>0</v>
      </c>
      <c r="E538">
        <f t="shared" si="16"/>
        <v>0</v>
      </c>
      <c r="F538">
        <v>39.700000000000003</v>
      </c>
      <c r="G538">
        <v>0.21999999999999997</v>
      </c>
      <c r="H538">
        <f t="shared" si="17"/>
        <v>87.34</v>
      </c>
    </row>
    <row r="539" spans="1:8" x14ac:dyDescent="0.15">
      <c r="A539" t="s">
        <v>87</v>
      </c>
      <c r="B539" t="s">
        <v>776</v>
      </c>
      <c r="C539">
        <v>11.9</v>
      </c>
      <c r="D539">
        <v>0.112402312176189</v>
      </c>
      <c r="E539">
        <f t="shared" si="16"/>
        <v>13.375875148966491</v>
      </c>
      <c r="F539">
        <v>21.2</v>
      </c>
      <c r="G539">
        <v>0.11240231217618901</v>
      </c>
      <c r="H539">
        <f t="shared" si="17"/>
        <v>23.829290181352071</v>
      </c>
    </row>
    <row r="540" spans="1:8" x14ac:dyDescent="0.15">
      <c r="A540" t="s">
        <v>87</v>
      </c>
      <c r="B540" t="s">
        <v>962</v>
      </c>
      <c r="C540">
        <v>44.1</v>
      </c>
      <c r="D540">
        <v>0.08</v>
      </c>
      <c r="E540">
        <f t="shared" si="16"/>
        <v>35.28</v>
      </c>
      <c r="F540">
        <v>121.5</v>
      </c>
      <c r="G540">
        <v>0.10840493827160494</v>
      </c>
      <c r="H540">
        <f t="shared" si="17"/>
        <v>131.71200000000002</v>
      </c>
    </row>
    <row r="541" spans="1:8" x14ac:dyDescent="0.15">
      <c r="A541" t="s">
        <v>87</v>
      </c>
      <c r="B541" t="s">
        <v>777</v>
      </c>
      <c r="C541">
        <v>84.46</v>
      </c>
      <c r="D541">
        <v>0.30993488041676537</v>
      </c>
      <c r="E541">
        <f t="shared" si="16"/>
        <v>261.77100000000002</v>
      </c>
      <c r="F541">
        <v>218.54999999999998</v>
      </c>
      <c r="G541">
        <v>0.36235460992907803</v>
      </c>
      <c r="H541">
        <f t="shared" si="17"/>
        <v>791.92599999999993</v>
      </c>
    </row>
    <row r="542" spans="1:8" x14ac:dyDescent="0.15">
      <c r="A542" t="s">
        <v>87</v>
      </c>
      <c r="B542" t="s">
        <v>779</v>
      </c>
      <c r="C542">
        <v>0</v>
      </c>
      <c r="E542">
        <f t="shared" si="16"/>
        <v>0</v>
      </c>
      <c r="F542">
        <v>190.1219512195122</v>
      </c>
      <c r="G542">
        <v>0.11240231217618901</v>
      </c>
      <c r="H542">
        <f t="shared" si="17"/>
        <v>213.7014691252179</v>
      </c>
    </row>
    <row r="543" spans="1:8" x14ac:dyDescent="0.15">
      <c r="A543" t="s">
        <v>87</v>
      </c>
      <c r="B543" t="s">
        <v>963</v>
      </c>
      <c r="C543">
        <v>40.5</v>
      </c>
      <c r="D543">
        <v>4.3999999999999997E-2</v>
      </c>
      <c r="E543">
        <f t="shared" si="16"/>
        <v>17.819999999999997</v>
      </c>
      <c r="F543">
        <v>128.70000000000002</v>
      </c>
      <c r="G543">
        <v>0.11045765345765345</v>
      </c>
      <c r="H543">
        <f t="shared" si="17"/>
        <v>142.15899999999999</v>
      </c>
    </row>
    <row r="544" spans="1:8" x14ac:dyDescent="0.15">
      <c r="A544" t="s">
        <v>87</v>
      </c>
      <c r="B544" t="s">
        <v>968</v>
      </c>
      <c r="C544">
        <v>124.7</v>
      </c>
      <c r="D544">
        <v>0.34</v>
      </c>
      <c r="E544">
        <f t="shared" si="16"/>
        <v>423.98</v>
      </c>
      <c r="F544">
        <v>852</v>
      </c>
      <c r="G544">
        <v>0.31406103286384973</v>
      </c>
      <c r="H544">
        <f t="shared" si="17"/>
        <v>2675.7999999999997</v>
      </c>
    </row>
    <row r="545" spans="1:8" x14ac:dyDescent="0.15">
      <c r="A545" t="s">
        <v>87</v>
      </c>
      <c r="B545" t="s">
        <v>1429</v>
      </c>
      <c r="C545">
        <v>0</v>
      </c>
      <c r="E545">
        <f t="shared" si="16"/>
        <v>0</v>
      </c>
      <c r="F545">
        <v>15.359999999999998</v>
      </c>
      <c r="G545">
        <v>0.14212513020833331</v>
      </c>
      <c r="H545">
        <f t="shared" si="17"/>
        <v>21.830419999999997</v>
      </c>
    </row>
    <row r="546" spans="1:8" x14ac:dyDescent="0.15">
      <c r="A546" t="s">
        <v>87</v>
      </c>
      <c r="B546" t="s">
        <v>1430</v>
      </c>
      <c r="C546">
        <v>0</v>
      </c>
      <c r="E546">
        <f t="shared" si="16"/>
        <v>0</v>
      </c>
      <c r="F546">
        <v>7.6499999999999995</v>
      </c>
      <c r="G546">
        <v>0.05</v>
      </c>
      <c r="H546">
        <f t="shared" si="17"/>
        <v>3.8250000000000002</v>
      </c>
    </row>
    <row r="547" spans="1:8" x14ac:dyDescent="0.15">
      <c r="A547" t="s">
        <v>87</v>
      </c>
      <c r="B547" t="s">
        <v>1437</v>
      </c>
      <c r="C547">
        <v>0</v>
      </c>
      <c r="E547">
        <f t="shared" si="16"/>
        <v>0</v>
      </c>
      <c r="F547">
        <v>18.128</v>
      </c>
      <c r="G547">
        <v>0.18527967784642543</v>
      </c>
      <c r="H547">
        <f t="shared" si="17"/>
        <v>33.587499999999999</v>
      </c>
    </row>
    <row r="548" spans="1:8" x14ac:dyDescent="0.15">
      <c r="A548" t="s">
        <v>87</v>
      </c>
      <c r="B548" t="s">
        <v>964</v>
      </c>
      <c r="C548">
        <v>5.0999999999999996</v>
      </c>
      <c r="D548">
        <v>8.3000000000000004E-2</v>
      </c>
      <c r="E548">
        <f t="shared" si="16"/>
        <v>4.2330000000000005</v>
      </c>
      <c r="F548">
        <v>12.2</v>
      </c>
      <c r="G548">
        <v>8.3000000000000004E-2</v>
      </c>
      <c r="H548">
        <f t="shared" si="17"/>
        <v>10.125999999999999</v>
      </c>
    </row>
    <row r="549" spans="1:8" x14ac:dyDescent="0.15">
      <c r="A549" t="s">
        <v>87</v>
      </c>
      <c r="B549" t="s">
        <v>965</v>
      </c>
      <c r="C549">
        <v>223.69249146757679</v>
      </c>
      <c r="D549">
        <v>0.1654653130287648</v>
      </c>
      <c r="E549">
        <f t="shared" si="16"/>
        <v>370.13348122866893</v>
      </c>
      <c r="F549">
        <v>510.79999999999995</v>
      </c>
      <c r="G549">
        <v>0.13546948943268089</v>
      </c>
      <c r="H549">
        <f t="shared" si="17"/>
        <v>691.97815202213394</v>
      </c>
    </row>
    <row r="550" spans="1:8" x14ac:dyDescent="0.15">
      <c r="A550" t="s">
        <v>87</v>
      </c>
      <c r="B550" t="s">
        <v>966</v>
      </c>
      <c r="C550">
        <v>26.6</v>
      </c>
      <c r="D550">
        <v>6.7923497267759564E-2</v>
      </c>
      <c r="E550">
        <f t="shared" si="16"/>
        <v>18.067650273224046</v>
      </c>
      <c r="F550">
        <v>108.95000000000002</v>
      </c>
      <c r="G550">
        <v>7.4930702156952717E-2</v>
      </c>
      <c r="H550">
        <f t="shared" si="17"/>
        <v>81.637</v>
      </c>
    </row>
    <row r="551" spans="1:8" x14ac:dyDescent="0.15">
      <c r="A551" t="s">
        <v>87</v>
      </c>
      <c r="B551" t="s">
        <v>1444</v>
      </c>
      <c r="C551">
        <v>0</v>
      </c>
      <c r="E551">
        <f t="shared" si="16"/>
        <v>0</v>
      </c>
      <c r="F551">
        <v>605.42857142857156</v>
      </c>
      <c r="G551">
        <v>0.1897168475696083</v>
      </c>
      <c r="H551">
        <f t="shared" si="17"/>
        <v>1148.6000000000001</v>
      </c>
    </row>
    <row r="552" spans="1:8" x14ac:dyDescent="0.15">
      <c r="A552" t="s">
        <v>87</v>
      </c>
      <c r="B552" t="s">
        <v>967</v>
      </c>
      <c r="C552">
        <v>20.7</v>
      </c>
      <c r="D552">
        <v>0.11240231217618901</v>
      </c>
      <c r="E552">
        <f t="shared" si="16"/>
        <v>23.267278620471124</v>
      </c>
      <c r="F552">
        <v>30.2</v>
      </c>
      <c r="G552">
        <v>0.11240231217618903</v>
      </c>
      <c r="H552">
        <f t="shared" si="17"/>
        <v>33.945498277209083</v>
      </c>
    </row>
    <row r="553" spans="1:8" x14ac:dyDescent="0.15">
      <c r="A553" t="s">
        <v>87</v>
      </c>
      <c r="B553" t="s">
        <v>782</v>
      </c>
      <c r="C553">
        <v>2.889065</v>
      </c>
      <c r="D553">
        <v>0.11240231217618901</v>
      </c>
      <c r="E553">
        <f t="shared" si="16"/>
        <v>3.2473758602730154</v>
      </c>
      <c r="F553">
        <v>4.0514049999999999</v>
      </c>
      <c r="G553">
        <v>0.112402312176189</v>
      </c>
      <c r="H553">
        <f t="shared" si="17"/>
        <v>4.5538728956217298</v>
      </c>
    </row>
    <row r="554" spans="1:8" x14ac:dyDescent="0.15">
      <c r="A554" t="s">
        <v>87</v>
      </c>
      <c r="B554" t="s">
        <v>1431</v>
      </c>
      <c r="C554">
        <v>0</v>
      </c>
      <c r="E554">
        <f t="shared" si="16"/>
        <v>0</v>
      </c>
      <c r="F554">
        <v>605.79</v>
      </c>
      <c r="G554">
        <v>9.4377063008633355E-2</v>
      </c>
      <c r="H554">
        <f t="shared" si="17"/>
        <v>571.72681</v>
      </c>
    </row>
    <row r="555" spans="1:8" x14ac:dyDescent="0.15">
      <c r="A555" t="s">
        <v>87</v>
      </c>
      <c r="B555" t="s">
        <v>1432</v>
      </c>
      <c r="C555">
        <v>0</v>
      </c>
      <c r="E555">
        <f t="shared" si="16"/>
        <v>0</v>
      </c>
      <c r="F555">
        <v>182</v>
      </c>
      <c r="G555">
        <v>0.16069295257331892</v>
      </c>
      <c r="H555">
        <f t="shared" si="17"/>
        <v>292.46117368344045</v>
      </c>
    </row>
    <row r="556" spans="1:8" x14ac:dyDescent="0.15">
      <c r="A556" t="s">
        <v>87</v>
      </c>
      <c r="B556" t="s">
        <v>1433</v>
      </c>
      <c r="C556">
        <v>0</v>
      </c>
      <c r="E556">
        <f t="shared" si="16"/>
        <v>0</v>
      </c>
      <c r="F556">
        <v>102.58000000000001</v>
      </c>
      <c r="G556">
        <v>0.15134633108190287</v>
      </c>
      <c r="H556">
        <f t="shared" si="17"/>
        <v>155.25106642381598</v>
      </c>
    </row>
    <row r="557" spans="1:8" x14ac:dyDescent="0.15">
      <c r="A557" t="s">
        <v>87</v>
      </c>
      <c r="B557" t="s">
        <v>785</v>
      </c>
      <c r="C557">
        <v>0</v>
      </c>
      <c r="E557">
        <f t="shared" si="16"/>
        <v>0</v>
      </c>
      <c r="F557">
        <v>649.59999999999991</v>
      </c>
      <c r="G557">
        <v>0.19175800492610839</v>
      </c>
      <c r="H557">
        <f t="shared" si="17"/>
        <v>1245.6599999999999</v>
      </c>
    </row>
    <row r="558" spans="1:8" x14ac:dyDescent="0.15">
      <c r="A558" t="s">
        <v>87</v>
      </c>
      <c r="B558" t="s">
        <v>786</v>
      </c>
      <c r="C558">
        <v>70.97</v>
      </c>
      <c r="D558">
        <v>0.04</v>
      </c>
      <c r="E558">
        <f t="shared" si="16"/>
        <v>28.387999999999998</v>
      </c>
      <c r="F558">
        <v>353.26</v>
      </c>
      <c r="G558">
        <v>9.0869048293041974E-2</v>
      </c>
      <c r="H558">
        <f t="shared" si="17"/>
        <v>321.00400000000008</v>
      </c>
    </row>
    <row r="559" spans="1:8" x14ac:dyDescent="0.15">
      <c r="A559" t="s">
        <v>87</v>
      </c>
      <c r="B559" t="s">
        <v>787</v>
      </c>
      <c r="C559">
        <v>42.82352941176471</v>
      </c>
      <c r="D559">
        <v>0.11846153846153844</v>
      </c>
      <c r="E559">
        <f t="shared" si="16"/>
        <v>50.729411764705873</v>
      </c>
      <c r="F559">
        <v>256.23529411764707</v>
      </c>
      <c r="G559">
        <v>0.1585307621671258</v>
      </c>
      <c r="H559">
        <f t="shared" si="17"/>
        <v>406.21176470588239</v>
      </c>
    </row>
    <row r="560" spans="1:8" x14ac:dyDescent="0.15">
      <c r="A560" t="s">
        <v>87</v>
      </c>
      <c r="B560" t="s">
        <v>1438</v>
      </c>
      <c r="C560">
        <v>0</v>
      </c>
      <c r="E560">
        <f t="shared" si="16"/>
        <v>0</v>
      </c>
      <c r="F560">
        <v>45.859999999999992</v>
      </c>
      <c r="G560">
        <v>0.20463110206781229</v>
      </c>
      <c r="H560">
        <f t="shared" si="17"/>
        <v>93.843823408298704</v>
      </c>
    </row>
    <row r="561" spans="1:8" x14ac:dyDescent="0.15">
      <c r="A561" t="s">
        <v>87</v>
      </c>
      <c r="B561" t="s">
        <v>1439</v>
      </c>
      <c r="C561">
        <v>0</v>
      </c>
      <c r="E561">
        <f t="shared" si="16"/>
        <v>0</v>
      </c>
      <c r="F561">
        <v>313.10666666666668</v>
      </c>
      <c r="G561">
        <v>0.13</v>
      </c>
      <c r="H561">
        <f t="shared" si="17"/>
        <v>407.0386666666667</v>
      </c>
    </row>
    <row r="562" spans="1:8" x14ac:dyDescent="0.15">
      <c r="A562" t="s">
        <v>87</v>
      </c>
      <c r="B562" t="s">
        <v>1440</v>
      </c>
      <c r="C562">
        <v>0</v>
      </c>
      <c r="E562">
        <f t="shared" si="16"/>
        <v>0</v>
      </c>
      <c r="F562">
        <v>521.60827500000005</v>
      </c>
      <c r="G562">
        <v>0.16794461792232876</v>
      </c>
      <c r="H562">
        <f t="shared" si="17"/>
        <v>876.01302449999991</v>
      </c>
    </row>
    <row r="563" spans="1:8" x14ac:dyDescent="0.15">
      <c r="A563" t="s">
        <v>87</v>
      </c>
      <c r="B563" t="s">
        <v>1434</v>
      </c>
      <c r="C563">
        <v>0</v>
      </c>
      <c r="E563">
        <f t="shared" si="16"/>
        <v>0</v>
      </c>
      <c r="F563">
        <v>16.3</v>
      </c>
      <c r="G563">
        <v>0.05</v>
      </c>
      <c r="H563">
        <f t="shared" si="17"/>
        <v>8.15</v>
      </c>
    </row>
    <row r="564" spans="1:8" x14ac:dyDescent="0.15">
      <c r="A564" t="s">
        <v>87</v>
      </c>
      <c r="B564" t="s">
        <v>788</v>
      </c>
      <c r="C564">
        <v>92.92</v>
      </c>
      <c r="D564">
        <v>0.13552238484718035</v>
      </c>
      <c r="E564">
        <f t="shared" si="16"/>
        <v>125.92739999999999</v>
      </c>
      <c r="F564">
        <v>548.8900000000001</v>
      </c>
      <c r="G564">
        <v>0.13860254331468963</v>
      </c>
      <c r="H564">
        <f t="shared" si="17"/>
        <v>760.77549999999997</v>
      </c>
    </row>
    <row r="565" spans="1:8" x14ac:dyDescent="0.15">
      <c r="A565" t="s">
        <v>87</v>
      </c>
      <c r="B565" t="s">
        <v>1435</v>
      </c>
      <c r="C565">
        <v>0</v>
      </c>
      <c r="E565">
        <f t="shared" si="16"/>
        <v>0</v>
      </c>
      <c r="F565">
        <v>77.42</v>
      </c>
      <c r="G565">
        <v>0.15861597483212142</v>
      </c>
      <c r="H565">
        <f t="shared" si="17"/>
        <v>122.80048771502841</v>
      </c>
    </row>
    <row r="566" spans="1:8" x14ac:dyDescent="0.15">
      <c r="A566" t="s">
        <v>320</v>
      </c>
      <c r="B566" t="s">
        <v>970</v>
      </c>
      <c r="C566">
        <v>3.45</v>
      </c>
      <c r="D566">
        <v>0.65217391304347827</v>
      </c>
      <c r="E566">
        <f t="shared" si="16"/>
        <v>22.5</v>
      </c>
      <c r="F566">
        <v>5.8340000000000005</v>
      </c>
      <c r="G566">
        <v>0.5985258827562564</v>
      </c>
      <c r="H566">
        <f t="shared" si="17"/>
        <v>34.917999999999999</v>
      </c>
    </row>
    <row r="567" spans="1:8" x14ac:dyDescent="0.15">
      <c r="A567" t="s">
        <v>72</v>
      </c>
      <c r="B567" t="s">
        <v>1452</v>
      </c>
      <c r="C567">
        <v>0</v>
      </c>
      <c r="E567">
        <f t="shared" si="16"/>
        <v>0</v>
      </c>
      <c r="F567">
        <v>7.0000000000000007E-2</v>
      </c>
      <c r="G567">
        <v>0.46</v>
      </c>
      <c r="H567">
        <f t="shared" si="17"/>
        <v>0.32200000000000006</v>
      </c>
    </row>
    <row r="568" spans="1:8" x14ac:dyDescent="0.15">
      <c r="A568" t="s">
        <v>72</v>
      </c>
      <c r="B568" t="s">
        <v>1446</v>
      </c>
      <c r="C568">
        <v>0</v>
      </c>
      <c r="E568">
        <f t="shared" si="16"/>
        <v>0</v>
      </c>
      <c r="F568">
        <v>2600</v>
      </c>
      <c r="G568">
        <v>0.03</v>
      </c>
      <c r="H568">
        <f t="shared" si="17"/>
        <v>780</v>
      </c>
    </row>
    <row r="569" spans="1:8" x14ac:dyDescent="0.15">
      <c r="A569" t="s">
        <v>72</v>
      </c>
      <c r="B569" t="s">
        <v>1449</v>
      </c>
      <c r="C569">
        <v>0</v>
      </c>
      <c r="E569">
        <f t="shared" si="16"/>
        <v>0</v>
      </c>
      <c r="F569">
        <v>0.64500000000000002</v>
      </c>
      <c r="G569">
        <v>1.33</v>
      </c>
      <c r="H569">
        <f t="shared" si="17"/>
        <v>8.5785000000000018</v>
      </c>
    </row>
    <row r="570" spans="1:8" x14ac:dyDescent="0.15">
      <c r="A570" t="s">
        <v>72</v>
      </c>
      <c r="B570" t="s">
        <v>1450</v>
      </c>
      <c r="C570">
        <v>0</v>
      </c>
      <c r="E570">
        <f t="shared" si="16"/>
        <v>0</v>
      </c>
      <c r="F570">
        <v>1.139</v>
      </c>
      <c r="G570">
        <v>0.91000000000000014</v>
      </c>
      <c r="H570">
        <f t="shared" si="17"/>
        <v>10.364900000000002</v>
      </c>
    </row>
    <row r="571" spans="1:8" x14ac:dyDescent="0.15">
      <c r="A571" t="s">
        <v>72</v>
      </c>
      <c r="B571" t="s">
        <v>1454</v>
      </c>
      <c r="C571">
        <v>0</v>
      </c>
      <c r="E571">
        <f t="shared" si="16"/>
        <v>0</v>
      </c>
      <c r="F571">
        <v>0.16900000000000001</v>
      </c>
      <c r="G571">
        <v>1.29</v>
      </c>
      <c r="H571">
        <f t="shared" si="17"/>
        <v>2.1800999999999999</v>
      </c>
    </row>
    <row r="572" spans="1:8" x14ac:dyDescent="0.15">
      <c r="A572" t="s">
        <v>72</v>
      </c>
      <c r="B572" t="s">
        <v>1451</v>
      </c>
      <c r="C572">
        <v>0</v>
      </c>
      <c r="E572">
        <f t="shared" si="16"/>
        <v>0</v>
      </c>
      <c r="F572">
        <v>0.21299999999999999</v>
      </c>
      <c r="G572">
        <v>1.4</v>
      </c>
      <c r="H572">
        <f t="shared" si="17"/>
        <v>2.9819999999999998</v>
      </c>
    </row>
    <row r="573" spans="1:8" x14ac:dyDescent="0.15">
      <c r="A573" t="s">
        <v>72</v>
      </c>
      <c r="B573" t="s">
        <v>1455</v>
      </c>
      <c r="C573">
        <v>0</v>
      </c>
      <c r="E573">
        <f t="shared" si="16"/>
        <v>0</v>
      </c>
      <c r="F573">
        <v>311.89999999999998</v>
      </c>
      <c r="G573">
        <v>2.9901250400769481E-2</v>
      </c>
      <c r="H573">
        <f t="shared" si="17"/>
        <v>93.262</v>
      </c>
    </row>
    <row r="574" spans="1:8" x14ac:dyDescent="0.15">
      <c r="A574" t="s">
        <v>72</v>
      </c>
      <c r="B574" t="s">
        <v>1448</v>
      </c>
      <c r="C574">
        <v>0</v>
      </c>
      <c r="E574">
        <f t="shared" si="16"/>
        <v>0</v>
      </c>
      <c r="F574">
        <v>6.37</v>
      </c>
      <c r="G574">
        <v>0.35</v>
      </c>
      <c r="H574">
        <f t="shared" si="17"/>
        <v>22.294999999999998</v>
      </c>
    </row>
    <row r="575" spans="1:8" x14ac:dyDescent="0.15">
      <c r="A575" t="s">
        <v>72</v>
      </c>
      <c r="B575" t="s">
        <v>1453</v>
      </c>
      <c r="C575">
        <v>0</v>
      </c>
      <c r="E575">
        <f t="shared" si="16"/>
        <v>0</v>
      </c>
      <c r="F575">
        <v>4.24</v>
      </c>
      <c r="G575">
        <v>0.61</v>
      </c>
      <c r="H575">
        <f t="shared" si="17"/>
        <v>25.864000000000004</v>
      </c>
    </row>
    <row r="576" spans="1:8" x14ac:dyDescent="0.15">
      <c r="A576" t="s">
        <v>72</v>
      </c>
      <c r="B576" t="s">
        <v>1456</v>
      </c>
      <c r="C576">
        <v>0</v>
      </c>
      <c r="E576">
        <f t="shared" si="16"/>
        <v>0</v>
      </c>
      <c r="F576">
        <v>185.7</v>
      </c>
      <c r="G576">
        <v>0.17600000000000002</v>
      </c>
      <c r="H576">
        <f t="shared" si="17"/>
        <v>326.83199999999999</v>
      </c>
    </row>
    <row r="577" spans="1:8" x14ac:dyDescent="0.15">
      <c r="A577" t="s">
        <v>72</v>
      </c>
      <c r="B577" t="s">
        <v>1447</v>
      </c>
      <c r="C577">
        <v>0</v>
      </c>
      <c r="E577">
        <f t="shared" si="16"/>
        <v>0</v>
      </c>
      <c r="F577">
        <v>3062</v>
      </c>
      <c r="G577">
        <v>3.4000000000000002E-2</v>
      </c>
      <c r="H577">
        <f t="shared" si="17"/>
        <v>1041.08</v>
      </c>
    </row>
    <row r="578" spans="1:8" x14ac:dyDescent="0.15">
      <c r="A578" t="s">
        <v>72</v>
      </c>
      <c r="B578" t="s">
        <v>1457</v>
      </c>
      <c r="C578">
        <v>0</v>
      </c>
      <c r="E578">
        <f t="shared" ref="E578:E623" si="18">C578*D578*10</f>
        <v>0</v>
      </c>
      <c r="F578">
        <v>58.4</v>
      </c>
      <c r="G578">
        <v>0.11480479452054795</v>
      </c>
      <c r="H578">
        <f t="shared" ref="H578:H623" si="19">F578*G578*10</f>
        <v>67.046000000000006</v>
      </c>
    </row>
    <row r="579" spans="1:8" x14ac:dyDescent="0.15">
      <c r="A579" t="s">
        <v>875</v>
      </c>
      <c r="B579" t="s">
        <v>1458</v>
      </c>
      <c r="C579">
        <v>0</v>
      </c>
      <c r="E579">
        <f t="shared" si="18"/>
        <v>0</v>
      </c>
      <c r="F579">
        <v>106.72</v>
      </c>
      <c r="G579">
        <v>0.92201742878560722</v>
      </c>
      <c r="H579">
        <f t="shared" si="19"/>
        <v>983.97699999999998</v>
      </c>
    </row>
    <row r="580" spans="1:8" x14ac:dyDescent="0.15">
      <c r="A580" t="s">
        <v>875</v>
      </c>
      <c r="B580" t="s">
        <v>1460</v>
      </c>
      <c r="C580">
        <v>0</v>
      </c>
      <c r="E580">
        <f t="shared" si="18"/>
        <v>0</v>
      </c>
      <c r="F580">
        <v>58.2</v>
      </c>
      <c r="G580">
        <v>2.6221649484536083</v>
      </c>
      <c r="H580">
        <f t="shared" si="19"/>
        <v>1526.1000000000001</v>
      </c>
    </row>
    <row r="581" spans="1:8" x14ac:dyDescent="0.15">
      <c r="A581" t="s">
        <v>875</v>
      </c>
      <c r="B581" t="s">
        <v>1459</v>
      </c>
      <c r="C581">
        <v>0</v>
      </c>
      <c r="E581">
        <f t="shared" si="18"/>
        <v>0</v>
      </c>
      <c r="F581">
        <v>55.1</v>
      </c>
      <c r="G581">
        <v>0.96</v>
      </c>
      <c r="H581">
        <f t="shared" si="19"/>
        <v>528.96</v>
      </c>
    </row>
    <row r="582" spans="1:8" x14ac:dyDescent="0.15">
      <c r="A582" t="s">
        <v>875</v>
      </c>
      <c r="B582" t="s">
        <v>1461</v>
      </c>
      <c r="C582">
        <v>0</v>
      </c>
      <c r="E582">
        <f t="shared" si="18"/>
        <v>0</v>
      </c>
      <c r="F582">
        <v>56.253</v>
      </c>
      <c r="G582">
        <v>0.65593390574724908</v>
      </c>
      <c r="H582">
        <f t="shared" si="19"/>
        <v>368.98250000000007</v>
      </c>
    </row>
    <row r="583" spans="1:8" x14ac:dyDescent="0.15">
      <c r="A583" t="s">
        <v>1462</v>
      </c>
      <c r="B583" t="s">
        <v>1463</v>
      </c>
      <c r="C583">
        <v>0</v>
      </c>
      <c r="E583">
        <f t="shared" si="18"/>
        <v>0</v>
      </c>
      <c r="F583">
        <v>12.25</v>
      </c>
      <c r="G583">
        <v>0.82999999999999985</v>
      </c>
      <c r="H583">
        <f t="shared" si="19"/>
        <v>101.67499999999998</v>
      </c>
    </row>
    <row r="584" spans="1:8" x14ac:dyDescent="0.15">
      <c r="A584" t="s">
        <v>79</v>
      </c>
      <c r="B584" t="s">
        <v>1465</v>
      </c>
      <c r="C584">
        <v>0</v>
      </c>
      <c r="E584">
        <f t="shared" si="18"/>
        <v>0</v>
      </c>
      <c r="F584">
        <v>70</v>
      </c>
      <c r="G584">
        <v>1</v>
      </c>
      <c r="H584">
        <f t="shared" si="19"/>
        <v>700</v>
      </c>
    </row>
    <row r="585" spans="1:8" x14ac:dyDescent="0.15">
      <c r="A585" t="s">
        <v>79</v>
      </c>
      <c r="B585" t="s">
        <v>1464</v>
      </c>
      <c r="C585">
        <v>0</v>
      </c>
      <c r="E585">
        <f t="shared" si="18"/>
        <v>0</v>
      </c>
      <c r="F585">
        <v>33.200000000000003</v>
      </c>
      <c r="G585">
        <v>1.1299999999999999</v>
      </c>
      <c r="H585">
        <f t="shared" si="19"/>
        <v>375.15999999999997</v>
      </c>
    </row>
    <row r="586" spans="1:8" x14ac:dyDescent="0.15">
      <c r="A586" t="s">
        <v>437</v>
      </c>
      <c r="B586" t="s">
        <v>1484</v>
      </c>
      <c r="C586">
        <v>0</v>
      </c>
      <c r="E586">
        <f t="shared" si="18"/>
        <v>0</v>
      </c>
      <c r="F586">
        <v>330.2208</v>
      </c>
      <c r="G586">
        <v>0.19</v>
      </c>
      <c r="H586">
        <f t="shared" si="19"/>
        <v>627.41951999999992</v>
      </c>
    </row>
    <row r="587" spans="1:8" x14ac:dyDescent="0.15">
      <c r="A587" t="s">
        <v>437</v>
      </c>
      <c r="B587" t="s">
        <v>1489</v>
      </c>
      <c r="C587">
        <v>0</v>
      </c>
      <c r="E587">
        <f t="shared" si="18"/>
        <v>0</v>
      </c>
      <c r="F587">
        <v>9.2534399999999994</v>
      </c>
      <c r="G587">
        <v>0.26</v>
      </c>
      <c r="H587">
        <f t="shared" si="19"/>
        <v>24.058943999999997</v>
      </c>
    </row>
    <row r="588" spans="1:8" x14ac:dyDescent="0.15">
      <c r="A588" t="s">
        <v>437</v>
      </c>
      <c r="B588" t="s">
        <v>1473</v>
      </c>
      <c r="C588">
        <v>0</v>
      </c>
      <c r="E588">
        <f t="shared" si="18"/>
        <v>0</v>
      </c>
      <c r="F588">
        <v>307.39999999999998</v>
      </c>
      <c r="G588">
        <v>0.15294079375406636</v>
      </c>
      <c r="H588">
        <f t="shared" si="19"/>
        <v>470.14</v>
      </c>
    </row>
    <row r="589" spans="1:8" x14ac:dyDescent="0.15">
      <c r="A589" t="s">
        <v>437</v>
      </c>
      <c r="B589" t="s">
        <v>1487</v>
      </c>
      <c r="C589">
        <v>0</v>
      </c>
      <c r="E589">
        <f t="shared" si="18"/>
        <v>0</v>
      </c>
      <c r="F589">
        <v>19.958400000000001</v>
      </c>
      <c r="G589">
        <v>0.42</v>
      </c>
      <c r="H589">
        <f t="shared" si="19"/>
        <v>83.825280000000006</v>
      </c>
    </row>
    <row r="590" spans="1:8" x14ac:dyDescent="0.15">
      <c r="A590" t="s">
        <v>437</v>
      </c>
      <c r="B590" t="s">
        <v>1488</v>
      </c>
      <c r="C590">
        <v>0</v>
      </c>
      <c r="E590">
        <f t="shared" si="18"/>
        <v>0</v>
      </c>
      <c r="F590">
        <v>0.36288000000000004</v>
      </c>
      <c r="G590">
        <v>0.22999999999999998</v>
      </c>
      <c r="H590">
        <f t="shared" si="19"/>
        <v>0.83462400000000003</v>
      </c>
    </row>
    <row r="591" spans="1:8" x14ac:dyDescent="0.15">
      <c r="A591" t="s">
        <v>437</v>
      </c>
      <c r="B591" t="s">
        <v>1478</v>
      </c>
      <c r="C591">
        <v>0</v>
      </c>
      <c r="E591">
        <f t="shared" si="18"/>
        <v>0</v>
      </c>
      <c r="F591">
        <v>246.75839999999999</v>
      </c>
      <c r="G591">
        <v>5.8139534883720929E-2</v>
      </c>
      <c r="H591">
        <f t="shared" si="19"/>
        <v>143.46418604651163</v>
      </c>
    </row>
    <row r="592" spans="1:8" x14ac:dyDescent="0.15">
      <c r="A592" t="s">
        <v>437</v>
      </c>
      <c r="B592" t="s">
        <v>971</v>
      </c>
      <c r="C592">
        <v>4.0880000000000001</v>
      </c>
      <c r="D592">
        <v>2.6227984344422701</v>
      </c>
      <c r="E592">
        <f t="shared" si="18"/>
        <v>107.22000000000001</v>
      </c>
      <c r="F592">
        <v>4.2939999999999996</v>
      </c>
      <c r="G592">
        <v>3.2753609687936662</v>
      </c>
      <c r="H592">
        <f t="shared" si="19"/>
        <v>140.64400000000001</v>
      </c>
    </row>
    <row r="593" spans="1:8" x14ac:dyDescent="0.15">
      <c r="A593" t="s">
        <v>437</v>
      </c>
      <c r="B593" t="s">
        <v>1486</v>
      </c>
      <c r="C593">
        <v>0</v>
      </c>
      <c r="E593">
        <f t="shared" si="18"/>
        <v>0</v>
      </c>
      <c r="F593">
        <v>0.50803200000000004</v>
      </c>
      <c r="G593">
        <v>0.34</v>
      </c>
      <c r="H593">
        <f t="shared" si="19"/>
        <v>1.7273088000000003</v>
      </c>
    </row>
    <row r="594" spans="1:8" x14ac:dyDescent="0.15">
      <c r="A594" t="s">
        <v>437</v>
      </c>
      <c r="B594" t="s">
        <v>1479</v>
      </c>
      <c r="C594">
        <v>0</v>
      </c>
      <c r="E594">
        <f t="shared" si="18"/>
        <v>0</v>
      </c>
      <c r="F594">
        <v>0.72576000000000007</v>
      </c>
      <c r="G594">
        <v>0.7</v>
      </c>
      <c r="H594">
        <f t="shared" si="19"/>
        <v>5.0803200000000004</v>
      </c>
    </row>
    <row r="595" spans="1:8" x14ac:dyDescent="0.15">
      <c r="A595" t="s">
        <v>437</v>
      </c>
      <c r="B595" t="s">
        <v>1468</v>
      </c>
      <c r="C595">
        <v>0</v>
      </c>
      <c r="E595">
        <f t="shared" si="18"/>
        <v>0</v>
      </c>
      <c r="F595">
        <v>34.020000000000003</v>
      </c>
      <c r="G595">
        <v>0.86</v>
      </c>
      <c r="H595">
        <f t="shared" si="19"/>
        <v>292.572</v>
      </c>
    </row>
    <row r="596" spans="1:8" x14ac:dyDescent="0.15">
      <c r="A596" t="s">
        <v>437</v>
      </c>
      <c r="B596" t="s">
        <v>1467</v>
      </c>
      <c r="C596">
        <v>0</v>
      </c>
      <c r="E596">
        <f t="shared" si="18"/>
        <v>0</v>
      </c>
      <c r="F596">
        <v>3.55</v>
      </c>
      <c r="G596">
        <v>0.10400000000000001</v>
      </c>
      <c r="H596">
        <f t="shared" si="19"/>
        <v>3.6920000000000002</v>
      </c>
    </row>
    <row r="597" spans="1:8" x14ac:dyDescent="0.15">
      <c r="A597" t="s">
        <v>437</v>
      </c>
      <c r="B597" t="s">
        <v>1490</v>
      </c>
      <c r="C597">
        <v>0</v>
      </c>
      <c r="E597">
        <f t="shared" si="18"/>
        <v>0</v>
      </c>
      <c r="F597">
        <v>4.54</v>
      </c>
      <c r="G597">
        <v>0.36</v>
      </c>
      <c r="H597">
        <f t="shared" si="19"/>
        <v>16.343999999999998</v>
      </c>
    </row>
    <row r="598" spans="1:8" x14ac:dyDescent="0.15">
      <c r="A598" t="s">
        <v>437</v>
      </c>
      <c r="B598" t="s">
        <v>1474</v>
      </c>
      <c r="C598">
        <v>0</v>
      </c>
      <c r="E598">
        <f t="shared" si="18"/>
        <v>0</v>
      </c>
      <c r="F598">
        <v>1643.7999999999997</v>
      </c>
      <c r="G598">
        <v>0.17704708602019711</v>
      </c>
      <c r="H598">
        <f t="shared" si="19"/>
        <v>2910.2999999999997</v>
      </c>
    </row>
    <row r="599" spans="1:8" x14ac:dyDescent="0.15">
      <c r="A599" t="s">
        <v>437</v>
      </c>
      <c r="B599" t="s">
        <v>1475</v>
      </c>
      <c r="C599">
        <v>0</v>
      </c>
      <c r="E599">
        <f t="shared" si="18"/>
        <v>0</v>
      </c>
      <c r="F599">
        <v>122.39999999999999</v>
      </c>
      <c r="G599">
        <v>0.16521241830065361</v>
      </c>
      <c r="H599">
        <f t="shared" si="19"/>
        <v>202.22000000000003</v>
      </c>
    </row>
    <row r="600" spans="1:8" x14ac:dyDescent="0.15">
      <c r="A600" t="s">
        <v>437</v>
      </c>
      <c r="B600" t="s">
        <v>1476</v>
      </c>
      <c r="C600">
        <v>0</v>
      </c>
      <c r="E600">
        <f t="shared" si="18"/>
        <v>0</v>
      </c>
      <c r="F600">
        <v>1106.54</v>
      </c>
      <c r="G600">
        <v>0.14186057440309432</v>
      </c>
      <c r="H600">
        <f t="shared" si="19"/>
        <v>1569.7440000000001</v>
      </c>
    </row>
    <row r="601" spans="1:8" x14ac:dyDescent="0.15">
      <c r="A601" t="s">
        <v>437</v>
      </c>
      <c r="B601" t="s">
        <v>1466</v>
      </c>
      <c r="C601">
        <v>0</v>
      </c>
      <c r="E601">
        <f t="shared" si="18"/>
        <v>0</v>
      </c>
      <c r="F601">
        <v>1.8144</v>
      </c>
      <c r="G601">
        <v>0.46</v>
      </c>
      <c r="H601">
        <f t="shared" si="19"/>
        <v>8.3462399999999999</v>
      </c>
    </row>
    <row r="602" spans="1:8" x14ac:dyDescent="0.15">
      <c r="A602" t="s">
        <v>437</v>
      </c>
      <c r="B602" t="s">
        <v>1485</v>
      </c>
      <c r="C602">
        <v>0</v>
      </c>
      <c r="E602">
        <f t="shared" si="18"/>
        <v>0</v>
      </c>
      <c r="F602">
        <v>8.0000000000000002E-3</v>
      </c>
      <c r="G602">
        <v>1.57</v>
      </c>
      <c r="H602">
        <f t="shared" si="19"/>
        <v>0.12559999999999999</v>
      </c>
    </row>
    <row r="603" spans="1:8" x14ac:dyDescent="0.15">
      <c r="A603" t="s">
        <v>437</v>
      </c>
      <c r="B603" t="s">
        <v>1471</v>
      </c>
      <c r="C603">
        <v>0</v>
      </c>
      <c r="E603">
        <f t="shared" si="18"/>
        <v>0</v>
      </c>
      <c r="F603">
        <v>131.54400000000001</v>
      </c>
      <c r="G603">
        <v>0.31</v>
      </c>
      <c r="H603">
        <f t="shared" si="19"/>
        <v>407.78640000000001</v>
      </c>
    </row>
    <row r="604" spans="1:8" x14ac:dyDescent="0.15">
      <c r="A604" t="s">
        <v>437</v>
      </c>
      <c r="B604" t="s">
        <v>816</v>
      </c>
      <c r="C604">
        <v>254.66899999999998</v>
      </c>
      <c r="D604">
        <v>8.3870761655325143E-2</v>
      </c>
      <c r="E604">
        <f t="shared" si="18"/>
        <v>213.59282999999999</v>
      </c>
      <c r="F604">
        <v>1158.3</v>
      </c>
      <c r="G604">
        <v>7.2047828714495388E-2</v>
      </c>
      <c r="H604">
        <f t="shared" si="19"/>
        <v>834.53</v>
      </c>
    </row>
    <row r="605" spans="1:8" x14ac:dyDescent="0.15">
      <c r="A605" t="s">
        <v>437</v>
      </c>
      <c r="B605" t="s">
        <v>1472</v>
      </c>
      <c r="C605">
        <v>0</v>
      </c>
      <c r="E605">
        <f t="shared" si="18"/>
        <v>0</v>
      </c>
      <c r="F605">
        <v>54.432000000000002</v>
      </c>
      <c r="G605">
        <v>0.59</v>
      </c>
      <c r="H605">
        <f t="shared" si="19"/>
        <v>321.14879999999999</v>
      </c>
    </row>
    <row r="606" spans="1:8" x14ac:dyDescent="0.15">
      <c r="A606" t="s">
        <v>437</v>
      </c>
      <c r="B606" t="s">
        <v>1469</v>
      </c>
      <c r="C606">
        <v>0</v>
      </c>
      <c r="E606">
        <f t="shared" si="18"/>
        <v>0</v>
      </c>
      <c r="F606">
        <v>14.5152</v>
      </c>
      <c r="G606">
        <v>0.91</v>
      </c>
      <c r="H606">
        <f t="shared" si="19"/>
        <v>132.08832000000001</v>
      </c>
    </row>
    <row r="607" spans="1:8" x14ac:dyDescent="0.15">
      <c r="A607" t="s">
        <v>437</v>
      </c>
      <c r="B607" t="s">
        <v>1470</v>
      </c>
      <c r="C607">
        <v>0</v>
      </c>
      <c r="E607">
        <f t="shared" si="18"/>
        <v>0</v>
      </c>
      <c r="F607">
        <v>37.5</v>
      </c>
      <c r="G607">
        <v>1.1000000000000001</v>
      </c>
      <c r="H607">
        <f t="shared" si="19"/>
        <v>412.5</v>
      </c>
    </row>
    <row r="608" spans="1:8" x14ac:dyDescent="0.15">
      <c r="A608" t="s">
        <v>437</v>
      </c>
      <c r="B608" t="s">
        <v>1483</v>
      </c>
      <c r="C608">
        <v>0</v>
      </c>
      <c r="E608">
        <f t="shared" si="18"/>
        <v>0</v>
      </c>
      <c r="F608">
        <v>192.32640000000001</v>
      </c>
      <c r="G608">
        <v>0.14528301886792455</v>
      </c>
      <c r="H608">
        <f t="shared" si="19"/>
        <v>279.41760000000005</v>
      </c>
    </row>
    <row r="609" spans="1:8" x14ac:dyDescent="0.15">
      <c r="A609" t="s">
        <v>437</v>
      </c>
      <c r="B609" t="s">
        <v>1482</v>
      </c>
      <c r="C609">
        <v>0</v>
      </c>
      <c r="E609">
        <f t="shared" si="18"/>
        <v>0</v>
      </c>
      <c r="F609">
        <v>0.390096</v>
      </c>
      <c r="G609">
        <v>0.3</v>
      </c>
      <c r="H609">
        <f t="shared" si="19"/>
        <v>1.1702879999999998</v>
      </c>
    </row>
    <row r="610" spans="1:8" x14ac:dyDescent="0.15">
      <c r="A610" t="s">
        <v>437</v>
      </c>
      <c r="B610" t="s">
        <v>1480</v>
      </c>
      <c r="C610">
        <v>0</v>
      </c>
      <c r="E610">
        <f t="shared" si="18"/>
        <v>0</v>
      </c>
      <c r="F610">
        <v>435.5</v>
      </c>
      <c r="G610">
        <v>0.16</v>
      </c>
      <c r="H610">
        <f t="shared" si="19"/>
        <v>696.80000000000007</v>
      </c>
    </row>
    <row r="611" spans="1:8" x14ac:dyDescent="0.15">
      <c r="A611" t="s">
        <v>437</v>
      </c>
      <c r="B611" t="s">
        <v>826</v>
      </c>
      <c r="C611">
        <v>46.5</v>
      </c>
      <c r="D611">
        <v>0.10076278475729886</v>
      </c>
      <c r="E611">
        <f t="shared" si="18"/>
        <v>46.85469491214397</v>
      </c>
      <c r="F611">
        <v>151.69999999999999</v>
      </c>
      <c r="G611">
        <v>0.10076278475729883</v>
      </c>
      <c r="H611">
        <f t="shared" si="19"/>
        <v>152.85714447682233</v>
      </c>
    </row>
    <row r="612" spans="1:8" x14ac:dyDescent="0.15">
      <c r="A612" t="s">
        <v>437</v>
      </c>
      <c r="B612" t="s">
        <v>1477</v>
      </c>
      <c r="C612">
        <v>0</v>
      </c>
      <c r="E612">
        <f t="shared" si="18"/>
        <v>0</v>
      </c>
      <c r="F612">
        <v>8.020999999999999</v>
      </c>
      <c r="G612">
        <v>1.6934210198229651</v>
      </c>
      <c r="H612">
        <f t="shared" si="19"/>
        <v>135.82930000000002</v>
      </c>
    </row>
    <row r="613" spans="1:8" x14ac:dyDescent="0.15">
      <c r="A613" t="s">
        <v>437</v>
      </c>
      <c r="B613" t="s">
        <v>1481</v>
      </c>
      <c r="C613">
        <v>0</v>
      </c>
      <c r="E613">
        <f t="shared" si="18"/>
        <v>0</v>
      </c>
      <c r="F613">
        <v>34.473599999999998</v>
      </c>
      <c r="G613">
        <v>0.1</v>
      </c>
      <c r="H613">
        <f t="shared" si="19"/>
        <v>34.473599999999998</v>
      </c>
    </row>
    <row r="614" spans="1:8" x14ac:dyDescent="0.15">
      <c r="A614" t="s">
        <v>1491</v>
      </c>
      <c r="B614" t="s">
        <v>1492</v>
      </c>
      <c r="C614">
        <v>0</v>
      </c>
      <c r="E614">
        <f t="shared" si="18"/>
        <v>0</v>
      </c>
      <c r="F614">
        <v>11.132599999999998</v>
      </c>
      <c r="G614">
        <v>1.3907478935738282</v>
      </c>
      <c r="H614">
        <f t="shared" si="19"/>
        <v>154.82639999999998</v>
      </c>
    </row>
    <row r="615" spans="1:8" x14ac:dyDescent="0.15">
      <c r="A615" t="s">
        <v>42</v>
      </c>
      <c r="B615" t="s">
        <v>972</v>
      </c>
      <c r="C615">
        <v>35.4</v>
      </c>
      <c r="D615">
        <v>0.97084745762711877</v>
      </c>
      <c r="E615">
        <f t="shared" si="18"/>
        <v>343.68</v>
      </c>
      <c r="F615">
        <v>60.6</v>
      </c>
      <c r="G615">
        <v>0.87752475247524742</v>
      </c>
      <c r="H615">
        <f t="shared" si="19"/>
        <v>531.78</v>
      </c>
    </row>
    <row r="616" spans="1:8" x14ac:dyDescent="0.15">
      <c r="A616" t="s">
        <v>42</v>
      </c>
      <c r="B616" t="s">
        <v>1494</v>
      </c>
      <c r="C616">
        <v>0</v>
      </c>
      <c r="E616">
        <f t="shared" si="18"/>
        <v>0</v>
      </c>
      <c r="F616">
        <v>6.0100000000000007</v>
      </c>
      <c r="G616">
        <v>0.99981697171381034</v>
      </c>
      <c r="H616">
        <f t="shared" si="19"/>
        <v>60.089000000000006</v>
      </c>
    </row>
    <row r="617" spans="1:8" x14ac:dyDescent="0.15">
      <c r="A617" t="s">
        <v>42</v>
      </c>
      <c r="B617" t="s">
        <v>1493</v>
      </c>
      <c r="C617">
        <v>0</v>
      </c>
      <c r="E617">
        <f t="shared" si="18"/>
        <v>0</v>
      </c>
      <c r="F617">
        <v>185.78319500000001</v>
      </c>
      <c r="G617">
        <v>2.0127214606251116E-2</v>
      </c>
      <c r="H617">
        <f t="shared" si="19"/>
        <v>37.392982359999991</v>
      </c>
    </row>
    <row r="618" spans="1:8" x14ac:dyDescent="0.15">
      <c r="A618" t="s">
        <v>82</v>
      </c>
      <c r="B618" t="s">
        <v>973</v>
      </c>
      <c r="C618">
        <v>2.41</v>
      </c>
      <c r="D618">
        <v>0.76365145228215769</v>
      </c>
      <c r="E618">
        <f t="shared" si="18"/>
        <v>18.404000000000003</v>
      </c>
      <c r="F618">
        <v>51.727000000000004</v>
      </c>
      <c r="G618">
        <v>0.60696328803139554</v>
      </c>
      <c r="H618">
        <f t="shared" si="19"/>
        <v>313.96390000000002</v>
      </c>
    </row>
    <row r="619" spans="1:8" x14ac:dyDescent="0.15">
      <c r="A619" t="s">
        <v>82</v>
      </c>
      <c r="B619" t="s">
        <v>1495</v>
      </c>
      <c r="C619">
        <v>0</v>
      </c>
      <c r="E619">
        <f t="shared" si="18"/>
        <v>0</v>
      </c>
      <c r="F619">
        <v>81.78</v>
      </c>
      <c r="G619">
        <v>0.21491195891415993</v>
      </c>
      <c r="H619">
        <f t="shared" si="19"/>
        <v>175.755</v>
      </c>
    </row>
    <row r="620" spans="1:8" x14ac:dyDescent="0.15">
      <c r="A620" t="s">
        <v>82</v>
      </c>
      <c r="B620" t="s">
        <v>1496</v>
      </c>
      <c r="C620">
        <v>0</v>
      </c>
      <c r="E620">
        <f t="shared" si="18"/>
        <v>0</v>
      </c>
      <c r="F620">
        <v>9.5399999999999991</v>
      </c>
      <c r="G620">
        <v>0.15</v>
      </c>
      <c r="H620">
        <f t="shared" si="19"/>
        <v>14.309999999999999</v>
      </c>
    </row>
    <row r="621" spans="1:8" x14ac:dyDescent="0.15">
      <c r="A621" t="s">
        <v>82</v>
      </c>
      <c r="B621" t="s">
        <v>975</v>
      </c>
      <c r="C621">
        <v>16.5</v>
      </c>
      <c r="D621">
        <v>0.14000000000000004</v>
      </c>
      <c r="E621">
        <f t="shared" si="18"/>
        <v>23.100000000000005</v>
      </c>
      <c r="F621">
        <v>57.199999999999996</v>
      </c>
      <c r="G621">
        <v>0.13999999999999999</v>
      </c>
      <c r="H621">
        <f t="shared" si="19"/>
        <v>80.079999999999984</v>
      </c>
    </row>
    <row r="622" spans="1:8" x14ac:dyDescent="0.15">
      <c r="A622" t="s">
        <v>82</v>
      </c>
      <c r="B622" t="s">
        <v>974</v>
      </c>
      <c r="C622">
        <v>52.4</v>
      </c>
      <c r="D622">
        <v>0.22</v>
      </c>
      <c r="E622">
        <f t="shared" si="18"/>
        <v>115.28</v>
      </c>
      <c r="F622">
        <v>225.00000000000003</v>
      </c>
      <c r="G622">
        <v>0.21999999999999997</v>
      </c>
      <c r="H622">
        <f t="shared" si="19"/>
        <v>495</v>
      </c>
    </row>
    <row r="623" spans="1:8" x14ac:dyDescent="0.15">
      <c r="A623" t="s">
        <v>82</v>
      </c>
      <c r="B623" t="s">
        <v>976</v>
      </c>
      <c r="C623">
        <v>226.3</v>
      </c>
      <c r="D623">
        <v>0.1</v>
      </c>
      <c r="E623">
        <f t="shared" si="18"/>
        <v>226.3</v>
      </c>
      <c r="F623">
        <v>1001.8</v>
      </c>
      <c r="G623">
        <v>0.12061090037931722</v>
      </c>
      <c r="H623">
        <f t="shared" si="19"/>
        <v>1208.28</v>
      </c>
    </row>
    <row r="626" spans="1:1" x14ac:dyDescent="0.15">
      <c r="A626" s="5" t="s">
        <v>3708</v>
      </c>
    </row>
  </sheetData>
  <pageMargins left="0.7" right="0.7" top="0.75" bottom="0.75" header="0.3" footer="0.3"/>
  <pageSetup paperSize="9" orientation="portrait" horizontalDpi="0" verticalDpi="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6B1E-9A10-954A-8CEA-D058AF7390F3}">
  <dimension ref="A1:B30"/>
  <sheetViews>
    <sheetView zoomScale="89" workbookViewId="0">
      <selection activeCell="A31" sqref="A31"/>
    </sheetView>
  </sheetViews>
  <sheetFormatPr baseColWidth="10" defaultRowHeight="13" x14ac:dyDescent="0.15"/>
  <cols>
    <col min="2" max="2" width="13.83203125" customWidth="1"/>
  </cols>
  <sheetData>
    <row r="1" spans="1:2" x14ac:dyDescent="0.15">
      <c r="A1" s="5" t="s">
        <v>148</v>
      </c>
      <c r="B1" s="5" t="s">
        <v>3313</v>
      </c>
    </row>
    <row r="2" spans="1:2" x14ac:dyDescent="0.15">
      <c r="A2" s="5" t="s">
        <v>35</v>
      </c>
      <c r="B2">
        <v>853000</v>
      </c>
    </row>
    <row r="3" spans="1:2" x14ac:dyDescent="0.15">
      <c r="A3" s="5" t="s">
        <v>75</v>
      </c>
      <c r="B3">
        <v>323325</v>
      </c>
    </row>
    <row r="4" spans="1:2" x14ac:dyDescent="0.15">
      <c r="A4" s="5" t="s">
        <v>41</v>
      </c>
      <c r="B4">
        <v>278700</v>
      </c>
    </row>
    <row r="5" spans="1:2" x14ac:dyDescent="0.15">
      <c r="A5" s="5" t="s">
        <v>74</v>
      </c>
      <c r="B5">
        <v>208185</v>
      </c>
    </row>
    <row r="6" spans="1:2" x14ac:dyDescent="0.15">
      <c r="A6" s="5" t="s">
        <v>30</v>
      </c>
      <c r="B6">
        <v>181410</v>
      </c>
    </row>
    <row r="7" spans="1:2" x14ac:dyDescent="0.15">
      <c r="A7" s="5" t="s">
        <v>29</v>
      </c>
      <c r="B7">
        <v>158751</v>
      </c>
    </row>
    <row r="8" spans="1:2" x14ac:dyDescent="0.15">
      <c r="A8" s="5" t="s">
        <v>32</v>
      </c>
      <c r="B8">
        <v>120000</v>
      </c>
    </row>
    <row r="9" spans="1:2" x14ac:dyDescent="0.15">
      <c r="A9" s="5" t="s">
        <v>73</v>
      </c>
      <c r="B9">
        <v>60600</v>
      </c>
    </row>
    <row r="10" spans="1:2" x14ac:dyDescent="0.15">
      <c r="A10" s="5" t="s">
        <v>861</v>
      </c>
      <c r="B10">
        <v>56900</v>
      </c>
    </row>
    <row r="11" spans="1:2" x14ac:dyDescent="0.15">
      <c r="A11" s="5" t="s">
        <v>76</v>
      </c>
      <c r="B11">
        <v>49200</v>
      </c>
    </row>
    <row r="12" spans="1:2" x14ac:dyDescent="0.15">
      <c r="A12" s="5" t="s">
        <v>928</v>
      </c>
      <c r="B12">
        <v>45000</v>
      </c>
    </row>
    <row r="13" spans="1:2" x14ac:dyDescent="0.15">
      <c r="A13" s="5" t="s">
        <v>87</v>
      </c>
      <c r="B13">
        <v>42936</v>
      </c>
    </row>
    <row r="14" spans="1:2" x14ac:dyDescent="0.15">
      <c r="A14" s="5" t="s">
        <v>77</v>
      </c>
      <c r="B14">
        <v>39000</v>
      </c>
    </row>
    <row r="15" spans="1:2" x14ac:dyDescent="0.15">
      <c r="A15" s="5" t="s">
        <v>865</v>
      </c>
      <c r="B15">
        <v>38530</v>
      </c>
    </row>
    <row r="16" spans="1:2" x14ac:dyDescent="0.15">
      <c r="A16" s="5" t="s">
        <v>1279</v>
      </c>
      <c r="B16">
        <v>36300</v>
      </c>
    </row>
    <row r="17" spans="1:2" x14ac:dyDescent="0.15">
      <c r="A17" s="5" t="s">
        <v>873</v>
      </c>
      <c r="B17">
        <v>32720</v>
      </c>
    </row>
    <row r="18" spans="1:2" x14ac:dyDescent="0.15">
      <c r="A18" s="5" t="s">
        <v>83</v>
      </c>
      <c r="B18">
        <v>20000</v>
      </c>
    </row>
    <row r="19" spans="1:2" x14ac:dyDescent="0.15">
      <c r="A19" s="5" t="s">
        <v>79</v>
      </c>
      <c r="B19">
        <v>16600</v>
      </c>
    </row>
    <row r="20" spans="1:2" x14ac:dyDescent="0.15">
      <c r="A20" s="5" t="s">
        <v>82</v>
      </c>
      <c r="B20">
        <v>16593</v>
      </c>
    </row>
    <row r="21" spans="1:2" x14ac:dyDescent="0.15">
      <c r="A21" s="5" t="s">
        <v>866</v>
      </c>
      <c r="B21">
        <v>13655</v>
      </c>
    </row>
    <row r="22" spans="1:2" x14ac:dyDescent="0.15">
      <c r="A22" s="5" t="s">
        <v>437</v>
      </c>
      <c r="B22">
        <v>13500</v>
      </c>
    </row>
    <row r="23" spans="1:2" x14ac:dyDescent="0.15">
      <c r="A23" s="5" t="s">
        <v>1303</v>
      </c>
      <c r="B23">
        <v>3310</v>
      </c>
    </row>
    <row r="24" spans="1:2" x14ac:dyDescent="0.15">
      <c r="A24" s="5" t="s">
        <v>321</v>
      </c>
      <c r="B24">
        <v>3000</v>
      </c>
    </row>
    <row r="25" spans="1:2" x14ac:dyDescent="0.15">
      <c r="A25" s="5" t="s">
        <v>979</v>
      </c>
      <c r="B25">
        <v>2830</v>
      </c>
    </row>
    <row r="26" spans="1:2" x14ac:dyDescent="0.15">
      <c r="A26" s="5" t="s">
        <v>324</v>
      </c>
      <c r="B26">
        <v>200</v>
      </c>
    </row>
    <row r="27" spans="1:2" x14ac:dyDescent="0.15">
      <c r="A27" s="5" t="s">
        <v>78</v>
      </c>
      <c r="B27">
        <v>130</v>
      </c>
    </row>
    <row r="30" spans="1:2" x14ac:dyDescent="0.15">
      <c r="A30" s="5" t="s">
        <v>3706</v>
      </c>
    </row>
  </sheetData>
  <pageMargins left="0.7" right="0.7" top="0.75" bottom="0.75" header="0.3" footer="0.3"/>
  <pageSetup paperSize="9" orientation="portrait" horizontalDpi="0" verticalDpi="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6A20E-CD51-6940-ABAC-E855F3F05D68}">
  <sheetPr filterMode="1"/>
  <dimension ref="A1:X323"/>
  <sheetViews>
    <sheetView zoomScale="85" workbookViewId="0">
      <pane xSplit="4" ySplit="1" topLeftCell="E294" activePane="bottomRight" state="frozen"/>
      <selection pane="topRight" activeCell="E1" sqref="E1"/>
      <selection pane="bottomLeft" activeCell="A2" sqref="A2"/>
      <selection pane="bottomRight" activeCell="A324" sqref="A324"/>
    </sheetView>
  </sheetViews>
  <sheetFormatPr baseColWidth="10" defaultRowHeight="13" x14ac:dyDescent="0.15"/>
  <cols>
    <col min="1" max="2" width="10.1640625" bestFit="1" customWidth="1"/>
    <col min="3" max="3" width="12" bestFit="1" customWidth="1"/>
    <col min="4" max="4" width="22.33203125" bestFit="1" customWidth="1"/>
    <col min="5" max="5" width="6.6640625" bestFit="1" customWidth="1"/>
    <col min="6" max="6" width="12" bestFit="1" customWidth="1"/>
    <col min="7" max="7" width="12.5" bestFit="1" customWidth="1"/>
    <col min="8" max="8" width="12.83203125" bestFit="1" customWidth="1"/>
    <col min="9" max="10" width="11.6640625" bestFit="1" customWidth="1"/>
    <col min="11" max="11" width="20.6640625" bestFit="1" customWidth="1"/>
    <col min="12" max="12" width="7.1640625" bestFit="1" customWidth="1"/>
    <col min="13" max="13" width="13.1640625" bestFit="1" customWidth="1"/>
    <col min="14" max="19" width="13.1640625" customWidth="1"/>
    <col min="20" max="20" width="13" customWidth="1"/>
    <col min="23" max="23" width="11.83203125" customWidth="1"/>
  </cols>
  <sheetData>
    <row r="1" spans="1:24" x14ac:dyDescent="0.15">
      <c r="A1" t="s">
        <v>417</v>
      </c>
      <c r="B1" t="s">
        <v>418</v>
      </c>
      <c r="E1" t="s">
        <v>428</v>
      </c>
      <c r="F1" t="s">
        <v>429</v>
      </c>
      <c r="G1" t="s">
        <v>430</v>
      </c>
      <c r="H1" t="s">
        <v>431</v>
      </c>
      <c r="I1" t="s">
        <v>432</v>
      </c>
      <c r="J1" t="s">
        <v>325</v>
      </c>
      <c r="K1" t="s">
        <v>427</v>
      </c>
      <c r="L1" t="s">
        <v>32</v>
      </c>
      <c r="M1" t="s">
        <v>433</v>
      </c>
      <c r="N1" s="5" t="s">
        <v>428</v>
      </c>
      <c r="O1" s="5" t="s">
        <v>429</v>
      </c>
      <c r="P1" s="5" t="s">
        <v>430</v>
      </c>
      <c r="Q1" s="5" t="s">
        <v>3574</v>
      </c>
      <c r="R1" s="5" t="s">
        <v>432</v>
      </c>
      <c r="S1" s="5" t="s">
        <v>325</v>
      </c>
      <c r="T1" s="5" t="s">
        <v>3573</v>
      </c>
      <c r="U1" s="5" t="s">
        <v>32</v>
      </c>
      <c r="X1" s="5"/>
    </row>
    <row r="2" spans="1:24" x14ac:dyDescent="0.15">
      <c r="A2" s="23">
        <v>29221</v>
      </c>
      <c r="B2" s="23">
        <v>29587</v>
      </c>
      <c r="C2" t="s">
        <v>419</v>
      </c>
      <c r="D2" t="s">
        <v>420</v>
      </c>
      <c r="E2">
        <v>5877</v>
      </c>
      <c r="F2">
        <v>52430</v>
      </c>
      <c r="G2">
        <v>13334</v>
      </c>
      <c r="H2">
        <v>4435</v>
      </c>
      <c r="I2">
        <v>27782</v>
      </c>
      <c r="J2">
        <v>4516</v>
      </c>
      <c r="M2">
        <v>108374</v>
      </c>
    </row>
    <row r="3" spans="1:24" x14ac:dyDescent="0.15">
      <c r="A3" s="23">
        <v>29221</v>
      </c>
      <c r="B3" s="23">
        <v>29587</v>
      </c>
      <c r="C3" t="s">
        <v>419</v>
      </c>
      <c r="D3" t="s">
        <v>421</v>
      </c>
      <c r="E3">
        <v>1332</v>
      </c>
      <c r="F3">
        <v>31567</v>
      </c>
      <c r="H3">
        <v>4112</v>
      </c>
      <c r="I3">
        <v>14326</v>
      </c>
      <c r="J3">
        <v>3155</v>
      </c>
      <c r="M3">
        <v>54492</v>
      </c>
    </row>
    <row r="4" spans="1:24" x14ac:dyDescent="0.15">
      <c r="A4" s="23">
        <v>29221</v>
      </c>
      <c r="B4" s="23">
        <v>29587</v>
      </c>
      <c r="C4" t="s">
        <v>419</v>
      </c>
      <c r="D4" t="s">
        <v>422</v>
      </c>
      <c r="F4">
        <v>1861</v>
      </c>
      <c r="G4">
        <v>637</v>
      </c>
      <c r="H4">
        <v>12871</v>
      </c>
      <c r="I4">
        <v>5853</v>
      </c>
      <c r="M4">
        <v>21222</v>
      </c>
    </row>
    <row r="5" spans="1:24" x14ac:dyDescent="0.15">
      <c r="A5" s="23">
        <v>29221</v>
      </c>
      <c r="B5" s="23">
        <v>29587</v>
      </c>
      <c r="C5" t="s">
        <v>419</v>
      </c>
      <c r="D5" t="s">
        <v>423</v>
      </c>
      <c r="F5">
        <v>9354</v>
      </c>
      <c r="G5">
        <v>268</v>
      </c>
      <c r="H5">
        <v>2761</v>
      </c>
      <c r="I5">
        <v>4193</v>
      </c>
      <c r="M5">
        <v>16576</v>
      </c>
    </row>
    <row r="6" spans="1:24" x14ac:dyDescent="0.15">
      <c r="A6" s="23">
        <v>29221</v>
      </c>
      <c r="B6" s="23">
        <v>29587</v>
      </c>
      <c r="C6" t="s">
        <v>419</v>
      </c>
      <c r="D6" t="s">
        <v>424</v>
      </c>
      <c r="F6">
        <v>4758</v>
      </c>
      <c r="H6">
        <v>447</v>
      </c>
      <c r="I6">
        <v>7826</v>
      </c>
      <c r="M6">
        <v>13031</v>
      </c>
    </row>
    <row r="7" spans="1:24" hidden="1" x14ac:dyDescent="0.15">
      <c r="A7" s="23">
        <v>29221</v>
      </c>
      <c r="B7" s="23">
        <v>29587</v>
      </c>
      <c r="C7" t="s">
        <v>434</v>
      </c>
      <c r="D7" t="s">
        <v>435</v>
      </c>
      <c r="F7">
        <v>31201</v>
      </c>
      <c r="G7">
        <v>2137</v>
      </c>
      <c r="H7">
        <v>10525</v>
      </c>
      <c r="I7">
        <v>15380</v>
      </c>
      <c r="J7">
        <v>1197</v>
      </c>
      <c r="M7">
        <v>60440</v>
      </c>
    </row>
    <row r="8" spans="1:24" hidden="1" x14ac:dyDescent="0.15">
      <c r="A8" s="23">
        <v>29221</v>
      </c>
      <c r="B8" s="23">
        <v>29587</v>
      </c>
      <c r="C8" t="s">
        <v>434</v>
      </c>
      <c r="D8" t="s">
        <v>436</v>
      </c>
      <c r="E8">
        <v>7209</v>
      </c>
      <c r="F8">
        <v>68769</v>
      </c>
      <c r="G8">
        <v>12102</v>
      </c>
      <c r="H8">
        <v>14101</v>
      </c>
      <c r="I8">
        <v>44600</v>
      </c>
      <c r="J8">
        <v>6474</v>
      </c>
      <c r="M8">
        <v>153255</v>
      </c>
    </row>
    <row r="9" spans="1:24" x14ac:dyDescent="0.15">
      <c r="A9" s="23">
        <v>29587</v>
      </c>
      <c r="B9" s="23">
        <v>29952</v>
      </c>
      <c r="C9" t="s">
        <v>419</v>
      </c>
      <c r="D9" t="s">
        <v>420</v>
      </c>
      <c r="E9">
        <v>6544</v>
      </c>
      <c r="F9">
        <v>52066</v>
      </c>
      <c r="G9">
        <v>13217</v>
      </c>
      <c r="H9">
        <v>3970</v>
      </c>
      <c r="I9">
        <v>27818</v>
      </c>
      <c r="J9">
        <v>4544</v>
      </c>
      <c r="M9">
        <v>108159</v>
      </c>
    </row>
    <row r="10" spans="1:24" x14ac:dyDescent="0.15">
      <c r="A10" s="23">
        <v>29587</v>
      </c>
      <c r="B10" s="23">
        <v>29952</v>
      </c>
      <c r="C10" t="s">
        <v>419</v>
      </c>
      <c r="D10" t="s">
        <v>421</v>
      </c>
      <c r="E10">
        <v>1338</v>
      </c>
      <c r="F10">
        <v>31758</v>
      </c>
      <c r="H10">
        <v>4103</v>
      </c>
      <c r="I10">
        <v>15304</v>
      </c>
      <c r="J10">
        <v>4085</v>
      </c>
      <c r="M10">
        <v>56588</v>
      </c>
    </row>
    <row r="11" spans="1:24" x14ac:dyDescent="0.15">
      <c r="A11" s="23">
        <v>29587</v>
      </c>
      <c r="B11" s="23">
        <v>29952</v>
      </c>
      <c r="C11" t="s">
        <v>419</v>
      </c>
      <c r="D11" t="s">
        <v>422</v>
      </c>
      <c r="F11">
        <v>871</v>
      </c>
      <c r="G11">
        <v>218</v>
      </c>
      <c r="H11">
        <v>8273</v>
      </c>
      <c r="I11">
        <v>4664</v>
      </c>
      <c r="M11">
        <v>14026</v>
      </c>
    </row>
    <row r="12" spans="1:24" x14ac:dyDescent="0.15">
      <c r="A12" s="23">
        <v>29587</v>
      </c>
      <c r="B12" s="23">
        <v>29952</v>
      </c>
      <c r="C12" t="s">
        <v>419</v>
      </c>
      <c r="D12" t="s">
        <v>423</v>
      </c>
      <c r="F12">
        <v>5885</v>
      </c>
      <c r="G12">
        <v>368</v>
      </c>
      <c r="H12">
        <v>4230</v>
      </c>
      <c r="I12">
        <v>4205</v>
      </c>
      <c r="M12">
        <v>14688</v>
      </c>
    </row>
    <row r="13" spans="1:24" x14ac:dyDescent="0.15">
      <c r="A13" s="23">
        <v>29587</v>
      </c>
      <c r="B13" s="23">
        <v>29952</v>
      </c>
      <c r="C13" t="s">
        <v>419</v>
      </c>
      <c r="D13" t="s">
        <v>424</v>
      </c>
      <c r="F13">
        <v>4815</v>
      </c>
      <c r="H13">
        <v>374</v>
      </c>
      <c r="I13">
        <v>6830</v>
      </c>
      <c r="M13">
        <v>12019</v>
      </c>
    </row>
    <row r="14" spans="1:24" hidden="1" x14ac:dyDescent="0.15">
      <c r="A14" s="23">
        <v>29587</v>
      </c>
      <c r="B14" s="23">
        <v>29952</v>
      </c>
      <c r="C14" t="s">
        <v>434</v>
      </c>
      <c r="D14" t="s">
        <v>435</v>
      </c>
      <c r="F14">
        <v>28456</v>
      </c>
      <c r="G14">
        <v>1856</v>
      </c>
      <c r="H14">
        <v>9376</v>
      </c>
      <c r="I14">
        <v>15661</v>
      </c>
      <c r="J14">
        <v>1144</v>
      </c>
      <c r="M14">
        <v>56493</v>
      </c>
    </row>
    <row r="15" spans="1:24" hidden="1" x14ac:dyDescent="0.15">
      <c r="A15" s="23">
        <v>29587</v>
      </c>
      <c r="B15" s="23">
        <v>29952</v>
      </c>
      <c r="C15" t="s">
        <v>434</v>
      </c>
      <c r="D15" t="s">
        <v>436</v>
      </c>
      <c r="E15">
        <v>7882</v>
      </c>
      <c r="F15">
        <v>66939</v>
      </c>
      <c r="G15">
        <v>11947</v>
      </c>
      <c r="H15">
        <v>11574</v>
      </c>
      <c r="I15">
        <v>43160</v>
      </c>
      <c r="J15">
        <v>7485</v>
      </c>
      <c r="M15">
        <v>148987</v>
      </c>
    </row>
    <row r="16" spans="1:24" x14ac:dyDescent="0.15">
      <c r="A16" s="23">
        <v>29952</v>
      </c>
      <c r="B16" s="23">
        <v>30317</v>
      </c>
      <c r="C16" t="s">
        <v>419</v>
      </c>
      <c r="D16" t="s">
        <v>420</v>
      </c>
      <c r="E16">
        <v>6412</v>
      </c>
      <c r="F16">
        <v>42453</v>
      </c>
      <c r="G16">
        <v>13470</v>
      </c>
      <c r="H16">
        <v>4069</v>
      </c>
      <c r="I16">
        <v>24580</v>
      </c>
      <c r="J16">
        <v>4759</v>
      </c>
      <c r="M16">
        <v>95743</v>
      </c>
    </row>
    <row r="17" spans="1:13" x14ac:dyDescent="0.15">
      <c r="A17" s="23">
        <v>29952</v>
      </c>
      <c r="B17" s="23">
        <v>30317</v>
      </c>
      <c r="C17" t="s">
        <v>419</v>
      </c>
      <c r="D17" t="s">
        <v>421</v>
      </c>
      <c r="E17">
        <v>1646</v>
      </c>
      <c r="F17">
        <v>23915</v>
      </c>
      <c r="H17">
        <v>4396</v>
      </c>
      <c r="I17">
        <v>14928</v>
      </c>
      <c r="J17">
        <v>4259</v>
      </c>
      <c r="M17">
        <v>49144</v>
      </c>
    </row>
    <row r="18" spans="1:13" x14ac:dyDescent="0.15">
      <c r="A18" s="23">
        <v>29952</v>
      </c>
      <c r="B18" s="23">
        <v>30317</v>
      </c>
      <c r="C18" t="s">
        <v>419</v>
      </c>
      <c r="D18" t="s">
        <v>422</v>
      </c>
      <c r="F18">
        <v>850</v>
      </c>
      <c r="G18">
        <v>43</v>
      </c>
      <c r="H18">
        <v>2434</v>
      </c>
      <c r="I18">
        <v>4380</v>
      </c>
      <c r="M18">
        <v>7707</v>
      </c>
    </row>
    <row r="19" spans="1:13" x14ac:dyDescent="0.15">
      <c r="A19" s="23">
        <v>29952</v>
      </c>
      <c r="B19" s="23">
        <v>30317</v>
      </c>
      <c r="C19" t="s">
        <v>419</v>
      </c>
      <c r="D19" t="s">
        <v>423</v>
      </c>
      <c r="F19">
        <v>3053</v>
      </c>
      <c r="G19">
        <v>96</v>
      </c>
      <c r="H19">
        <v>5321</v>
      </c>
      <c r="I19">
        <v>3905</v>
      </c>
      <c r="M19">
        <v>12375</v>
      </c>
    </row>
    <row r="20" spans="1:13" x14ac:dyDescent="0.15">
      <c r="A20" s="23">
        <v>29952</v>
      </c>
      <c r="B20" s="23">
        <v>30317</v>
      </c>
      <c r="C20" t="s">
        <v>419</v>
      </c>
      <c r="D20" t="s">
        <v>424</v>
      </c>
      <c r="F20">
        <v>3505</v>
      </c>
      <c r="H20">
        <v>341</v>
      </c>
      <c r="I20">
        <v>6404</v>
      </c>
      <c r="M20">
        <v>10250</v>
      </c>
    </row>
    <row r="21" spans="1:13" hidden="1" x14ac:dyDescent="0.15">
      <c r="A21" s="23">
        <v>29952</v>
      </c>
      <c r="B21" s="23">
        <v>30317</v>
      </c>
      <c r="C21" t="s">
        <v>434</v>
      </c>
      <c r="D21" t="s">
        <v>435</v>
      </c>
      <c r="F21">
        <v>25363</v>
      </c>
      <c r="G21">
        <v>1997</v>
      </c>
      <c r="H21">
        <v>10079</v>
      </c>
      <c r="I21">
        <v>14158</v>
      </c>
      <c r="J21">
        <v>1190</v>
      </c>
      <c r="M21">
        <v>52787</v>
      </c>
    </row>
    <row r="22" spans="1:13" hidden="1" x14ac:dyDescent="0.15">
      <c r="A22" s="23">
        <v>29952</v>
      </c>
      <c r="B22" s="23">
        <v>30317</v>
      </c>
      <c r="C22" t="s">
        <v>434</v>
      </c>
      <c r="D22" t="s">
        <v>436</v>
      </c>
      <c r="E22">
        <v>8058</v>
      </c>
      <c r="F22">
        <v>48413</v>
      </c>
      <c r="G22">
        <v>11612</v>
      </c>
      <c r="H22">
        <v>6482</v>
      </c>
      <c r="I22">
        <v>40039</v>
      </c>
      <c r="J22">
        <v>7828</v>
      </c>
      <c r="M22">
        <v>122432</v>
      </c>
    </row>
    <row r="23" spans="1:13" x14ac:dyDescent="0.15">
      <c r="A23" s="23">
        <v>30317</v>
      </c>
      <c r="B23" s="23">
        <v>30682</v>
      </c>
      <c r="C23" t="s">
        <v>419</v>
      </c>
      <c r="D23" t="s">
        <v>420</v>
      </c>
      <c r="E23">
        <v>4365</v>
      </c>
      <c r="F23">
        <v>45401</v>
      </c>
      <c r="G23">
        <v>15525</v>
      </c>
      <c r="H23">
        <v>5069</v>
      </c>
      <c r="I23">
        <v>24560</v>
      </c>
      <c r="J23">
        <v>5531</v>
      </c>
      <c r="M23">
        <v>100451</v>
      </c>
    </row>
    <row r="24" spans="1:13" x14ac:dyDescent="0.15">
      <c r="A24" s="23">
        <v>30317</v>
      </c>
      <c r="B24" s="23">
        <v>30682</v>
      </c>
      <c r="C24" t="s">
        <v>419</v>
      </c>
      <c r="D24" t="s">
        <v>421</v>
      </c>
      <c r="E24">
        <v>2487</v>
      </c>
      <c r="F24">
        <v>26318</v>
      </c>
      <c r="H24">
        <v>4551</v>
      </c>
      <c r="I24">
        <v>15667</v>
      </c>
      <c r="J24">
        <v>5682</v>
      </c>
      <c r="M24">
        <v>54705</v>
      </c>
    </row>
    <row r="25" spans="1:13" x14ac:dyDescent="0.15">
      <c r="A25" s="23">
        <v>30317</v>
      </c>
      <c r="B25" s="23">
        <v>30682</v>
      </c>
      <c r="C25" t="s">
        <v>419</v>
      </c>
      <c r="D25" t="s">
        <v>422</v>
      </c>
      <c r="F25">
        <v>491</v>
      </c>
      <c r="G25">
        <v>8</v>
      </c>
      <c r="H25">
        <v>1336</v>
      </c>
      <c r="I25">
        <v>3122</v>
      </c>
      <c r="J25">
        <v>234</v>
      </c>
      <c r="M25">
        <v>5191</v>
      </c>
    </row>
    <row r="26" spans="1:13" x14ac:dyDescent="0.15">
      <c r="A26" s="23">
        <v>30317</v>
      </c>
      <c r="B26" s="23">
        <v>30682</v>
      </c>
      <c r="C26" t="s">
        <v>419</v>
      </c>
      <c r="D26" t="s">
        <v>423</v>
      </c>
      <c r="F26">
        <v>432</v>
      </c>
      <c r="G26">
        <v>469</v>
      </c>
      <c r="H26">
        <v>5442</v>
      </c>
      <c r="I26">
        <v>3869</v>
      </c>
      <c r="M26">
        <v>10212</v>
      </c>
    </row>
    <row r="27" spans="1:13" x14ac:dyDescent="0.15">
      <c r="A27" s="23">
        <v>30317</v>
      </c>
      <c r="B27" s="23">
        <v>30682</v>
      </c>
      <c r="C27" t="s">
        <v>419</v>
      </c>
      <c r="D27" t="s">
        <v>424</v>
      </c>
      <c r="F27">
        <v>4031</v>
      </c>
      <c r="H27">
        <v>316</v>
      </c>
      <c r="I27">
        <v>7113</v>
      </c>
      <c r="M27">
        <v>11460</v>
      </c>
    </row>
    <row r="28" spans="1:13" hidden="1" x14ac:dyDescent="0.15">
      <c r="A28" s="23">
        <v>30317</v>
      </c>
      <c r="B28" s="23">
        <v>30682</v>
      </c>
      <c r="C28" t="s">
        <v>434</v>
      </c>
      <c r="D28" t="s">
        <v>435</v>
      </c>
      <c r="F28">
        <v>26015</v>
      </c>
      <c r="G28">
        <v>2506</v>
      </c>
      <c r="H28">
        <v>11576</v>
      </c>
      <c r="I28">
        <v>14415</v>
      </c>
      <c r="J28">
        <v>1173</v>
      </c>
      <c r="M28">
        <v>55685</v>
      </c>
    </row>
    <row r="29" spans="1:13" hidden="1" x14ac:dyDescent="0.15">
      <c r="A29" s="23">
        <v>30317</v>
      </c>
      <c r="B29" s="23">
        <v>30682</v>
      </c>
      <c r="C29" t="s">
        <v>434</v>
      </c>
      <c r="D29" t="s">
        <v>436</v>
      </c>
      <c r="E29">
        <v>6852</v>
      </c>
      <c r="F29">
        <v>50658</v>
      </c>
      <c r="G29">
        <v>13496</v>
      </c>
      <c r="H29">
        <v>5138</v>
      </c>
      <c r="I29">
        <v>39916</v>
      </c>
      <c r="J29">
        <v>10274</v>
      </c>
      <c r="M29">
        <v>126334</v>
      </c>
    </row>
    <row r="30" spans="1:13" x14ac:dyDescent="0.15">
      <c r="A30" s="23">
        <v>30682</v>
      </c>
      <c r="B30" s="23">
        <v>31048</v>
      </c>
      <c r="C30" t="s">
        <v>419</v>
      </c>
      <c r="D30" t="s">
        <v>420</v>
      </c>
      <c r="E30">
        <v>4022</v>
      </c>
      <c r="F30">
        <v>54854</v>
      </c>
      <c r="G30">
        <v>16784</v>
      </c>
      <c r="H30">
        <v>6239</v>
      </c>
      <c r="I30">
        <v>25169</v>
      </c>
      <c r="J30">
        <v>6031</v>
      </c>
      <c r="M30">
        <v>113099</v>
      </c>
    </row>
    <row r="31" spans="1:13" x14ac:dyDescent="0.15">
      <c r="A31" s="23">
        <v>30682</v>
      </c>
      <c r="B31" s="23">
        <v>31048</v>
      </c>
      <c r="C31" t="s">
        <v>419</v>
      </c>
      <c r="D31" t="s">
        <v>421</v>
      </c>
      <c r="E31">
        <v>2539</v>
      </c>
      <c r="F31">
        <v>32297</v>
      </c>
      <c r="H31">
        <v>5759</v>
      </c>
      <c r="I31">
        <v>17945</v>
      </c>
      <c r="J31">
        <v>9831</v>
      </c>
      <c r="M31">
        <v>68371</v>
      </c>
    </row>
    <row r="32" spans="1:13" x14ac:dyDescent="0.15">
      <c r="A32" s="23">
        <v>30682</v>
      </c>
      <c r="B32" s="23">
        <v>31048</v>
      </c>
      <c r="C32" t="s">
        <v>419</v>
      </c>
      <c r="D32" t="s">
        <v>422</v>
      </c>
      <c r="F32">
        <v>147</v>
      </c>
      <c r="H32">
        <v>1597</v>
      </c>
      <c r="I32">
        <v>2763</v>
      </c>
      <c r="M32">
        <v>4507</v>
      </c>
    </row>
    <row r="33" spans="1:13" x14ac:dyDescent="0.15">
      <c r="A33" s="23">
        <v>30682</v>
      </c>
      <c r="B33" s="23">
        <v>31048</v>
      </c>
      <c r="C33" t="s">
        <v>419</v>
      </c>
      <c r="D33" t="s">
        <v>423</v>
      </c>
      <c r="F33">
        <v>336</v>
      </c>
      <c r="G33">
        <v>314</v>
      </c>
      <c r="H33">
        <v>5762</v>
      </c>
      <c r="I33">
        <v>3446</v>
      </c>
      <c r="M33">
        <v>9858</v>
      </c>
    </row>
    <row r="34" spans="1:13" x14ac:dyDescent="0.15">
      <c r="A34" s="23">
        <v>30682</v>
      </c>
      <c r="B34" s="23">
        <v>31048</v>
      </c>
      <c r="C34" t="s">
        <v>419</v>
      </c>
      <c r="D34" t="s">
        <v>424</v>
      </c>
      <c r="F34">
        <v>4478</v>
      </c>
      <c r="H34">
        <v>310</v>
      </c>
      <c r="I34">
        <v>7331</v>
      </c>
      <c r="M34">
        <v>12119</v>
      </c>
    </row>
    <row r="35" spans="1:13" hidden="1" x14ac:dyDescent="0.15">
      <c r="A35" s="23">
        <v>30682</v>
      </c>
      <c r="B35" s="23">
        <v>31048</v>
      </c>
      <c r="C35" t="s">
        <v>434</v>
      </c>
      <c r="D35" t="s">
        <v>435</v>
      </c>
      <c r="F35">
        <v>28691</v>
      </c>
      <c r="G35">
        <v>1984</v>
      </c>
      <c r="H35">
        <v>12814</v>
      </c>
      <c r="I35">
        <v>14378</v>
      </c>
      <c r="J35">
        <v>1131</v>
      </c>
      <c r="M35">
        <v>58998</v>
      </c>
    </row>
    <row r="36" spans="1:13" hidden="1" x14ac:dyDescent="0.15">
      <c r="A36" s="23">
        <v>30682</v>
      </c>
      <c r="B36" s="23">
        <v>31048</v>
      </c>
      <c r="C36" t="s">
        <v>434</v>
      </c>
      <c r="D36" t="s">
        <v>436</v>
      </c>
      <c r="E36">
        <v>6561</v>
      </c>
      <c r="F36">
        <v>63421</v>
      </c>
      <c r="G36">
        <v>15114</v>
      </c>
      <c r="H36">
        <v>6853</v>
      </c>
      <c r="I36">
        <v>42276</v>
      </c>
      <c r="J36">
        <v>14731</v>
      </c>
      <c r="M36">
        <v>148956</v>
      </c>
    </row>
    <row r="37" spans="1:13" x14ac:dyDescent="0.15">
      <c r="A37" s="23">
        <v>31048</v>
      </c>
      <c r="B37" s="23">
        <v>31413</v>
      </c>
      <c r="C37" t="s">
        <v>419</v>
      </c>
      <c r="D37" t="s">
        <v>420</v>
      </c>
      <c r="E37">
        <v>5082</v>
      </c>
      <c r="F37">
        <v>49208</v>
      </c>
      <c r="G37">
        <v>18506</v>
      </c>
      <c r="H37">
        <v>6791</v>
      </c>
      <c r="I37">
        <v>23346</v>
      </c>
      <c r="J37">
        <v>6098</v>
      </c>
      <c r="M37">
        <v>109031</v>
      </c>
    </row>
    <row r="38" spans="1:13" x14ac:dyDescent="0.15">
      <c r="A38" s="23">
        <v>31048</v>
      </c>
      <c r="B38" s="23">
        <v>31413</v>
      </c>
      <c r="C38" t="s">
        <v>419</v>
      </c>
      <c r="D38" t="s">
        <v>421</v>
      </c>
      <c r="E38">
        <v>2695</v>
      </c>
      <c r="F38">
        <v>25713</v>
      </c>
      <c r="H38">
        <v>5929</v>
      </c>
      <c r="I38">
        <v>17235</v>
      </c>
      <c r="J38">
        <v>11288</v>
      </c>
      <c r="M38">
        <v>62860</v>
      </c>
    </row>
    <row r="39" spans="1:13" x14ac:dyDescent="0.15">
      <c r="A39" s="23">
        <v>31048</v>
      </c>
      <c r="B39" s="23">
        <v>31413</v>
      </c>
      <c r="C39" t="s">
        <v>419</v>
      </c>
      <c r="D39" t="s">
        <v>422</v>
      </c>
      <c r="F39">
        <v>1817</v>
      </c>
      <c r="H39">
        <v>951</v>
      </c>
      <c r="I39">
        <v>2332</v>
      </c>
      <c r="M39">
        <v>5100</v>
      </c>
    </row>
    <row r="40" spans="1:13" x14ac:dyDescent="0.15">
      <c r="A40" s="23">
        <v>31048</v>
      </c>
      <c r="B40" s="23">
        <v>31413</v>
      </c>
      <c r="C40" t="s">
        <v>419</v>
      </c>
      <c r="D40" t="s">
        <v>423</v>
      </c>
      <c r="F40">
        <v>108</v>
      </c>
      <c r="G40">
        <v>250</v>
      </c>
      <c r="H40">
        <v>5504</v>
      </c>
      <c r="I40">
        <v>3031</v>
      </c>
      <c r="M40">
        <v>8893</v>
      </c>
    </row>
    <row r="41" spans="1:13" x14ac:dyDescent="0.15">
      <c r="A41" s="23">
        <v>31048</v>
      </c>
      <c r="B41" s="23">
        <v>31413</v>
      </c>
      <c r="C41" t="s">
        <v>419</v>
      </c>
      <c r="D41" t="s">
        <v>424</v>
      </c>
      <c r="F41">
        <v>4037</v>
      </c>
      <c r="H41">
        <v>275</v>
      </c>
      <c r="I41">
        <v>8193</v>
      </c>
      <c r="M41">
        <v>12505</v>
      </c>
    </row>
    <row r="42" spans="1:13" hidden="1" x14ac:dyDescent="0.15">
      <c r="A42" s="23">
        <v>31048</v>
      </c>
      <c r="B42" s="23">
        <v>31413</v>
      </c>
      <c r="C42" t="s">
        <v>434</v>
      </c>
      <c r="D42" t="s">
        <v>435</v>
      </c>
      <c r="F42">
        <v>26917</v>
      </c>
      <c r="G42">
        <v>1765</v>
      </c>
      <c r="H42">
        <v>13022</v>
      </c>
      <c r="I42">
        <v>14686</v>
      </c>
      <c r="J42">
        <v>1113</v>
      </c>
      <c r="M42">
        <v>57503</v>
      </c>
    </row>
    <row r="43" spans="1:13" hidden="1" x14ac:dyDescent="0.15">
      <c r="A43" s="23">
        <v>31048</v>
      </c>
      <c r="B43" s="23">
        <v>31413</v>
      </c>
      <c r="C43" t="s">
        <v>434</v>
      </c>
      <c r="D43" t="s">
        <v>436</v>
      </c>
      <c r="E43">
        <v>7777</v>
      </c>
      <c r="F43">
        <v>53966</v>
      </c>
      <c r="G43">
        <v>16991</v>
      </c>
      <c r="H43">
        <v>6428</v>
      </c>
      <c r="I43">
        <v>39451</v>
      </c>
      <c r="J43">
        <v>16273</v>
      </c>
      <c r="M43">
        <v>140886</v>
      </c>
    </row>
    <row r="44" spans="1:13" x14ac:dyDescent="0.15">
      <c r="A44" s="23">
        <v>31413</v>
      </c>
      <c r="B44" s="23">
        <v>31778</v>
      </c>
      <c r="C44" t="s">
        <v>419</v>
      </c>
      <c r="D44" t="s">
        <v>420</v>
      </c>
      <c r="E44">
        <v>6144</v>
      </c>
      <c r="F44">
        <v>47852</v>
      </c>
      <c r="G44">
        <v>21145</v>
      </c>
      <c r="H44">
        <v>5286</v>
      </c>
      <c r="I44">
        <v>23270</v>
      </c>
      <c r="J44">
        <v>6111</v>
      </c>
      <c r="M44">
        <v>109808</v>
      </c>
    </row>
    <row r="45" spans="1:13" x14ac:dyDescent="0.15">
      <c r="A45" s="23">
        <v>31413</v>
      </c>
      <c r="B45" s="23">
        <v>31778</v>
      </c>
      <c r="C45" t="s">
        <v>419</v>
      </c>
      <c r="D45" t="s">
        <v>421</v>
      </c>
      <c r="E45">
        <v>2738</v>
      </c>
      <c r="F45">
        <v>23764</v>
      </c>
      <c r="H45">
        <v>5782</v>
      </c>
      <c r="I45">
        <v>16224</v>
      </c>
      <c r="J45">
        <v>11684</v>
      </c>
      <c r="M45">
        <v>60192</v>
      </c>
    </row>
    <row r="46" spans="1:13" x14ac:dyDescent="0.15">
      <c r="A46" s="23">
        <v>31413</v>
      </c>
      <c r="B46" s="23">
        <v>31778</v>
      </c>
      <c r="C46" t="s">
        <v>419</v>
      </c>
      <c r="D46" t="s">
        <v>422</v>
      </c>
      <c r="F46">
        <v>20</v>
      </c>
      <c r="H46">
        <v>397</v>
      </c>
      <c r="I46">
        <v>3332</v>
      </c>
      <c r="M46">
        <v>3749</v>
      </c>
    </row>
    <row r="47" spans="1:13" x14ac:dyDescent="0.15">
      <c r="A47" s="23">
        <v>31413</v>
      </c>
      <c r="B47" s="23">
        <v>31778</v>
      </c>
      <c r="C47" t="s">
        <v>419</v>
      </c>
      <c r="D47" t="s">
        <v>423</v>
      </c>
      <c r="F47">
        <v>8</v>
      </c>
      <c r="G47">
        <v>817</v>
      </c>
      <c r="H47">
        <v>5603</v>
      </c>
      <c r="I47">
        <v>2923</v>
      </c>
      <c r="M47">
        <v>9351</v>
      </c>
    </row>
    <row r="48" spans="1:13" x14ac:dyDescent="0.15">
      <c r="A48" s="23">
        <v>31413</v>
      </c>
      <c r="B48" s="23">
        <v>31778</v>
      </c>
      <c r="C48" t="s">
        <v>419</v>
      </c>
      <c r="D48" t="s">
        <v>424</v>
      </c>
      <c r="F48">
        <v>2403</v>
      </c>
      <c r="H48">
        <v>219</v>
      </c>
      <c r="I48">
        <v>9429</v>
      </c>
      <c r="M48">
        <v>12051</v>
      </c>
    </row>
    <row r="49" spans="1:13" hidden="1" x14ac:dyDescent="0.15">
      <c r="A49" s="23">
        <v>31413</v>
      </c>
      <c r="B49" s="23">
        <v>31778</v>
      </c>
      <c r="C49" t="s">
        <v>434</v>
      </c>
      <c r="D49" t="s">
        <v>435</v>
      </c>
      <c r="F49">
        <v>25745</v>
      </c>
      <c r="G49">
        <v>1747</v>
      </c>
      <c r="H49">
        <v>12477</v>
      </c>
      <c r="I49">
        <v>13187</v>
      </c>
      <c r="J49">
        <v>1078</v>
      </c>
      <c r="M49">
        <v>54234</v>
      </c>
    </row>
    <row r="50" spans="1:13" hidden="1" x14ac:dyDescent="0.15">
      <c r="A50" s="23">
        <v>31413</v>
      </c>
      <c r="B50" s="23">
        <v>31778</v>
      </c>
      <c r="C50" t="s">
        <v>434</v>
      </c>
      <c r="D50" t="s">
        <v>436</v>
      </c>
      <c r="E50">
        <v>8882</v>
      </c>
      <c r="F50">
        <v>48302</v>
      </c>
      <c r="G50">
        <v>20215</v>
      </c>
      <c r="H50">
        <v>4810</v>
      </c>
      <c r="I50">
        <v>41991</v>
      </c>
      <c r="J50">
        <v>16717</v>
      </c>
      <c r="M50">
        <v>140917</v>
      </c>
    </row>
    <row r="51" spans="1:13" x14ac:dyDescent="0.15">
      <c r="A51" s="23">
        <v>31778</v>
      </c>
      <c r="B51" s="23">
        <v>32143</v>
      </c>
      <c r="C51" t="s">
        <v>419</v>
      </c>
      <c r="D51" t="s">
        <v>420</v>
      </c>
      <c r="E51">
        <v>6421</v>
      </c>
      <c r="F51">
        <v>52557</v>
      </c>
      <c r="G51">
        <v>22702</v>
      </c>
      <c r="H51">
        <v>4728</v>
      </c>
      <c r="I51">
        <v>23477</v>
      </c>
      <c r="J51">
        <v>6252</v>
      </c>
      <c r="M51">
        <v>116137</v>
      </c>
    </row>
    <row r="52" spans="1:13" x14ac:dyDescent="0.15">
      <c r="A52" s="23">
        <v>31778</v>
      </c>
      <c r="B52" s="23">
        <v>32143</v>
      </c>
      <c r="C52" t="s">
        <v>419</v>
      </c>
      <c r="D52" t="s">
        <v>421</v>
      </c>
      <c r="E52">
        <v>2661</v>
      </c>
      <c r="F52">
        <v>27420</v>
      </c>
      <c r="H52">
        <v>4126</v>
      </c>
      <c r="I52">
        <v>17291</v>
      </c>
      <c r="J52">
        <v>13717</v>
      </c>
      <c r="M52">
        <v>65215</v>
      </c>
    </row>
    <row r="53" spans="1:13" x14ac:dyDescent="0.15">
      <c r="A53" s="23">
        <v>31778</v>
      </c>
      <c r="B53" s="23">
        <v>32143</v>
      </c>
      <c r="C53" t="s">
        <v>419</v>
      </c>
      <c r="D53" t="s">
        <v>422</v>
      </c>
      <c r="F53">
        <v>25</v>
      </c>
      <c r="G53">
        <v>720</v>
      </c>
      <c r="H53">
        <v>193</v>
      </c>
      <c r="I53">
        <v>3149</v>
      </c>
      <c r="M53">
        <v>4087</v>
      </c>
    </row>
    <row r="54" spans="1:13" x14ac:dyDescent="0.15">
      <c r="A54" s="23">
        <v>31778</v>
      </c>
      <c r="B54" s="23">
        <v>32143</v>
      </c>
      <c r="C54" t="s">
        <v>419</v>
      </c>
      <c r="D54" t="s">
        <v>423</v>
      </c>
      <c r="F54">
        <v>9</v>
      </c>
      <c r="G54">
        <v>330</v>
      </c>
      <c r="H54">
        <v>5514</v>
      </c>
      <c r="I54">
        <v>1869</v>
      </c>
      <c r="M54">
        <v>7722</v>
      </c>
    </row>
    <row r="55" spans="1:13" x14ac:dyDescent="0.15">
      <c r="A55" s="23">
        <v>31778</v>
      </c>
      <c r="B55" s="23">
        <v>32143</v>
      </c>
      <c r="C55" t="s">
        <v>419</v>
      </c>
      <c r="D55" t="s">
        <v>424</v>
      </c>
      <c r="F55">
        <v>1803</v>
      </c>
      <c r="H55">
        <v>122</v>
      </c>
      <c r="I55">
        <v>9588</v>
      </c>
      <c r="M55">
        <v>11513</v>
      </c>
    </row>
    <row r="56" spans="1:13" hidden="1" x14ac:dyDescent="0.15">
      <c r="A56" s="23">
        <v>31778</v>
      </c>
      <c r="B56" s="23">
        <v>32143</v>
      </c>
      <c r="C56" t="s">
        <v>434</v>
      </c>
      <c r="D56" t="s">
        <v>435</v>
      </c>
      <c r="F56">
        <v>26834</v>
      </c>
      <c r="G56">
        <v>2034</v>
      </c>
      <c r="H56">
        <v>11111</v>
      </c>
      <c r="I56">
        <v>11111</v>
      </c>
      <c r="J56">
        <v>1841</v>
      </c>
      <c r="M56">
        <v>52931</v>
      </c>
    </row>
    <row r="57" spans="1:13" hidden="1" x14ac:dyDescent="0.15">
      <c r="A57" s="23">
        <v>31778</v>
      </c>
      <c r="B57" s="23">
        <v>32143</v>
      </c>
      <c r="C57" t="s">
        <v>434</v>
      </c>
      <c r="D57" t="s">
        <v>436</v>
      </c>
      <c r="E57">
        <v>9082</v>
      </c>
      <c r="F57">
        <v>54980</v>
      </c>
      <c r="G57">
        <v>21718</v>
      </c>
      <c r="H57">
        <v>3572</v>
      </c>
      <c r="I57">
        <v>44263</v>
      </c>
      <c r="J57">
        <v>18128</v>
      </c>
      <c r="M57">
        <v>151743</v>
      </c>
    </row>
    <row r="58" spans="1:13" x14ac:dyDescent="0.15">
      <c r="A58" s="23">
        <v>32143</v>
      </c>
      <c r="B58" s="23">
        <v>32509</v>
      </c>
      <c r="C58" t="s">
        <v>419</v>
      </c>
      <c r="D58" t="s">
        <v>420</v>
      </c>
      <c r="E58">
        <v>6645</v>
      </c>
      <c r="F58">
        <v>57110</v>
      </c>
      <c r="G58">
        <v>23312</v>
      </c>
      <c r="H58">
        <v>5066</v>
      </c>
      <c r="I58">
        <v>24473</v>
      </c>
      <c r="J58">
        <v>6319</v>
      </c>
      <c r="M58">
        <v>122925</v>
      </c>
    </row>
    <row r="59" spans="1:13" x14ac:dyDescent="0.15">
      <c r="A59" s="23">
        <v>32143</v>
      </c>
      <c r="B59" s="23">
        <v>32509</v>
      </c>
      <c r="C59" t="s">
        <v>419</v>
      </c>
      <c r="D59" t="s">
        <v>421</v>
      </c>
      <c r="E59">
        <v>2696</v>
      </c>
      <c r="F59">
        <v>31947</v>
      </c>
      <c r="H59">
        <v>5132</v>
      </c>
      <c r="I59">
        <v>17550</v>
      </c>
      <c r="J59">
        <v>15757</v>
      </c>
      <c r="M59">
        <v>73082</v>
      </c>
    </row>
    <row r="60" spans="1:13" x14ac:dyDescent="0.15">
      <c r="A60" s="23">
        <v>32143</v>
      </c>
      <c r="B60" s="23">
        <v>32509</v>
      </c>
      <c r="C60" t="s">
        <v>419</v>
      </c>
      <c r="D60" t="s">
        <v>422</v>
      </c>
      <c r="G60">
        <v>834</v>
      </c>
      <c r="H60">
        <v>146</v>
      </c>
      <c r="I60">
        <v>2957</v>
      </c>
      <c r="M60">
        <v>3937</v>
      </c>
    </row>
    <row r="61" spans="1:13" x14ac:dyDescent="0.15">
      <c r="A61" s="23">
        <v>32143</v>
      </c>
      <c r="B61" s="23">
        <v>32509</v>
      </c>
      <c r="C61" t="s">
        <v>419</v>
      </c>
      <c r="D61" t="s">
        <v>423</v>
      </c>
      <c r="F61">
        <v>78</v>
      </c>
      <c r="G61">
        <v>788</v>
      </c>
      <c r="H61">
        <v>5681</v>
      </c>
      <c r="I61">
        <v>1739</v>
      </c>
      <c r="M61">
        <v>8286</v>
      </c>
    </row>
    <row r="62" spans="1:13" x14ac:dyDescent="0.15">
      <c r="A62" s="23">
        <v>32143</v>
      </c>
      <c r="B62" s="23">
        <v>32509</v>
      </c>
      <c r="C62" t="s">
        <v>419</v>
      </c>
      <c r="D62" t="s">
        <v>424</v>
      </c>
      <c r="F62">
        <v>2101</v>
      </c>
      <c r="H62">
        <v>124</v>
      </c>
      <c r="I62">
        <v>9674</v>
      </c>
      <c r="M62">
        <v>11899</v>
      </c>
    </row>
    <row r="63" spans="1:13" hidden="1" x14ac:dyDescent="0.15">
      <c r="A63" s="23">
        <v>32143</v>
      </c>
      <c r="B63" s="23">
        <v>32509</v>
      </c>
      <c r="C63" t="s">
        <v>434</v>
      </c>
      <c r="D63" t="s">
        <v>435</v>
      </c>
      <c r="F63">
        <v>27217</v>
      </c>
      <c r="G63">
        <v>2684</v>
      </c>
      <c r="H63">
        <v>12144</v>
      </c>
      <c r="I63">
        <v>10932</v>
      </c>
      <c r="J63">
        <v>2543</v>
      </c>
      <c r="M63">
        <v>55520</v>
      </c>
    </row>
    <row r="64" spans="1:13" hidden="1" x14ac:dyDescent="0.15">
      <c r="A64" s="23">
        <v>32143</v>
      </c>
      <c r="B64" s="23">
        <v>32509</v>
      </c>
      <c r="C64" t="s">
        <v>434</v>
      </c>
      <c r="D64" t="s">
        <v>436</v>
      </c>
      <c r="E64">
        <v>9341</v>
      </c>
      <c r="F64">
        <v>64019</v>
      </c>
      <c r="G64">
        <v>22250</v>
      </c>
      <c r="H64">
        <v>4005</v>
      </c>
      <c r="I64">
        <v>45461</v>
      </c>
      <c r="J64">
        <v>19533</v>
      </c>
      <c r="M64">
        <v>164609</v>
      </c>
    </row>
    <row r="65" spans="1:13" x14ac:dyDescent="0.15">
      <c r="A65" s="23">
        <v>32509</v>
      </c>
      <c r="B65" s="23">
        <v>32874</v>
      </c>
      <c r="C65" t="s">
        <v>419</v>
      </c>
      <c r="D65" t="s">
        <v>420</v>
      </c>
      <c r="E65">
        <v>6870</v>
      </c>
      <c r="F65">
        <v>57486</v>
      </c>
      <c r="G65">
        <v>25463</v>
      </c>
      <c r="H65">
        <v>5377</v>
      </c>
      <c r="I65">
        <v>24282</v>
      </c>
      <c r="J65">
        <v>6417</v>
      </c>
      <c r="M65">
        <v>125895</v>
      </c>
    </row>
    <row r="66" spans="1:13" x14ac:dyDescent="0.15">
      <c r="A66" s="23">
        <v>32509</v>
      </c>
      <c r="B66" s="23">
        <v>32874</v>
      </c>
      <c r="C66" t="s">
        <v>419</v>
      </c>
      <c r="D66" t="s">
        <v>421</v>
      </c>
      <c r="E66">
        <v>2687</v>
      </c>
      <c r="F66">
        <v>35043</v>
      </c>
      <c r="G66">
        <v>42</v>
      </c>
      <c r="H66">
        <v>6096</v>
      </c>
      <c r="I66">
        <v>19389</v>
      </c>
      <c r="J66">
        <v>16546</v>
      </c>
      <c r="M66">
        <v>79803</v>
      </c>
    </row>
    <row r="67" spans="1:13" x14ac:dyDescent="0.15">
      <c r="A67" s="23">
        <v>32509</v>
      </c>
      <c r="B67" s="23">
        <v>32874</v>
      </c>
      <c r="C67" t="s">
        <v>419</v>
      </c>
      <c r="D67" t="s">
        <v>422</v>
      </c>
      <c r="G67">
        <v>855</v>
      </c>
      <c r="H67">
        <v>172</v>
      </c>
      <c r="I67">
        <v>1663</v>
      </c>
      <c r="M67">
        <v>2690</v>
      </c>
    </row>
    <row r="68" spans="1:13" x14ac:dyDescent="0.15">
      <c r="A68" s="23">
        <v>32509</v>
      </c>
      <c r="B68" s="23">
        <v>32874</v>
      </c>
      <c r="C68" t="s">
        <v>419</v>
      </c>
      <c r="D68" t="s">
        <v>423</v>
      </c>
      <c r="F68">
        <v>190</v>
      </c>
      <c r="G68">
        <v>576</v>
      </c>
      <c r="H68">
        <v>5959</v>
      </c>
      <c r="I68">
        <v>1724</v>
      </c>
      <c r="M68">
        <v>8449</v>
      </c>
    </row>
    <row r="69" spans="1:13" x14ac:dyDescent="0.15">
      <c r="A69" s="23">
        <v>32509</v>
      </c>
      <c r="B69" s="23">
        <v>32874</v>
      </c>
      <c r="C69" t="s">
        <v>419</v>
      </c>
      <c r="D69" t="s">
        <v>424</v>
      </c>
      <c r="F69">
        <v>1564</v>
      </c>
      <c r="H69">
        <v>128</v>
      </c>
      <c r="I69">
        <v>10304</v>
      </c>
      <c r="M69">
        <v>11996</v>
      </c>
    </row>
    <row r="70" spans="1:13" hidden="1" x14ac:dyDescent="0.15">
      <c r="A70" s="23">
        <v>32509</v>
      </c>
      <c r="B70" s="23">
        <v>32874</v>
      </c>
      <c r="C70" t="s">
        <v>434</v>
      </c>
      <c r="D70" t="s">
        <v>435</v>
      </c>
      <c r="F70">
        <v>28174</v>
      </c>
      <c r="G70">
        <v>2914</v>
      </c>
      <c r="H70">
        <v>13255</v>
      </c>
      <c r="I70">
        <v>11225</v>
      </c>
      <c r="J70">
        <v>1207</v>
      </c>
      <c r="M70">
        <v>56775</v>
      </c>
    </row>
    <row r="71" spans="1:13" hidden="1" x14ac:dyDescent="0.15">
      <c r="A71" s="23">
        <v>32509</v>
      </c>
      <c r="B71" s="23">
        <v>32874</v>
      </c>
      <c r="C71" t="s">
        <v>434</v>
      </c>
      <c r="D71" t="s">
        <v>436</v>
      </c>
      <c r="E71">
        <v>9557</v>
      </c>
      <c r="F71">
        <v>66109</v>
      </c>
      <c r="G71">
        <v>24022</v>
      </c>
      <c r="H71">
        <v>4477</v>
      </c>
      <c r="I71">
        <v>46137</v>
      </c>
      <c r="J71">
        <v>21756</v>
      </c>
      <c r="M71">
        <v>172058</v>
      </c>
    </row>
    <row r="72" spans="1:13" x14ac:dyDescent="0.15">
      <c r="A72" s="23">
        <v>32874</v>
      </c>
      <c r="B72" s="23">
        <v>33239</v>
      </c>
      <c r="C72" t="s">
        <v>419</v>
      </c>
      <c r="D72" t="s">
        <v>420</v>
      </c>
      <c r="E72">
        <v>6787</v>
      </c>
      <c r="F72">
        <v>56803</v>
      </c>
      <c r="G72">
        <v>27809</v>
      </c>
      <c r="H72">
        <v>5078</v>
      </c>
      <c r="I72">
        <v>24187</v>
      </c>
      <c r="J72">
        <v>6098</v>
      </c>
      <c r="M72">
        <v>126762</v>
      </c>
    </row>
    <row r="73" spans="1:13" x14ac:dyDescent="0.15">
      <c r="A73" s="23">
        <v>32874</v>
      </c>
      <c r="B73" s="23">
        <v>33239</v>
      </c>
      <c r="C73" t="s">
        <v>419</v>
      </c>
      <c r="D73" t="s">
        <v>421</v>
      </c>
      <c r="E73">
        <v>2589</v>
      </c>
      <c r="F73">
        <v>34293</v>
      </c>
      <c r="H73">
        <v>6310</v>
      </c>
      <c r="I73">
        <v>17907</v>
      </c>
      <c r="J73">
        <v>16824</v>
      </c>
      <c r="M73">
        <v>77923</v>
      </c>
    </row>
    <row r="74" spans="1:13" x14ac:dyDescent="0.15">
      <c r="A74" s="23">
        <v>32874</v>
      </c>
      <c r="B74" s="23">
        <v>33239</v>
      </c>
      <c r="C74" t="s">
        <v>419</v>
      </c>
      <c r="D74" t="s">
        <v>422</v>
      </c>
      <c r="G74">
        <v>46</v>
      </c>
      <c r="H74">
        <v>69</v>
      </c>
      <c r="I74">
        <v>2227</v>
      </c>
      <c r="J74">
        <v>155</v>
      </c>
      <c r="M74">
        <v>2497</v>
      </c>
    </row>
    <row r="75" spans="1:13" x14ac:dyDescent="0.15">
      <c r="A75" s="23">
        <v>32874</v>
      </c>
      <c r="B75" s="23">
        <v>33239</v>
      </c>
      <c r="C75" t="s">
        <v>419</v>
      </c>
      <c r="D75" t="s">
        <v>423</v>
      </c>
      <c r="F75">
        <v>66</v>
      </c>
      <c r="G75">
        <v>886</v>
      </c>
      <c r="H75">
        <v>6407</v>
      </c>
      <c r="I75">
        <v>2120</v>
      </c>
      <c r="M75">
        <v>9479</v>
      </c>
    </row>
    <row r="76" spans="1:13" x14ac:dyDescent="0.15">
      <c r="A76" s="23">
        <v>32874</v>
      </c>
      <c r="B76" s="23">
        <v>33239</v>
      </c>
      <c r="C76" t="s">
        <v>419</v>
      </c>
      <c r="D76" t="s">
        <v>424</v>
      </c>
      <c r="F76">
        <v>1350</v>
      </c>
      <c r="H76">
        <v>5</v>
      </c>
      <c r="I76">
        <v>10164</v>
      </c>
      <c r="M76">
        <v>11519</v>
      </c>
    </row>
    <row r="77" spans="1:13" hidden="1" x14ac:dyDescent="0.15">
      <c r="A77" s="23">
        <v>32874</v>
      </c>
      <c r="B77" s="23">
        <v>33239</v>
      </c>
      <c r="C77" t="s">
        <v>434</v>
      </c>
      <c r="D77" t="s">
        <v>435</v>
      </c>
      <c r="F77">
        <v>27701</v>
      </c>
      <c r="G77">
        <v>2478</v>
      </c>
      <c r="H77">
        <v>13957</v>
      </c>
      <c r="I77">
        <v>9701</v>
      </c>
      <c r="J77">
        <v>1026</v>
      </c>
      <c r="M77">
        <v>54863</v>
      </c>
    </row>
    <row r="78" spans="1:13" hidden="1" x14ac:dyDescent="0.15">
      <c r="A78" s="23">
        <v>32874</v>
      </c>
      <c r="B78" s="23">
        <v>33239</v>
      </c>
      <c r="C78" t="s">
        <v>434</v>
      </c>
      <c r="D78" t="s">
        <v>436</v>
      </c>
      <c r="E78">
        <v>9376</v>
      </c>
      <c r="F78">
        <v>64811</v>
      </c>
      <c r="G78">
        <v>26263</v>
      </c>
      <c r="H78">
        <v>3912</v>
      </c>
      <c r="I78">
        <v>46904</v>
      </c>
      <c r="J78">
        <v>22051</v>
      </c>
      <c r="M78">
        <v>173317</v>
      </c>
    </row>
    <row r="79" spans="1:13" x14ac:dyDescent="0.15">
      <c r="A79" s="23">
        <v>33239</v>
      </c>
      <c r="B79" s="23">
        <v>33604</v>
      </c>
      <c r="C79" t="s">
        <v>419</v>
      </c>
      <c r="D79" t="s">
        <v>420</v>
      </c>
      <c r="E79">
        <v>6834</v>
      </c>
      <c r="F79">
        <v>61324</v>
      </c>
      <c r="G79">
        <v>31054</v>
      </c>
      <c r="H79">
        <v>5010</v>
      </c>
      <c r="I79">
        <v>23711</v>
      </c>
      <c r="J79">
        <v>6185</v>
      </c>
      <c r="M79">
        <v>134118</v>
      </c>
    </row>
    <row r="80" spans="1:13" x14ac:dyDescent="0.15">
      <c r="A80" s="23">
        <v>33239</v>
      </c>
      <c r="B80" s="23">
        <v>33604</v>
      </c>
      <c r="C80" t="s">
        <v>419</v>
      </c>
      <c r="D80" t="s">
        <v>421</v>
      </c>
      <c r="E80">
        <v>2632</v>
      </c>
      <c r="F80">
        <v>34019</v>
      </c>
      <c r="H80">
        <v>7112</v>
      </c>
      <c r="I80">
        <v>16030</v>
      </c>
      <c r="J80">
        <v>16980</v>
      </c>
      <c r="M80">
        <v>76773</v>
      </c>
    </row>
    <row r="81" spans="1:13" x14ac:dyDescent="0.15">
      <c r="A81" s="23">
        <v>33239</v>
      </c>
      <c r="B81" s="23">
        <v>33604</v>
      </c>
      <c r="C81" t="s">
        <v>419</v>
      </c>
      <c r="D81" t="s">
        <v>422</v>
      </c>
      <c r="G81">
        <v>597</v>
      </c>
      <c r="H81">
        <v>71</v>
      </c>
      <c r="I81">
        <v>2185</v>
      </c>
      <c r="J81">
        <v>200</v>
      </c>
      <c r="M81">
        <v>3053</v>
      </c>
    </row>
    <row r="82" spans="1:13" x14ac:dyDescent="0.15">
      <c r="A82" s="23">
        <v>33239</v>
      </c>
      <c r="B82" s="23">
        <v>33604</v>
      </c>
      <c r="C82" t="s">
        <v>419</v>
      </c>
      <c r="D82" t="s">
        <v>423</v>
      </c>
      <c r="F82">
        <v>68</v>
      </c>
      <c r="G82">
        <v>174</v>
      </c>
      <c r="H82">
        <v>7484</v>
      </c>
      <c r="I82">
        <v>2358</v>
      </c>
      <c r="M82">
        <v>10084</v>
      </c>
    </row>
    <row r="83" spans="1:13" x14ac:dyDescent="0.15">
      <c r="A83" s="23">
        <v>33239</v>
      </c>
      <c r="B83" s="23">
        <v>33604</v>
      </c>
      <c r="C83" t="s">
        <v>419</v>
      </c>
      <c r="D83" t="s">
        <v>424</v>
      </c>
      <c r="F83">
        <v>1352</v>
      </c>
      <c r="H83">
        <v>6</v>
      </c>
      <c r="I83">
        <v>10796</v>
      </c>
      <c r="M83">
        <v>12154</v>
      </c>
    </row>
    <row r="84" spans="1:13" hidden="1" x14ac:dyDescent="0.15">
      <c r="A84" s="23">
        <v>33239</v>
      </c>
      <c r="B84" s="23">
        <v>33604</v>
      </c>
      <c r="C84" t="s">
        <v>434</v>
      </c>
      <c r="D84" t="s">
        <v>435</v>
      </c>
      <c r="F84">
        <v>28124</v>
      </c>
      <c r="G84">
        <v>2785</v>
      </c>
      <c r="H84">
        <v>15577</v>
      </c>
      <c r="I84">
        <v>10413</v>
      </c>
      <c r="J84">
        <v>1184</v>
      </c>
      <c r="M84">
        <v>58083</v>
      </c>
    </row>
    <row r="85" spans="1:13" hidden="1" x14ac:dyDescent="0.15">
      <c r="A85" s="23">
        <v>33239</v>
      </c>
      <c r="B85" s="23">
        <v>33604</v>
      </c>
      <c r="C85" t="s">
        <v>434</v>
      </c>
      <c r="D85" t="s">
        <v>436</v>
      </c>
      <c r="E85">
        <v>9466</v>
      </c>
      <c r="F85">
        <v>68639</v>
      </c>
      <c r="G85">
        <v>29040</v>
      </c>
      <c r="H85">
        <v>4106</v>
      </c>
      <c r="I85">
        <v>44667</v>
      </c>
      <c r="J85">
        <v>22181</v>
      </c>
      <c r="M85">
        <v>178099</v>
      </c>
    </row>
    <row r="86" spans="1:13" x14ac:dyDescent="0.15">
      <c r="A86" s="23">
        <v>33604</v>
      </c>
      <c r="B86" s="23">
        <v>33970</v>
      </c>
      <c r="C86" t="s">
        <v>419</v>
      </c>
      <c r="D86" t="s">
        <v>420</v>
      </c>
      <c r="E86">
        <v>6864</v>
      </c>
      <c r="F86">
        <v>61737</v>
      </c>
      <c r="G86">
        <v>30578</v>
      </c>
      <c r="H86">
        <v>5136</v>
      </c>
      <c r="I86">
        <v>21867</v>
      </c>
      <c r="J86">
        <v>6407</v>
      </c>
      <c r="M86">
        <v>132589</v>
      </c>
    </row>
    <row r="87" spans="1:13" x14ac:dyDescent="0.15">
      <c r="A87" s="23">
        <v>33604</v>
      </c>
      <c r="B87" s="23">
        <v>33970</v>
      </c>
      <c r="C87" t="s">
        <v>419</v>
      </c>
      <c r="D87" t="s">
        <v>421</v>
      </c>
      <c r="E87">
        <v>2646</v>
      </c>
      <c r="F87">
        <v>33988</v>
      </c>
      <c r="H87">
        <v>7179</v>
      </c>
      <c r="I87">
        <v>13819</v>
      </c>
      <c r="J87">
        <v>16564</v>
      </c>
      <c r="M87">
        <v>74196</v>
      </c>
    </row>
    <row r="88" spans="1:13" x14ac:dyDescent="0.15">
      <c r="A88" s="23">
        <v>33604</v>
      </c>
      <c r="B88" s="23">
        <v>33970</v>
      </c>
      <c r="C88" t="s">
        <v>419</v>
      </c>
      <c r="D88" t="s">
        <v>422</v>
      </c>
      <c r="G88">
        <v>4</v>
      </c>
      <c r="H88">
        <v>619</v>
      </c>
      <c r="I88">
        <v>2192</v>
      </c>
      <c r="M88">
        <v>2815</v>
      </c>
    </row>
    <row r="89" spans="1:13" x14ac:dyDescent="0.15">
      <c r="A89" s="23">
        <v>33604</v>
      </c>
      <c r="B89" s="23">
        <v>33970</v>
      </c>
      <c r="C89" t="s">
        <v>419</v>
      </c>
      <c r="D89" t="s">
        <v>423</v>
      </c>
      <c r="F89">
        <v>91</v>
      </c>
      <c r="G89">
        <v>108</v>
      </c>
      <c r="H89">
        <v>9287</v>
      </c>
      <c r="I89">
        <v>1866</v>
      </c>
      <c r="M89">
        <v>11352</v>
      </c>
    </row>
    <row r="90" spans="1:13" x14ac:dyDescent="0.15">
      <c r="A90" s="23">
        <v>33604</v>
      </c>
      <c r="B90" s="23">
        <v>33970</v>
      </c>
      <c r="C90" t="s">
        <v>419</v>
      </c>
      <c r="D90" t="s">
        <v>424</v>
      </c>
      <c r="F90">
        <v>1389</v>
      </c>
      <c r="I90">
        <v>11295</v>
      </c>
      <c r="M90">
        <v>12684</v>
      </c>
    </row>
    <row r="91" spans="1:13" hidden="1" x14ac:dyDescent="0.15">
      <c r="A91" s="23">
        <v>33604</v>
      </c>
      <c r="B91" s="23">
        <v>33970</v>
      </c>
      <c r="C91" t="s">
        <v>434</v>
      </c>
      <c r="D91" t="s">
        <v>435</v>
      </c>
      <c r="F91">
        <v>27175</v>
      </c>
      <c r="G91">
        <v>3107</v>
      </c>
      <c r="H91">
        <v>17058</v>
      </c>
      <c r="I91">
        <v>10629</v>
      </c>
      <c r="J91">
        <v>1174</v>
      </c>
      <c r="M91">
        <v>59143</v>
      </c>
    </row>
    <row r="92" spans="1:13" hidden="1" x14ac:dyDescent="0.15">
      <c r="A92" s="23">
        <v>33604</v>
      </c>
      <c r="B92" s="23">
        <v>33970</v>
      </c>
      <c r="C92" t="s">
        <v>434</v>
      </c>
      <c r="D92" t="s">
        <v>436</v>
      </c>
      <c r="E92">
        <v>9510</v>
      </c>
      <c r="F92">
        <v>70030</v>
      </c>
      <c r="G92">
        <v>27583</v>
      </c>
      <c r="H92">
        <v>5163</v>
      </c>
      <c r="I92">
        <v>40410</v>
      </c>
      <c r="J92">
        <v>21797</v>
      </c>
      <c r="M92">
        <v>174493</v>
      </c>
    </row>
    <row r="93" spans="1:13" x14ac:dyDescent="0.15">
      <c r="A93" s="23">
        <v>33970</v>
      </c>
      <c r="B93" s="23">
        <v>34335</v>
      </c>
      <c r="C93" t="s">
        <v>419</v>
      </c>
      <c r="D93" t="s">
        <v>420</v>
      </c>
      <c r="E93">
        <v>6929</v>
      </c>
      <c r="F93">
        <v>64049</v>
      </c>
      <c r="G93">
        <v>30096</v>
      </c>
      <c r="H93">
        <v>4823</v>
      </c>
      <c r="I93">
        <v>21396</v>
      </c>
      <c r="J93">
        <v>6771</v>
      </c>
      <c r="M93">
        <v>134064</v>
      </c>
    </row>
    <row r="94" spans="1:13" x14ac:dyDescent="0.15">
      <c r="A94" s="23">
        <v>33970</v>
      </c>
      <c r="B94" s="23">
        <v>34335</v>
      </c>
      <c r="C94" t="s">
        <v>419</v>
      </c>
      <c r="D94" t="s">
        <v>421</v>
      </c>
      <c r="E94">
        <v>2777</v>
      </c>
      <c r="F94">
        <v>30948</v>
      </c>
      <c r="H94">
        <v>6948</v>
      </c>
      <c r="I94">
        <v>12398</v>
      </c>
      <c r="J94">
        <v>18023</v>
      </c>
      <c r="M94">
        <v>71094</v>
      </c>
    </row>
    <row r="95" spans="1:13" x14ac:dyDescent="0.15">
      <c r="A95" s="23">
        <v>33970</v>
      </c>
      <c r="B95" s="23">
        <v>34335</v>
      </c>
      <c r="C95" t="s">
        <v>419</v>
      </c>
      <c r="D95" t="s">
        <v>422</v>
      </c>
      <c r="H95">
        <v>990</v>
      </c>
      <c r="I95">
        <v>2124</v>
      </c>
      <c r="M95">
        <v>3114</v>
      </c>
    </row>
    <row r="96" spans="1:13" x14ac:dyDescent="0.15">
      <c r="A96" s="23">
        <v>33970</v>
      </c>
      <c r="B96" s="23">
        <v>34335</v>
      </c>
      <c r="C96" t="s">
        <v>419</v>
      </c>
      <c r="D96" t="s">
        <v>423</v>
      </c>
      <c r="F96">
        <v>86</v>
      </c>
      <c r="G96">
        <v>65</v>
      </c>
      <c r="H96">
        <v>11413</v>
      </c>
      <c r="I96">
        <v>2131</v>
      </c>
      <c r="J96">
        <v>496</v>
      </c>
      <c r="M96">
        <v>14191</v>
      </c>
    </row>
    <row r="97" spans="1:13" x14ac:dyDescent="0.15">
      <c r="A97" s="23">
        <v>33970</v>
      </c>
      <c r="B97" s="23">
        <v>34335</v>
      </c>
      <c r="C97" t="s">
        <v>419</v>
      </c>
      <c r="D97" t="s">
        <v>424</v>
      </c>
      <c r="F97">
        <v>987</v>
      </c>
      <c r="I97">
        <v>11618</v>
      </c>
      <c r="M97">
        <v>12605</v>
      </c>
    </row>
    <row r="98" spans="1:13" hidden="1" x14ac:dyDescent="0.15">
      <c r="A98" s="23">
        <v>33970</v>
      </c>
      <c r="B98" s="23">
        <v>34335</v>
      </c>
      <c r="C98" t="s">
        <v>434</v>
      </c>
      <c r="D98" t="s">
        <v>435</v>
      </c>
      <c r="F98">
        <v>29873</v>
      </c>
      <c r="G98">
        <v>3000</v>
      </c>
      <c r="H98">
        <v>18976</v>
      </c>
      <c r="I98">
        <v>6639</v>
      </c>
      <c r="J98">
        <v>1102</v>
      </c>
      <c r="M98">
        <v>59590</v>
      </c>
    </row>
    <row r="99" spans="1:13" hidden="1" x14ac:dyDescent="0.15">
      <c r="A99" s="23">
        <v>33970</v>
      </c>
      <c r="B99" s="23">
        <v>34335</v>
      </c>
      <c r="C99" t="s">
        <v>434</v>
      </c>
      <c r="D99" t="s">
        <v>436</v>
      </c>
      <c r="E99">
        <v>9706</v>
      </c>
      <c r="F99">
        <v>66197</v>
      </c>
      <c r="G99">
        <v>27161</v>
      </c>
      <c r="H99">
        <v>5198</v>
      </c>
      <c r="I99">
        <v>43028</v>
      </c>
      <c r="J99">
        <v>24188</v>
      </c>
      <c r="M99">
        <v>175478</v>
      </c>
    </row>
    <row r="100" spans="1:13" x14ac:dyDescent="0.15">
      <c r="A100" s="23">
        <v>34335</v>
      </c>
      <c r="B100" s="23">
        <v>34700</v>
      </c>
      <c r="C100" t="s">
        <v>419</v>
      </c>
      <c r="D100" t="s">
        <v>420</v>
      </c>
      <c r="E100">
        <v>6316</v>
      </c>
      <c r="F100">
        <v>61153</v>
      </c>
      <c r="G100">
        <v>30700</v>
      </c>
      <c r="H100">
        <v>5343</v>
      </c>
      <c r="I100">
        <v>21828</v>
      </c>
      <c r="J100">
        <v>6332</v>
      </c>
      <c r="M100">
        <v>131672</v>
      </c>
    </row>
    <row r="101" spans="1:13" x14ac:dyDescent="0.15">
      <c r="A101" s="23">
        <v>34335</v>
      </c>
      <c r="B101" s="23">
        <v>34700</v>
      </c>
      <c r="C101" t="s">
        <v>419</v>
      </c>
      <c r="D101" t="s">
        <v>421</v>
      </c>
      <c r="E101">
        <v>2749</v>
      </c>
      <c r="F101">
        <v>27184</v>
      </c>
      <c r="H101">
        <v>7085</v>
      </c>
      <c r="I101">
        <v>9346</v>
      </c>
      <c r="J101">
        <v>17238</v>
      </c>
      <c r="M101">
        <v>63602</v>
      </c>
    </row>
    <row r="102" spans="1:13" x14ac:dyDescent="0.15">
      <c r="A102" s="23">
        <v>34335</v>
      </c>
      <c r="B102" s="23">
        <v>34700</v>
      </c>
      <c r="C102" t="s">
        <v>419</v>
      </c>
      <c r="D102" t="s">
        <v>422</v>
      </c>
      <c r="H102">
        <v>615</v>
      </c>
      <c r="I102">
        <v>2705</v>
      </c>
      <c r="M102">
        <v>3320</v>
      </c>
    </row>
    <row r="103" spans="1:13" x14ac:dyDescent="0.15">
      <c r="A103" s="23">
        <v>34335</v>
      </c>
      <c r="B103" s="23">
        <v>34700</v>
      </c>
      <c r="C103" t="s">
        <v>419</v>
      </c>
      <c r="D103" t="s">
        <v>423</v>
      </c>
      <c r="F103">
        <v>81</v>
      </c>
      <c r="G103">
        <v>184</v>
      </c>
      <c r="H103">
        <v>12162</v>
      </c>
      <c r="I103">
        <v>1733</v>
      </c>
      <c r="J103">
        <v>455</v>
      </c>
      <c r="M103">
        <v>14615</v>
      </c>
    </row>
    <row r="104" spans="1:13" x14ac:dyDescent="0.15">
      <c r="A104" s="23">
        <v>34335</v>
      </c>
      <c r="B104" s="23">
        <v>34700</v>
      </c>
      <c r="C104" t="s">
        <v>419</v>
      </c>
      <c r="D104" t="s">
        <v>424</v>
      </c>
      <c r="F104">
        <v>458</v>
      </c>
      <c r="H104">
        <v>2</v>
      </c>
      <c r="I104">
        <v>12345</v>
      </c>
      <c r="M104">
        <v>12805</v>
      </c>
    </row>
    <row r="105" spans="1:13" hidden="1" x14ac:dyDescent="0.15">
      <c r="A105" s="23">
        <v>34335</v>
      </c>
      <c r="B105" s="23">
        <v>34700</v>
      </c>
      <c r="C105" t="s">
        <v>434</v>
      </c>
      <c r="D105" t="s">
        <v>435</v>
      </c>
      <c r="F105">
        <v>29524</v>
      </c>
      <c r="G105">
        <v>2912</v>
      </c>
      <c r="H105">
        <v>21228</v>
      </c>
      <c r="I105">
        <v>7133</v>
      </c>
      <c r="J105">
        <v>1022</v>
      </c>
      <c r="M105">
        <v>61819</v>
      </c>
    </row>
    <row r="106" spans="1:13" hidden="1" x14ac:dyDescent="0.15">
      <c r="A106" s="23">
        <v>34335</v>
      </c>
      <c r="B106" s="23">
        <v>34700</v>
      </c>
      <c r="C106" t="s">
        <v>434</v>
      </c>
      <c r="D106" t="s">
        <v>436</v>
      </c>
      <c r="E106">
        <v>9065</v>
      </c>
      <c r="F106">
        <v>59352</v>
      </c>
      <c r="G106">
        <v>27972</v>
      </c>
      <c r="H106">
        <v>3979</v>
      </c>
      <c r="I106">
        <v>40824</v>
      </c>
      <c r="J106">
        <v>23003</v>
      </c>
      <c r="M106">
        <v>164195</v>
      </c>
    </row>
    <row r="107" spans="1:13" x14ac:dyDescent="0.15">
      <c r="A107" s="23">
        <v>34700</v>
      </c>
      <c r="B107" s="23">
        <v>35065</v>
      </c>
      <c r="C107" t="s">
        <v>419</v>
      </c>
      <c r="D107" t="s">
        <v>420</v>
      </c>
      <c r="E107">
        <v>6221</v>
      </c>
      <c r="F107">
        <v>61032</v>
      </c>
      <c r="G107">
        <v>31726</v>
      </c>
      <c r="H107">
        <v>5280</v>
      </c>
      <c r="I107">
        <v>21950</v>
      </c>
      <c r="J107">
        <v>6209</v>
      </c>
      <c r="L107">
        <v>2628</v>
      </c>
      <c r="M107">
        <v>135046</v>
      </c>
    </row>
    <row r="108" spans="1:13" x14ac:dyDescent="0.15">
      <c r="A108" s="23">
        <v>34700</v>
      </c>
      <c r="B108" s="23">
        <v>35065</v>
      </c>
      <c r="C108" t="s">
        <v>419</v>
      </c>
      <c r="D108" t="s">
        <v>421</v>
      </c>
      <c r="E108">
        <v>3745</v>
      </c>
      <c r="F108">
        <v>27362</v>
      </c>
      <c r="H108">
        <v>7740</v>
      </c>
      <c r="I108">
        <v>10144</v>
      </c>
      <c r="J108">
        <v>17203</v>
      </c>
      <c r="L108">
        <v>23650</v>
      </c>
      <c r="M108">
        <v>89844</v>
      </c>
    </row>
    <row r="109" spans="1:13" x14ac:dyDescent="0.15">
      <c r="A109" s="23">
        <v>34700</v>
      </c>
      <c r="B109" s="23">
        <v>35065</v>
      </c>
      <c r="C109" t="s">
        <v>419</v>
      </c>
      <c r="D109" t="s">
        <v>422</v>
      </c>
      <c r="H109">
        <v>1185</v>
      </c>
      <c r="I109">
        <v>2697</v>
      </c>
      <c r="M109">
        <v>3882</v>
      </c>
    </row>
    <row r="110" spans="1:13" x14ac:dyDescent="0.15">
      <c r="A110" s="23">
        <v>34700</v>
      </c>
      <c r="B110" s="23">
        <v>35065</v>
      </c>
      <c r="C110" t="s">
        <v>419</v>
      </c>
      <c r="D110" t="s">
        <v>423</v>
      </c>
      <c r="F110">
        <v>80</v>
      </c>
      <c r="G110">
        <v>309</v>
      </c>
      <c r="H110">
        <v>12095</v>
      </c>
      <c r="I110">
        <v>2288</v>
      </c>
      <c r="J110">
        <v>439</v>
      </c>
      <c r="M110">
        <v>15211</v>
      </c>
    </row>
    <row r="111" spans="1:13" x14ac:dyDescent="0.15">
      <c r="A111" s="23">
        <v>34700</v>
      </c>
      <c r="B111" s="23">
        <v>35065</v>
      </c>
      <c r="C111" t="s">
        <v>419</v>
      </c>
      <c r="D111" t="s">
        <v>424</v>
      </c>
      <c r="F111">
        <v>649</v>
      </c>
      <c r="G111">
        <v>61</v>
      </c>
      <c r="H111">
        <v>2</v>
      </c>
      <c r="I111">
        <v>12162</v>
      </c>
      <c r="M111">
        <v>12874</v>
      </c>
    </row>
    <row r="112" spans="1:13" hidden="1" x14ac:dyDescent="0.15">
      <c r="A112" s="23">
        <v>34700</v>
      </c>
      <c r="B112" s="23">
        <v>35065</v>
      </c>
      <c r="C112" t="s">
        <v>434</v>
      </c>
      <c r="D112" t="s">
        <v>435</v>
      </c>
      <c r="F112">
        <v>28269</v>
      </c>
      <c r="G112">
        <v>2785</v>
      </c>
      <c r="H112">
        <v>22079</v>
      </c>
      <c r="I112">
        <v>4737</v>
      </c>
      <c r="J112">
        <v>900</v>
      </c>
      <c r="M112">
        <v>58770</v>
      </c>
    </row>
    <row r="113" spans="1:13" hidden="1" x14ac:dyDescent="0.15">
      <c r="A113" s="23">
        <v>34700</v>
      </c>
      <c r="B113" s="23">
        <v>35065</v>
      </c>
      <c r="C113" t="s">
        <v>434</v>
      </c>
      <c r="D113" t="s">
        <v>436</v>
      </c>
      <c r="E113">
        <v>9966</v>
      </c>
      <c r="F113">
        <v>60854</v>
      </c>
      <c r="G113">
        <v>29311</v>
      </c>
      <c r="H113">
        <v>4223</v>
      </c>
      <c r="I113">
        <v>44504</v>
      </c>
      <c r="J113">
        <v>22951</v>
      </c>
      <c r="M113">
        <v>171809</v>
      </c>
    </row>
    <row r="114" spans="1:13" x14ac:dyDescent="0.15">
      <c r="A114" s="23">
        <v>35065</v>
      </c>
      <c r="B114" s="23">
        <v>35431</v>
      </c>
      <c r="C114" t="s">
        <v>419</v>
      </c>
      <c r="D114" t="s">
        <v>420</v>
      </c>
      <c r="E114">
        <v>6288</v>
      </c>
      <c r="F114">
        <v>64268</v>
      </c>
      <c r="G114">
        <v>32026</v>
      </c>
      <c r="H114">
        <v>4893</v>
      </c>
      <c r="I114">
        <v>22824</v>
      </c>
      <c r="J114">
        <v>6794</v>
      </c>
      <c r="L114">
        <v>2845</v>
      </c>
      <c r="M114">
        <v>139938</v>
      </c>
    </row>
    <row r="115" spans="1:13" x14ac:dyDescent="0.15">
      <c r="A115" s="23">
        <v>35065</v>
      </c>
      <c r="B115" s="23">
        <v>35431</v>
      </c>
      <c r="C115" t="s">
        <v>419</v>
      </c>
      <c r="D115" t="s">
        <v>421</v>
      </c>
      <c r="E115">
        <v>9214</v>
      </c>
      <c r="F115">
        <v>28473</v>
      </c>
      <c r="H115">
        <v>7865</v>
      </c>
      <c r="I115">
        <v>11430</v>
      </c>
      <c r="J115">
        <v>17966</v>
      </c>
      <c r="L115">
        <v>25605</v>
      </c>
      <c r="M115">
        <v>100553</v>
      </c>
    </row>
    <row r="116" spans="1:13" x14ac:dyDescent="0.15">
      <c r="A116" s="23">
        <v>35065</v>
      </c>
      <c r="B116" s="23">
        <v>35431</v>
      </c>
      <c r="C116" t="s">
        <v>419</v>
      </c>
      <c r="D116" t="s">
        <v>422</v>
      </c>
      <c r="H116">
        <v>71</v>
      </c>
      <c r="I116">
        <v>1730</v>
      </c>
      <c r="M116">
        <v>1801</v>
      </c>
    </row>
    <row r="117" spans="1:13" x14ac:dyDescent="0.15">
      <c r="A117" s="23">
        <v>35065</v>
      </c>
      <c r="B117" s="23">
        <v>35431</v>
      </c>
      <c r="C117" t="s">
        <v>419</v>
      </c>
      <c r="D117" t="s">
        <v>423</v>
      </c>
      <c r="F117">
        <v>76</v>
      </c>
      <c r="G117">
        <v>860</v>
      </c>
      <c r="H117">
        <v>11760</v>
      </c>
      <c r="I117">
        <v>3145</v>
      </c>
      <c r="J117">
        <v>446</v>
      </c>
      <c r="M117">
        <v>16287</v>
      </c>
    </row>
    <row r="118" spans="1:13" x14ac:dyDescent="0.15">
      <c r="A118" s="23">
        <v>35065</v>
      </c>
      <c r="B118" s="23">
        <v>35431</v>
      </c>
      <c r="C118" t="s">
        <v>419</v>
      </c>
      <c r="D118" t="s">
        <v>424</v>
      </c>
      <c r="F118">
        <v>887</v>
      </c>
      <c r="G118">
        <v>113</v>
      </c>
      <c r="H118">
        <v>1</v>
      </c>
      <c r="I118">
        <v>13452</v>
      </c>
      <c r="M118">
        <v>14453</v>
      </c>
    </row>
    <row r="119" spans="1:13" hidden="1" x14ac:dyDescent="0.15">
      <c r="A119" s="23">
        <v>35065</v>
      </c>
      <c r="B119" s="23">
        <v>35431</v>
      </c>
      <c r="C119" t="s">
        <v>434</v>
      </c>
      <c r="D119" t="s">
        <v>435</v>
      </c>
      <c r="F119">
        <v>29669</v>
      </c>
      <c r="G119">
        <v>3337</v>
      </c>
      <c r="H119">
        <v>22572</v>
      </c>
      <c r="I119">
        <v>9138</v>
      </c>
      <c r="J119">
        <v>868</v>
      </c>
      <c r="M119">
        <v>65584</v>
      </c>
    </row>
    <row r="120" spans="1:13" hidden="1" x14ac:dyDescent="0.15">
      <c r="A120" s="23">
        <v>35065</v>
      </c>
      <c r="B120" s="23">
        <v>35431</v>
      </c>
      <c r="C120" t="s">
        <v>434</v>
      </c>
      <c r="D120" t="s">
        <v>436</v>
      </c>
      <c r="E120">
        <v>15502</v>
      </c>
      <c r="F120">
        <v>64035</v>
      </c>
      <c r="G120">
        <v>29662</v>
      </c>
      <c r="H120">
        <v>2018</v>
      </c>
      <c r="I120">
        <v>43443</v>
      </c>
      <c r="J120">
        <v>24338</v>
      </c>
      <c r="M120">
        <v>178998</v>
      </c>
    </row>
    <row r="121" spans="1:13" x14ac:dyDescent="0.15">
      <c r="A121" s="23">
        <v>35431</v>
      </c>
      <c r="B121" s="23">
        <v>35796</v>
      </c>
      <c r="C121" t="s">
        <v>419</v>
      </c>
      <c r="D121" t="s">
        <v>420</v>
      </c>
      <c r="E121">
        <v>6986</v>
      </c>
      <c r="F121">
        <v>65313</v>
      </c>
      <c r="G121">
        <v>31898</v>
      </c>
      <c r="H121">
        <v>4317</v>
      </c>
      <c r="I121">
        <v>25767</v>
      </c>
      <c r="J121">
        <v>7340</v>
      </c>
      <c r="L121">
        <v>3227</v>
      </c>
      <c r="M121">
        <v>144848</v>
      </c>
    </row>
    <row r="122" spans="1:13" x14ac:dyDescent="0.15">
      <c r="A122" s="23">
        <v>35431</v>
      </c>
      <c r="B122" s="23">
        <v>35796</v>
      </c>
      <c r="C122" t="s">
        <v>419</v>
      </c>
      <c r="D122" t="s">
        <v>421</v>
      </c>
      <c r="E122">
        <v>9530</v>
      </c>
      <c r="F122">
        <v>28555</v>
      </c>
      <c r="H122">
        <v>8741</v>
      </c>
      <c r="I122">
        <v>11595</v>
      </c>
      <c r="J122">
        <v>19633</v>
      </c>
      <c r="L122">
        <v>29044</v>
      </c>
      <c r="M122">
        <v>107098</v>
      </c>
    </row>
    <row r="123" spans="1:13" x14ac:dyDescent="0.15">
      <c r="A123" s="23">
        <v>35431</v>
      </c>
      <c r="B123" s="23">
        <v>35796</v>
      </c>
      <c r="C123" t="s">
        <v>419</v>
      </c>
      <c r="D123" t="s">
        <v>422</v>
      </c>
      <c r="H123">
        <v>81</v>
      </c>
      <c r="I123">
        <v>1264</v>
      </c>
      <c r="M123">
        <v>1345</v>
      </c>
    </row>
    <row r="124" spans="1:13" x14ac:dyDescent="0.15">
      <c r="A124" s="23">
        <v>35431</v>
      </c>
      <c r="B124" s="23">
        <v>35796</v>
      </c>
      <c r="C124" t="s">
        <v>419</v>
      </c>
      <c r="D124" t="s">
        <v>423</v>
      </c>
      <c r="F124">
        <v>77</v>
      </c>
      <c r="G124">
        <v>1036</v>
      </c>
      <c r="H124">
        <v>13956</v>
      </c>
      <c r="I124">
        <v>3632</v>
      </c>
      <c r="J124">
        <v>446</v>
      </c>
      <c r="M124">
        <v>19147</v>
      </c>
    </row>
    <row r="125" spans="1:13" x14ac:dyDescent="0.15">
      <c r="A125" s="23">
        <v>35431</v>
      </c>
      <c r="B125" s="23">
        <v>35796</v>
      </c>
      <c r="C125" t="s">
        <v>419</v>
      </c>
      <c r="D125" t="s">
        <v>424</v>
      </c>
      <c r="E125">
        <v>200</v>
      </c>
      <c r="F125">
        <v>869</v>
      </c>
      <c r="G125">
        <v>116</v>
      </c>
      <c r="H125">
        <v>2</v>
      </c>
      <c r="I125">
        <v>12013</v>
      </c>
      <c r="M125">
        <v>13200</v>
      </c>
    </row>
    <row r="126" spans="1:13" hidden="1" x14ac:dyDescent="0.15">
      <c r="A126" s="23">
        <v>35431</v>
      </c>
      <c r="B126" s="23">
        <v>35796</v>
      </c>
      <c r="C126" t="s">
        <v>434</v>
      </c>
      <c r="D126" t="s">
        <v>435</v>
      </c>
      <c r="F126">
        <v>29979</v>
      </c>
      <c r="G126">
        <v>3287</v>
      </c>
      <c r="H126">
        <v>25055</v>
      </c>
      <c r="I126">
        <v>9504</v>
      </c>
      <c r="J126">
        <v>1026</v>
      </c>
      <c r="M126">
        <v>68851</v>
      </c>
    </row>
    <row r="127" spans="1:13" hidden="1" x14ac:dyDescent="0.15">
      <c r="A127" s="23">
        <v>35431</v>
      </c>
      <c r="B127" s="23">
        <v>35796</v>
      </c>
      <c r="C127" t="s">
        <v>434</v>
      </c>
      <c r="D127" t="s">
        <v>436</v>
      </c>
      <c r="E127">
        <v>16716</v>
      </c>
      <c r="F127">
        <v>64835</v>
      </c>
      <c r="G127">
        <v>29763</v>
      </c>
      <c r="H127">
        <v>2042</v>
      </c>
      <c r="I127">
        <v>44767</v>
      </c>
      <c r="J127">
        <v>26393</v>
      </c>
      <c r="M127">
        <v>184516</v>
      </c>
    </row>
    <row r="128" spans="1:13" x14ac:dyDescent="0.15">
      <c r="A128" s="23">
        <v>35796</v>
      </c>
      <c r="B128" s="23">
        <v>36161</v>
      </c>
      <c r="C128" t="s">
        <v>419</v>
      </c>
      <c r="D128" t="s">
        <v>420</v>
      </c>
      <c r="E128">
        <v>2832</v>
      </c>
      <c r="F128">
        <v>67540</v>
      </c>
      <c r="G128">
        <v>31192</v>
      </c>
      <c r="H128">
        <v>2828</v>
      </c>
      <c r="I128">
        <v>27849</v>
      </c>
      <c r="J128">
        <v>7167</v>
      </c>
      <c r="L128">
        <v>3689</v>
      </c>
      <c r="M128">
        <v>143097</v>
      </c>
    </row>
    <row r="129" spans="1:13" x14ac:dyDescent="0.15">
      <c r="A129" s="23">
        <v>35796</v>
      </c>
      <c r="B129" s="23">
        <v>36161</v>
      </c>
      <c r="C129" t="s">
        <v>419</v>
      </c>
      <c r="D129" t="s">
        <v>421</v>
      </c>
      <c r="E129">
        <v>9830</v>
      </c>
      <c r="F129">
        <v>28868</v>
      </c>
      <c r="H129">
        <v>8814</v>
      </c>
      <c r="I129">
        <v>12019</v>
      </c>
      <c r="J129">
        <v>22582</v>
      </c>
      <c r="L129">
        <v>33199</v>
      </c>
      <c r="M129">
        <v>115312</v>
      </c>
    </row>
    <row r="130" spans="1:13" x14ac:dyDescent="0.15">
      <c r="A130" s="23">
        <v>35796</v>
      </c>
      <c r="B130" s="23">
        <v>36161</v>
      </c>
      <c r="C130" t="s">
        <v>419</v>
      </c>
      <c r="D130" t="s">
        <v>422</v>
      </c>
      <c r="F130">
        <v>27</v>
      </c>
      <c r="H130">
        <v>108</v>
      </c>
      <c r="I130">
        <v>1282</v>
      </c>
      <c r="M130">
        <v>1417</v>
      </c>
    </row>
    <row r="131" spans="1:13" x14ac:dyDescent="0.15">
      <c r="A131" s="23">
        <v>35796</v>
      </c>
      <c r="B131" s="23">
        <v>36161</v>
      </c>
      <c r="C131" t="s">
        <v>419</v>
      </c>
      <c r="D131" t="s">
        <v>423</v>
      </c>
      <c r="E131">
        <v>2918</v>
      </c>
      <c r="G131">
        <v>1742</v>
      </c>
      <c r="H131">
        <v>14264</v>
      </c>
      <c r="I131">
        <v>3744</v>
      </c>
      <c r="M131">
        <v>22668</v>
      </c>
    </row>
    <row r="132" spans="1:13" x14ac:dyDescent="0.15">
      <c r="A132" s="23">
        <v>35796</v>
      </c>
      <c r="B132" s="23">
        <v>36161</v>
      </c>
      <c r="C132" t="s">
        <v>419</v>
      </c>
      <c r="D132" t="s">
        <v>424</v>
      </c>
      <c r="E132">
        <v>56</v>
      </c>
      <c r="F132">
        <v>967</v>
      </c>
      <c r="G132">
        <v>115</v>
      </c>
      <c r="I132">
        <v>14625</v>
      </c>
      <c r="M132">
        <v>15763</v>
      </c>
    </row>
    <row r="133" spans="1:13" hidden="1" x14ac:dyDescent="0.15">
      <c r="A133" s="23">
        <v>35796</v>
      </c>
      <c r="B133" s="23">
        <v>36161</v>
      </c>
      <c r="C133" t="s">
        <v>434</v>
      </c>
      <c r="D133" t="s">
        <v>435</v>
      </c>
      <c r="E133">
        <v>418</v>
      </c>
      <c r="F133">
        <v>30813</v>
      </c>
      <c r="G133">
        <v>3652</v>
      </c>
      <c r="H133">
        <v>23584</v>
      </c>
      <c r="I133">
        <v>8907</v>
      </c>
      <c r="J133">
        <v>1085</v>
      </c>
      <c r="M133">
        <v>68459</v>
      </c>
    </row>
    <row r="134" spans="1:13" hidden="1" x14ac:dyDescent="0.15">
      <c r="A134" s="23">
        <v>35796</v>
      </c>
      <c r="B134" s="23">
        <v>36161</v>
      </c>
      <c r="C134" t="s">
        <v>434</v>
      </c>
      <c r="D134" t="s">
        <v>436</v>
      </c>
      <c r="E134">
        <v>15218</v>
      </c>
      <c r="F134">
        <v>66589</v>
      </c>
      <c r="G134">
        <v>29397</v>
      </c>
      <c r="H134">
        <v>2430</v>
      </c>
      <c r="I134">
        <v>50612</v>
      </c>
      <c r="J134">
        <v>28664</v>
      </c>
      <c r="M134">
        <v>192910</v>
      </c>
    </row>
    <row r="135" spans="1:13" x14ac:dyDescent="0.15">
      <c r="A135" s="23">
        <v>36161</v>
      </c>
      <c r="B135" s="23">
        <v>36526</v>
      </c>
      <c r="C135" t="s">
        <v>419</v>
      </c>
      <c r="D135" t="s">
        <v>420</v>
      </c>
      <c r="E135">
        <v>6347</v>
      </c>
      <c r="F135">
        <v>63398</v>
      </c>
      <c r="G135">
        <v>27941</v>
      </c>
      <c r="H135">
        <v>2643</v>
      </c>
      <c r="I135">
        <v>28934</v>
      </c>
      <c r="J135">
        <v>7194</v>
      </c>
      <c r="L135">
        <v>4054</v>
      </c>
      <c r="M135">
        <v>140511</v>
      </c>
    </row>
    <row r="136" spans="1:13" x14ac:dyDescent="0.15">
      <c r="A136" s="23">
        <v>36161</v>
      </c>
      <c r="B136" s="23">
        <v>36526</v>
      </c>
      <c r="C136" t="s">
        <v>419</v>
      </c>
      <c r="D136" t="s">
        <v>421</v>
      </c>
      <c r="E136">
        <v>9706</v>
      </c>
      <c r="F136">
        <v>22119</v>
      </c>
      <c r="H136">
        <v>9591</v>
      </c>
      <c r="I136">
        <v>12181</v>
      </c>
      <c r="J136">
        <v>23233</v>
      </c>
      <c r="L136">
        <v>36483</v>
      </c>
      <c r="M136">
        <v>113313</v>
      </c>
    </row>
    <row r="137" spans="1:13" x14ac:dyDescent="0.15">
      <c r="A137" s="23">
        <v>36161</v>
      </c>
      <c r="B137" s="23">
        <v>36526</v>
      </c>
      <c r="C137" t="s">
        <v>419</v>
      </c>
      <c r="D137" t="s">
        <v>422</v>
      </c>
      <c r="F137">
        <v>24</v>
      </c>
      <c r="G137">
        <v>593</v>
      </c>
      <c r="H137">
        <v>99</v>
      </c>
      <c r="I137">
        <v>1434</v>
      </c>
      <c r="M137">
        <v>2150</v>
      </c>
    </row>
    <row r="138" spans="1:13" x14ac:dyDescent="0.15">
      <c r="A138" s="23">
        <v>36161</v>
      </c>
      <c r="B138" s="23">
        <v>36526</v>
      </c>
      <c r="C138" t="s">
        <v>419</v>
      </c>
      <c r="D138" t="s">
        <v>423</v>
      </c>
      <c r="E138">
        <v>186</v>
      </c>
      <c r="G138">
        <v>2056</v>
      </c>
      <c r="H138">
        <v>14533</v>
      </c>
      <c r="I138">
        <v>3715</v>
      </c>
      <c r="M138">
        <v>20490</v>
      </c>
    </row>
    <row r="139" spans="1:13" x14ac:dyDescent="0.15">
      <c r="A139" s="23">
        <v>36161</v>
      </c>
      <c r="B139" s="23">
        <v>36526</v>
      </c>
      <c r="C139" t="s">
        <v>419</v>
      </c>
      <c r="D139" t="s">
        <v>424</v>
      </c>
      <c r="F139">
        <v>1429</v>
      </c>
      <c r="G139">
        <v>113</v>
      </c>
      <c r="I139">
        <v>14571</v>
      </c>
      <c r="M139">
        <v>16113</v>
      </c>
    </row>
    <row r="140" spans="1:13" hidden="1" x14ac:dyDescent="0.15">
      <c r="A140" s="23">
        <v>36161</v>
      </c>
      <c r="B140" s="23">
        <v>36526</v>
      </c>
      <c r="C140" t="s">
        <v>434</v>
      </c>
      <c r="D140" t="s">
        <v>435</v>
      </c>
      <c r="E140">
        <v>186</v>
      </c>
      <c r="F140">
        <v>31351</v>
      </c>
      <c r="G140">
        <v>4092</v>
      </c>
      <c r="H140">
        <v>25188</v>
      </c>
      <c r="I140">
        <v>8294</v>
      </c>
      <c r="J140">
        <v>1161</v>
      </c>
      <c r="M140">
        <v>70272</v>
      </c>
    </row>
    <row r="141" spans="1:13" hidden="1" x14ac:dyDescent="0.15">
      <c r="A141" s="23">
        <v>36161</v>
      </c>
      <c r="B141" s="23">
        <v>36526</v>
      </c>
      <c r="C141" t="s">
        <v>434</v>
      </c>
      <c r="D141" t="s">
        <v>436</v>
      </c>
      <c r="E141">
        <v>16053</v>
      </c>
      <c r="F141">
        <v>55619</v>
      </c>
      <c r="G141">
        <v>26611</v>
      </c>
      <c r="H141">
        <v>1678</v>
      </c>
      <c r="I141">
        <v>52541</v>
      </c>
      <c r="J141">
        <v>29266</v>
      </c>
      <c r="M141">
        <v>181768</v>
      </c>
    </row>
    <row r="142" spans="1:13" x14ac:dyDescent="0.15">
      <c r="A142" s="23">
        <v>36526</v>
      </c>
      <c r="B142" s="23">
        <v>36892</v>
      </c>
      <c r="C142" t="s">
        <v>419</v>
      </c>
      <c r="D142" t="s">
        <v>420</v>
      </c>
      <c r="E142">
        <v>6914</v>
      </c>
      <c r="F142">
        <v>59324</v>
      </c>
      <c r="G142">
        <v>30491</v>
      </c>
      <c r="H142">
        <v>3400</v>
      </c>
      <c r="I142">
        <v>28449</v>
      </c>
      <c r="J142">
        <v>7328</v>
      </c>
      <c r="L142">
        <v>4325</v>
      </c>
      <c r="M142">
        <v>140231</v>
      </c>
    </row>
    <row r="143" spans="1:13" x14ac:dyDescent="0.15">
      <c r="A143" s="23">
        <v>36526</v>
      </c>
      <c r="B143" s="23">
        <v>36892</v>
      </c>
      <c r="C143" t="s">
        <v>419</v>
      </c>
      <c r="D143" t="s">
        <v>421</v>
      </c>
      <c r="E143">
        <v>10844</v>
      </c>
      <c r="F143">
        <v>25292</v>
      </c>
      <c r="H143">
        <v>9437</v>
      </c>
      <c r="I143">
        <v>14286</v>
      </c>
      <c r="J143">
        <v>21697</v>
      </c>
      <c r="L143">
        <v>38923</v>
      </c>
      <c r="M143">
        <v>120479</v>
      </c>
    </row>
    <row r="144" spans="1:13" x14ac:dyDescent="0.15">
      <c r="A144" s="23">
        <v>36526</v>
      </c>
      <c r="B144" s="23">
        <v>36892</v>
      </c>
      <c r="C144" t="s">
        <v>419</v>
      </c>
      <c r="D144" t="s">
        <v>422</v>
      </c>
      <c r="F144">
        <v>150</v>
      </c>
      <c r="G144">
        <v>518</v>
      </c>
      <c r="H144">
        <v>378</v>
      </c>
      <c r="I144">
        <v>1052</v>
      </c>
      <c r="M144">
        <v>2098</v>
      </c>
    </row>
    <row r="145" spans="1:13" x14ac:dyDescent="0.15">
      <c r="A145" s="23">
        <v>36526</v>
      </c>
      <c r="B145" s="23">
        <v>36892</v>
      </c>
      <c r="C145" t="s">
        <v>419</v>
      </c>
      <c r="D145" t="s">
        <v>423</v>
      </c>
      <c r="F145">
        <v>587</v>
      </c>
      <c r="G145">
        <v>2119</v>
      </c>
      <c r="H145">
        <v>15381</v>
      </c>
      <c r="I145">
        <v>4894</v>
      </c>
      <c r="M145">
        <v>22981</v>
      </c>
    </row>
    <row r="146" spans="1:13" x14ac:dyDescent="0.15">
      <c r="A146" s="23">
        <v>36526</v>
      </c>
      <c r="B146" s="23">
        <v>36892</v>
      </c>
      <c r="C146" t="s">
        <v>419</v>
      </c>
      <c r="D146" t="s">
        <v>424</v>
      </c>
      <c r="F146">
        <v>1826</v>
      </c>
      <c r="G146">
        <v>99</v>
      </c>
      <c r="I146">
        <v>14004</v>
      </c>
      <c r="M146">
        <v>15929</v>
      </c>
    </row>
    <row r="147" spans="1:13" hidden="1" x14ac:dyDescent="0.15">
      <c r="A147" s="23">
        <v>36526</v>
      </c>
      <c r="B147" s="23">
        <v>36892</v>
      </c>
      <c r="C147" t="s">
        <v>434</v>
      </c>
      <c r="D147" t="s">
        <v>435</v>
      </c>
      <c r="F147">
        <v>29574</v>
      </c>
      <c r="G147">
        <v>4124</v>
      </c>
      <c r="H147">
        <v>28134</v>
      </c>
      <c r="I147">
        <v>2391</v>
      </c>
      <c r="J147">
        <v>1108</v>
      </c>
      <c r="M147">
        <v>65331</v>
      </c>
    </row>
    <row r="148" spans="1:13" hidden="1" x14ac:dyDescent="0.15">
      <c r="A148" s="23">
        <v>36526</v>
      </c>
      <c r="B148" s="23">
        <v>36892</v>
      </c>
      <c r="C148" t="s">
        <v>434</v>
      </c>
      <c r="D148" t="s">
        <v>436</v>
      </c>
      <c r="E148">
        <v>17758</v>
      </c>
      <c r="F148">
        <v>57605</v>
      </c>
      <c r="G148">
        <v>29103</v>
      </c>
      <c r="H148">
        <v>462</v>
      </c>
      <c r="I148">
        <v>60294</v>
      </c>
      <c r="J148">
        <v>27917</v>
      </c>
      <c r="M148">
        <v>193139</v>
      </c>
    </row>
    <row r="149" spans="1:13" x14ac:dyDescent="0.15">
      <c r="A149" s="23">
        <v>36892</v>
      </c>
      <c r="B149" s="23">
        <v>37257</v>
      </c>
      <c r="C149" t="s">
        <v>419</v>
      </c>
      <c r="D149" t="s">
        <v>420</v>
      </c>
      <c r="E149">
        <v>6955</v>
      </c>
      <c r="F149">
        <v>47105</v>
      </c>
      <c r="G149">
        <v>32207</v>
      </c>
      <c r="H149">
        <v>3621</v>
      </c>
      <c r="I149">
        <v>28755</v>
      </c>
      <c r="J149">
        <v>7202</v>
      </c>
      <c r="L149">
        <v>5215</v>
      </c>
      <c r="M149">
        <v>131060</v>
      </c>
    </row>
    <row r="150" spans="1:13" x14ac:dyDescent="0.15">
      <c r="A150" s="23">
        <v>36892</v>
      </c>
      <c r="B150" s="23">
        <v>37257</v>
      </c>
      <c r="C150" t="s">
        <v>419</v>
      </c>
      <c r="D150" t="s">
        <v>421</v>
      </c>
      <c r="E150">
        <v>13325</v>
      </c>
      <c r="F150">
        <v>23198</v>
      </c>
      <c r="H150">
        <v>9877</v>
      </c>
      <c r="I150">
        <v>16932</v>
      </c>
      <c r="J150">
        <v>24199</v>
      </c>
      <c r="L150">
        <v>46934</v>
      </c>
      <c r="M150">
        <v>134465</v>
      </c>
    </row>
    <row r="151" spans="1:13" x14ac:dyDescent="0.15">
      <c r="A151" s="23">
        <v>36892</v>
      </c>
      <c r="B151" s="23">
        <v>37257</v>
      </c>
      <c r="C151" t="s">
        <v>419</v>
      </c>
      <c r="D151" t="s">
        <v>422</v>
      </c>
      <c r="F151">
        <v>149</v>
      </c>
      <c r="H151">
        <v>405</v>
      </c>
      <c r="I151">
        <v>1120</v>
      </c>
      <c r="M151">
        <v>1674</v>
      </c>
    </row>
    <row r="152" spans="1:13" x14ac:dyDescent="0.15">
      <c r="A152" s="23">
        <v>36892</v>
      </c>
      <c r="B152" s="23">
        <v>37257</v>
      </c>
      <c r="C152" t="s">
        <v>419</v>
      </c>
      <c r="D152" t="s">
        <v>423</v>
      </c>
      <c r="E152">
        <v>35</v>
      </c>
      <c r="F152">
        <v>315</v>
      </c>
      <c r="G152">
        <v>1343</v>
      </c>
      <c r="H152">
        <v>16060</v>
      </c>
      <c r="I152">
        <v>5719</v>
      </c>
      <c r="M152">
        <v>23472</v>
      </c>
    </row>
    <row r="153" spans="1:13" x14ac:dyDescent="0.15">
      <c r="A153" s="23">
        <v>36892</v>
      </c>
      <c r="B153" s="23">
        <v>37257</v>
      </c>
      <c r="C153" t="s">
        <v>419</v>
      </c>
      <c r="D153" t="s">
        <v>424</v>
      </c>
      <c r="E153">
        <v>186</v>
      </c>
      <c r="F153">
        <v>715</v>
      </c>
      <c r="I153">
        <v>11720</v>
      </c>
      <c r="M153">
        <v>12621</v>
      </c>
    </row>
    <row r="154" spans="1:13" hidden="1" x14ac:dyDescent="0.15">
      <c r="A154" s="23">
        <v>36892</v>
      </c>
      <c r="B154" s="23">
        <v>37257</v>
      </c>
      <c r="C154" t="s">
        <v>434</v>
      </c>
      <c r="D154" t="s">
        <v>435</v>
      </c>
      <c r="F154">
        <v>28667</v>
      </c>
      <c r="G154">
        <v>4386</v>
      </c>
      <c r="H154">
        <v>28394</v>
      </c>
      <c r="I154">
        <v>9239</v>
      </c>
      <c r="J154">
        <v>1067</v>
      </c>
      <c r="M154">
        <v>71753</v>
      </c>
    </row>
    <row r="155" spans="1:13" hidden="1" x14ac:dyDescent="0.15">
      <c r="A155" s="23">
        <v>36892</v>
      </c>
      <c r="B155" s="23">
        <v>37257</v>
      </c>
      <c r="C155" t="s">
        <v>434</v>
      </c>
      <c r="D155" t="s">
        <v>436</v>
      </c>
      <c r="E155">
        <v>20501</v>
      </c>
      <c r="F155">
        <v>42815</v>
      </c>
      <c r="G155">
        <v>29164</v>
      </c>
      <c r="H155">
        <v>1569</v>
      </c>
      <c r="I155">
        <v>55007</v>
      </c>
      <c r="J155">
        <v>30334</v>
      </c>
      <c r="M155">
        <v>179390</v>
      </c>
    </row>
    <row r="156" spans="1:13" x14ac:dyDescent="0.15">
      <c r="A156" s="23">
        <v>37257</v>
      </c>
      <c r="B156" s="23">
        <v>37622</v>
      </c>
      <c r="C156" t="s">
        <v>419</v>
      </c>
      <c r="D156" t="s">
        <v>420</v>
      </c>
      <c r="E156">
        <v>6444</v>
      </c>
      <c r="F156">
        <v>50312</v>
      </c>
      <c r="G156">
        <v>32207</v>
      </c>
      <c r="H156">
        <v>3030</v>
      </c>
      <c r="I156">
        <v>29969</v>
      </c>
      <c r="J156">
        <v>7380</v>
      </c>
      <c r="L156">
        <v>6638</v>
      </c>
      <c r="M156">
        <v>135980</v>
      </c>
    </row>
    <row r="157" spans="1:13" x14ac:dyDescent="0.15">
      <c r="A157" s="23">
        <v>37257</v>
      </c>
      <c r="B157" s="23">
        <v>37622</v>
      </c>
      <c r="C157" t="s">
        <v>419</v>
      </c>
      <c r="D157" t="s">
        <v>421</v>
      </c>
      <c r="E157">
        <v>13443</v>
      </c>
      <c r="F157">
        <v>27248</v>
      </c>
      <c r="H157">
        <v>10080</v>
      </c>
      <c r="I157">
        <v>15773</v>
      </c>
      <c r="J157">
        <v>24120</v>
      </c>
      <c r="L157">
        <v>59741</v>
      </c>
      <c r="M157">
        <v>150405</v>
      </c>
    </row>
    <row r="158" spans="1:13" x14ac:dyDescent="0.15">
      <c r="A158" s="23">
        <v>37257</v>
      </c>
      <c r="B158" s="23">
        <v>37622</v>
      </c>
      <c r="C158" t="s">
        <v>419</v>
      </c>
      <c r="D158" t="s">
        <v>422</v>
      </c>
      <c r="F158">
        <v>93</v>
      </c>
      <c r="H158">
        <v>109</v>
      </c>
      <c r="I158">
        <v>1279</v>
      </c>
      <c r="M158">
        <v>1481</v>
      </c>
    </row>
    <row r="159" spans="1:13" x14ac:dyDescent="0.15">
      <c r="A159" s="23">
        <v>37257</v>
      </c>
      <c r="B159" s="23">
        <v>37622</v>
      </c>
      <c r="C159" t="s">
        <v>419</v>
      </c>
      <c r="D159" t="s">
        <v>423</v>
      </c>
      <c r="E159">
        <v>38</v>
      </c>
      <c r="F159">
        <v>351</v>
      </c>
      <c r="G159">
        <v>1343</v>
      </c>
      <c r="H159">
        <v>16336</v>
      </c>
      <c r="I159">
        <v>6199</v>
      </c>
      <c r="M159">
        <v>24267</v>
      </c>
    </row>
    <row r="160" spans="1:13" x14ac:dyDescent="0.15">
      <c r="A160" s="23">
        <v>37257</v>
      </c>
      <c r="B160" s="23">
        <v>37622</v>
      </c>
      <c r="C160" t="s">
        <v>419</v>
      </c>
      <c r="D160" t="s">
        <v>424</v>
      </c>
      <c r="E160">
        <v>189</v>
      </c>
      <c r="F160">
        <v>678</v>
      </c>
      <c r="I160">
        <v>12672</v>
      </c>
      <c r="M160">
        <v>13539</v>
      </c>
    </row>
    <row r="161" spans="1:13" hidden="1" x14ac:dyDescent="0.15">
      <c r="A161" s="23">
        <v>37257</v>
      </c>
      <c r="B161" s="23">
        <v>37622</v>
      </c>
      <c r="C161" t="s">
        <v>434</v>
      </c>
      <c r="D161" t="s">
        <v>435</v>
      </c>
      <c r="F161">
        <v>27702</v>
      </c>
      <c r="G161">
        <v>4386</v>
      </c>
      <c r="H161">
        <v>28228</v>
      </c>
      <c r="I161">
        <v>9193</v>
      </c>
      <c r="J161">
        <v>1244</v>
      </c>
      <c r="M161">
        <v>70753</v>
      </c>
    </row>
    <row r="162" spans="1:13" hidden="1" x14ac:dyDescent="0.15">
      <c r="A162" s="23">
        <v>37257</v>
      </c>
      <c r="B162" s="23">
        <v>37622</v>
      </c>
      <c r="C162" t="s">
        <v>434</v>
      </c>
      <c r="D162" t="s">
        <v>436</v>
      </c>
      <c r="E162">
        <v>20114</v>
      </c>
      <c r="F162">
        <v>50980</v>
      </c>
      <c r="G162">
        <v>29164</v>
      </c>
      <c r="H162">
        <v>1327</v>
      </c>
      <c r="I162">
        <v>56699</v>
      </c>
      <c r="J162">
        <v>30256</v>
      </c>
      <c r="M162">
        <v>188540</v>
      </c>
    </row>
    <row r="163" spans="1:13" x14ac:dyDescent="0.15">
      <c r="A163" s="23">
        <v>37622</v>
      </c>
      <c r="B163" s="23">
        <v>37987</v>
      </c>
      <c r="C163" t="s">
        <v>419</v>
      </c>
      <c r="D163" t="s">
        <v>420</v>
      </c>
      <c r="E163">
        <v>4881</v>
      </c>
      <c r="F163">
        <v>52843</v>
      </c>
      <c r="G163">
        <v>33254</v>
      </c>
      <c r="H163">
        <v>958</v>
      </c>
      <c r="I163">
        <v>31704</v>
      </c>
      <c r="J163">
        <v>7382</v>
      </c>
      <c r="L163">
        <v>8335</v>
      </c>
      <c r="M163">
        <v>139357</v>
      </c>
    </row>
    <row r="164" spans="1:13" x14ac:dyDescent="0.15">
      <c r="A164" s="23">
        <v>37622</v>
      </c>
      <c r="B164" s="23">
        <v>37987</v>
      </c>
      <c r="C164" t="s">
        <v>419</v>
      </c>
      <c r="D164" t="s">
        <v>421</v>
      </c>
      <c r="E164">
        <v>15432</v>
      </c>
      <c r="F164">
        <v>27545</v>
      </c>
      <c r="H164">
        <v>11610</v>
      </c>
      <c r="I164">
        <v>16645</v>
      </c>
      <c r="J164">
        <v>25058</v>
      </c>
      <c r="L164">
        <v>75014</v>
      </c>
      <c r="M164">
        <v>171304</v>
      </c>
    </row>
    <row r="165" spans="1:13" x14ac:dyDescent="0.15">
      <c r="A165" s="23">
        <v>37622</v>
      </c>
      <c r="B165" s="23">
        <v>37987</v>
      </c>
      <c r="C165" t="s">
        <v>419</v>
      </c>
      <c r="D165" t="s">
        <v>422</v>
      </c>
      <c r="F165">
        <v>5</v>
      </c>
      <c r="H165">
        <v>106</v>
      </c>
      <c r="I165">
        <v>1123</v>
      </c>
      <c r="J165">
        <v>2</v>
      </c>
      <c r="M165">
        <v>1236</v>
      </c>
    </row>
    <row r="166" spans="1:13" x14ac:dyDescent="0.15">
      <c r="A166" s="23">
        <v>37622</v>
      </c>
      <c r="B166" s="23">
        <v>37987</v>
      </c>
      <c r="C166" t="s">
        <v>419</v>
      </c>
      <c r="D166" t="s">
        <v>423</v>
      </c>
      <c r="E166">
        <v>57</v>
      </c>
      <c r="F166">
        <v>318</v>
      </c>
      <c r="G166">
        <v>1415</v>
      </c>
      <c r="H166">
        <v>16974</v>
      </c>
      <c r="I166">
        <v>6183</v>
      </c>
      <c r="M166">
        <v>24947</v>
      </c>
    </row>
    <row r="167" spans="1:13" x14ac:dyDescent="0.15">
      <c r="A167" s="23">
        <v>37622</v>
      </c>
      <c r="B167" s="23">
        <v>37987</v>
      </c>
      <c r="C167" t="s">
        <v>419</v>
      </c>
      <c r="D167" t="s">
        <v>424</v>
      </c>
      <c r="E167">
        <v>280</v>
      </c>
      <c r="F167">
        <v>437</v>
      </c>
      <c r="I167">
        <v>12110</v>
      </c>
      <c r="M167">
        <v>12827</v>
      </c>
    </row>
    <row r="168" spans="1:13" hidden="1" x14ac:dyDescent="0.15">
      <c r="A168" s="23">
        <v>37622</v>
      </c>
      <c r="B168" s="23">
        <v>37987</v>
      </c>
      <c r="C168" t="s">
        <v>434</v>
      </c>
      <c r="D168" t="s">
        <v>435</v>
      </c>
      <c r="F168">
        <v>28286</v>
      </c>
      <c r="G168">
        <v>5769</v>
      </c>
      <c r="H168">
        <v>28023</v>
      </c>
      <c r="I168">
        <v>9338</v>
      </c>
      <c r="J168">
        <v>1195</v>
      </c>
      <c r="M168">
        <v>72611</v>
      </c>
    </row>
    <row r="169" spans="1:13" hidden="1" x14ac:dyDescent="0.15">
      <c r="A169" s="23">
        <v>37622</v>
      </c>
      <c r="B169" s="23">
        <v>37987</v>
      </c>
      <c r="C169" t="s">
        <v>434</v>
      </c>
      <c r="D169" t="s">
        <v>436</v>
      </c>
      <c r="E169">
        <v>20650</v>
      </c>
      <c r="F169">
        <v>52862</v>
      </c>
      <c r="G169">
        <v>28900</v>
      </c>
      <c r="H169">
        <v>1625</v>
      </c>
      <c r="I169">
        <v>58427</v>
      </c>
      <c r="J169">
        <v>31247</v>
      </c>
      <c r="M169">
        <v>193711</v>
      </c>
    </row>
    <row r="170" spans="1:13" x14ac:dyDescent="0.15">
      <c r="A170" s="23">
        <v>37987</v>
      </c>
      <c r="B170" s="23">
        <v>38353</v>
      </c>
      <c r="C170" t="s">
        <v>419</v>
      </c>
      <c r="D170" t="s">
        <v>420</v>
      </c>
      <c r="E170">
        <v>5239</v>
      </c>
      <c r="F170">
        <v>49074</v>
      </c>
      <c r="G170">
        <v>35152</v>
      </c>
      <c r="H170">
        <v>4913</v>
      </c>
      <c r="I170">
        <v>47734</v>
      </c>
      <c r="J170">
        <v>7513</v>
      </c>
      <c r="L170">
        <v>9896</v>
      </c>
      <c r="M170">
        <v>159521</v>
      </c>
    </row>
    <row r="171" spans="1:13" x14ac:dyDescent="0.15">
      <c r="A171" s="23">
        <v>37987</v>
      </c>
      <c r="B171" s="23">
        <v>38353</v>
      </c>
      <c r="C171" t="s">
        <v>419</v>
      </c>
      <c r="D171" t="s">
        <v>421</v>
      </c>
      <c r="E171">
        <v>18898</v>
      </c>
      <c r="F171">
        <v>23836</v>
      </c>
      <c r="H171">
        <v>12902</v>
      </c>
      <c r="I171">
        <v>16937</v>
      </c>
      <c r="J171">
        <v>25645</v>
      </c>
      <c r="L171">
        <v>89061</v>
      </c>
      <c r="M171">
        <v>187279</v>
      </c>
    </row>
    <row r="172" spans="1:13" x14ac:dyDescent="0.15">
      <c r="A172" s="23">
        <v>37987</v>
      </c>
      <c r="B172" s="23">
        <v>38353</v>
      </c>
      <c r="C172" t="s">
        <v>419</v>
      </c>
      <c r="D172" t="s">
        <v>422</v>
      </c>
      <c r="F172">
        <v>5</v>
      </c>
      <c r="H172">
        <v>96</v>
      </c>
      <c r="I172">
        <v>1858</v>
      </c>
      <c r="J172">
        <v>2</v>
      </c>
      <c r="M172">
        <v>1961</v>
      </c>
    </row>
    <row r="173" spans="1:13" x14ac:dyDescent="0.15">
      <c r="A173" s="23">
        <v>37987</v>
      </c>
      <c r="B173" s="23">
        <v>38353</v>
      </c>
      <c r="C173" t="s">
        <v>419</v>
      </c>
      <c r="D173" t="s">
        <v>423</v>
      </c>
      <c r="E173">
        <v>76</v>
      </c>
      <c r="F173">
        <v>307</v>
      </c>
      <c r="G173">
        <v>1579</v>
      </c>
      <c r="H173">
        <v>18758</v>
      </c>
      <c r="I173">
        <v>6626</v>
      </c>
      <c r="M173">
        <v>27346</v>
      </c>
    </row>
    <row r="174" spans="1:13" x14ac:dyDescent="0.15">
      <c r="A174" s="23">
        <v>37987</v>
      </c>
      <c r="B174" s="23">
        <v>38353</v>
      </c>
      <c r="C174" t="s">
        <v>419</v>
      </c>
      <c r="D174" t="s">
        <v>424</v>
      </c>
      <c r="E174">
        <v>375</v>
      </c>
      <c r="F174">
        <v>434</v>
      </c>
      <c r="I174">
        <v>13147</v>
      </c>
      <c r="M174">
        <v>13956</v>
      </c>
    </row>
    <row r="175" spans="1:13" hidden="1" x14ac:dyDescent="0.15">
      <c r="A175" s="23">
        <v>37987</v>
      </c>
      <c r="B175" s="23">
        <v>38353</v>
      </c>
      <c r="C175" t="s">
        <v>434</v>
      </c>
      <c r="D175" t="s">
        <v>435</v>
      </c>
      <c r="F175">
        <v>29318</v>
      </c>
      <c r="G175">
        <v>6345</v>
      </c>
      <c r="H175">
        <v>34822</v>
      </c>
      <c r="I175">
        <v>10516</v>
      </c>
      <c r="J175">
        <v>1224</v>
      </c>
      <c r="M175">
        <v>82225</v>
      </c>
    </row>
    <row r="176" spans="1:13" hidden="1" x14ac:dyDescent="0.15">
      <c r="A176" s="23">
        <v>37987</v>
      </c>
      <c r="B176" s="23">
        <v>38353</v>
      </c>
      <c r="C176" t="s">
        <v>434</v>
      </c>
      <c r="D176" t="s">
        <v>436</v>
      </c>
      <c r="E176">
        <v>24588</v>
      </c>
      <c r="F176">
        <v>44338</v>
      </c>
      <c r="G176">
        <v>30386</v>
      </c>
      <c r="H176">
        <v>1847</v>
      </c>
      <c r="I176">
        <v>75786</v>
      </c>
      <c r="J176">
        <v>31936</v>
      </c>
      <c r="M176">
        <v>208881</v>
      </c>
    </row>
    <row r="177" spans="1:13" x14ac:dyDescent="0.15">
      <c r="A177" s="23">
        <v>38353</v>
      </c>
      <c r="B177" s="23">
        <v>38718</v>
      </c>
      <c r="C177" t="s">
        <v>419</v>
      </c>
      <c r="D177" t="s">
        <v>420</v>
      </c>
      <c r="E177">
        <v>5808</v>
      </c>
      <c r="F177">
        <v>55429</v>
      </c>
      <c r="G177">
        <v>33195</v>
      </c>
      <c r="H177">
        <v>3868</v>
      </c>
      <c r="I177">
        <v>88228</v>
      </c>
      <c r="J177">
        <v>7659</v>
      </c>
      <c r="L177">
        <v>11376</v>
      </c>
      <c r="M177">
        <v>205563</v>
      </c>
    </row>
    <row r="178" spans="1:13" x14ac:dyDescent="0.15">
      <c r="A178" s="23">
        <v>38353</v>
      </c>
      <c r="B178" s="23">
        <v>38718</v>
      </c>
      <c r="C178" t="s">
        <v>419</v>
      </c>
      <c r="D178" t="s">
        <v>421</v>
      </c>
      <c r="E178">
        <v>17992</v>
      </c>
      <c r="F178">
        <v>23702</v>
      </c>
      <c r="H178">
        <v>14182</v>
      </c>
      <c r="I178">
        <v>13840</v>
      </c>
      <c r="J178">
        <v>25618</v>
      </c>
      <c r="L178">
        <v>102388</v>
      </c>
      <c r="M178">
        <v>197722</v>
      </c>
    </row>
    <row r="179" spans="1:13" x14ac:dyDescent="0.15">
      <c r="A179" s="23">
        <v>38353</v>
      </c>
      <c r="B179" s="23">
        <v>38718</v>
      </c>
      <c r="C179" t="s">
        <v>419</v>
      </c>
      <c r="D179" t="s">
        <v>422</v>
      </c>
      <c r="F179">
        <v>4</v>
      </c>
      <c r="H179">
        <v>599</v>
      </c>
      <c r="I179">
        <v>1722</v>
      </c>
      <c r="J179">
        <v>2</v>
      </c>
      <c r="M179">
        <v>2327</v>
      </c>
    </row>
    <row r="180" spans="1:13" x14ac:dyDescent="0.15">
      <c r="A180" s="23">
        <v>38353</v>
      </c>
      <c r="B180" s="23">
        <v>38718</v>
      </c>
      <c r="C180" t="s">
        <v>419</v>
      </c>
      <c r="D180" t="s">
        <v>423</v>
      </c>
      <c r="E180">
        <v>76</v>
      </c>
      <c r="F180">
        <v>233</v>
      </c>
      <c r="G180">
        <v>1412</v>
      </c>
      <c r="H180">
        <v>21572</v>
      </c>
      <c r="I180">
        <v>6704</v>
      </c>
      <c r="M180">
        <v>29997</v>
      </c>
    </row>
    <row r="181" spans="1:13" x14ac:dyDescent="0.15">
      <c r="A181" s="23">
        <v>38353</v>
      </c>
      <c r="B181" s="23">
        <v>38718</v>
      </c>
      <c r="C181" t="s">
        <v>419</v>
      </c>
      <c r="D181" t="s">
        <v>424</v>
      </c>
      <c r="E181">
        <v>951</v>
      </c>
      <c r="F181">
        <v>473</v>
      </c>
      <c r="I181">
        <v>15697</v>
      </c>
      <c r="M181">
        <v>17121</v>
      </c>
    </row>
    <row r="182" spans="1:13" hidden="1" x14ac:dyDescent="0.15">
      <c r="A182" s="23">
        <v>38353</v>
      </c>
      <c r="B182" s="23">
        <v>38718</v>
      </c>
      <c r="C182" t="s">
        <v>434</v>
      </c>
      <c r="D182" t="s">
        <v>435</v>
      </c>
      <c r="F182">
        <v>28711</v>
      </c>
      <c r="G182">
        <v>6253</v>
      </c>
      <c r="H182">
        <v>40157</v>
      </c>
      <c r="I182">
        <v>10859</v>
      </c>
      <c r="J182">
        <v>1086</v>
      </c>
      <c r="M182">
        <v>87066</v>
      </c>
    </row>
    <row r="183" spans="1:13" hidden="1" x14ac:dyDescent="0.15">
      <c r="A183" s="23">
        <v>38353</v>
      </c>
      <c r="B183" s="23">
        <v>38718</v>
      </c>
      <c r="C183" t="s">
        <v>434</v>
      </c>
      <c r="D183" t="s">
        <v>436</v>
      </c>
      <c r="E183">
        <v>24827</v>
      </c>
      <c r="F183">
        <v>51130</v>
      </c>
      <c r="G183">
        <v>28354</v>
      </c>
      <c r="H183">
        <v>64</v>
      </c>
      <c r="I183">
        <v>115332</v>
      </c>
      <c r="J183">
        <v>32193</v>
      </c>
      <c r="M183">
        <v>251900</v>
      </c>
    </row>
    <row r="184" spans="1:13" x14ac:dyDescent="0.15">
      <c r="A184" s="23">
        <v>38718</v>
      </c>
      <c r="B184" s="23">
        <v>39083</v>
      </c>
      <c r="C184" t="s">
        <v>419</v>
      </c>
      <c r="D184" t="s">
        <v>420</v>
      </c>
      <c r="E184">
        <v>6906</v>
      </c>
      <c r="F184">
        <v>56483</v>
      </c>
      <c r="G184">
        <v>36467</v>
      </c>
      <c r="H184">
        <v>4956</v>
      </c>
      <c r="I184">
        <v>82397</v>
      </c>
      <c r="J184">
        <v>7571</v>
      </c>
      <c r="L184">
        <v>13740</v>
      </c>
      <c r="M184">
        <v>208520</v>
      </c>
    </row>
    <row r="185" spans="1:13" x14ac:dyDescent="0.15">
      <c r="A185" s="23">
        <v>38718</v>
      </c>
      <c r="B185" s="23">
        <v>39083</v>
      </c>
      <c r="C185" t="s">
        <v>419</v>
      </c>
      <c r="D185" t="s">
        <v>421</v>
      </c>
      <c r="E185">
        <v>19878</v>
      </c>
      <c r="F185">
        <v>20787</v>
      </c>
      <c r="H185">
        <v>17518</v>
      </c>
      <c r="I185">
        <v>25777</v>
      </c>
      <c r="J185">
        <v>26171</v>
      </c>
      <c r="L185">
        <v>123662</v>
      </c>
      <c r="M185">
        <v>233793</v>
      </c>
    </row>
    <row r="186" spans="1:13" x14ac:dyDescent="0.15">
      <c r="A186" s="23">
        <v>38718</v>
      </c>
      <c r="B186" s="23">
        <v>39083</v>
      </c>
      <c r="C186" t="s">
        <v>419</v>
      </c>
      <c r="D186" t="s">
        <v>422</v>
      </c>
      <c r="F186">
        <v>7</v>
      </c>
      <c r="H186">
        <v>2145</v>
      </c>
      <c r="I186">
        <v>985</v>
      </c>
      <c r="J186">
        <v>2</v>
      </c>
      <c r="M186">
        <v>3139</v>
      </c>
    </row>
    <row r="187" spans="1:13" x14ac:dyDescent="0.15">
      <c r="A187" s="23">
        <v>38718</v>
      </c>
      <c r="B187" s="23">
        <v>39083</v>
      </c>
      <c r="C187" t="s">
        <v>419</v>
      </c>
      <c r="D187" t="s">
        <v>423</v>
      </c>
      <c r="E187">
        <v>82</v>
      </c>
      <c r="F187">
        <v>286</v>
      </c>
      <c r="G187">
        <v>1404</v>
      </c>
      <c r="H187">
        <v>22119</v>
      </c>
      <c r="I187">
        <v>7236</v>
      </c>
      <c r="M187">
        <v>31127</v>
      </c>
    </row>
    <row r="188" spans="1:13" x14ac:dyDescent="0.15">
      <c r="A188" s="23">
        <v>38718</v>
      </c>
      <c r="B188" s="23">
        <v>39083</v>
      </c>
      <c r="C188" t="s">
        <v>419</v>
      </c>
      <c r="D188" t="s">
        <v>424</v>
      </c>
      <c r="E188">
        <v>404</v>
      </c>
      <c r="F188">
        <v>436</v>
      </c>
      <c r="I188">
        <v>13755</v>
      </c>
      <c r="M188">
        <v>14595</v>
      </c>
    </row>
    <row r="189" spans="1:13" hidden="1" x14ac:dyDescent="0.15">
      <c r="A189" s="23">
        <v>38718</v>
      </c>
      <c r="B189" s="23">
        <v>39083</v>
      </c>
      <c r="C189" t="s">
        <v>434</v>
      </c>
      <c r="D189" t="s">
        <v>435</v>
      </c>
      <c r="F189">
        <v>29122</v>
      </c>
      <c r="G189">
        <v>7651</v>
      </c>
      <c r="H189">
        <v>46672</v>
      </c>
      <c r="I189">
        <v>10657</v>
      </c>
      <c r="J189">
        <v>1353</v>
      </c>
      <c r="M189">
        <v>95455</v>
      </c>
    </row>
    <row r="190" spans="1:13" hidden="1" x14ac:dyDescent="0.15">
      <c r="A190" s="23">
        <v>38718</v>
      </c>
      <c r="B190" s="23">
        <v>39083</v>
      </c>
      <c r="C190" t="s">
        <v>434</v>
      </c>
      <c r="D190" t="s">
        <v>436</v>
      </c>
      <c r="E190">
        <v>27270</v>
      </c>
      <c r="F190">
        <v>48877</v>
      </c>
      <c r="G190">
        <v>30220</v>
      </c>
      <c r="H190">
        <v>66</v>
      </c>
      <c r="I190">
        <v>119493</v>
      </c>
      <c r="J190">
        <v>32391</v>
      </c>
      <c r="M190">
        <v>258317</v>
      </c>
    </row>
    <row r="191" spans="1:13" x14ac:dyDescent="0.15">
      <c r="A191" s="23">
        <v>39083</v>
      </c>
      <c r="B191" s="23">
        <v>39448</v>
      </c>
      <c r="C191" t="s">
        <v>419</v>
      </c>
      <c r="D191" t="s">
        <v>420</v>
      </c>
      <c r="E191">
        <v>13445</v>
      </c>
      <c r="F191">
        <v>60986</v>
      </c>
      <c r="G191">
        <v>36707</v>
      </c>
      <c r="H191">
        <v>4852</v>
      </c>
      <c r="I191">
        <v>88229</v>
      </c>
      <c r="J191">
        <v>7828</v>
      </c>
      <c r="L191">
        <v>18178</v>
      </c>
      <c r="M191">
        <v>230225</v>
      </c>
    </row>
    <row r="192" spans="1:13" x14ac:dyDescent="0.15">
      <c r="A192" s="23">
        <v>39083</v>
      </c>
      <c r="B192" s="23">
        <v>39448</v>
      </c>
      <c r="C192" t="s">
        <v>419</v>
      </c>
      <c r="D192" t="s">
        <v>421</v>
      </c>
      <c r="E192">
        <v>13079</v>
      </c>
      <c r="F192">
        <v>20274</v>
      </c>
      <c r="H192">
        <v>18728</v>
      </c>
      <c r="I192">
        <v>27865</v>
      </c>
      <c r="J192">
        <v>26587</v>
      </c>
      <c r="L192">
        <v>163605</v>
      </c>
      <c r="M192">
        <v>270138</v>
      </c>
    </row>
    <row r="193" spans="1:13" x14ac:dyDescent="0.15">
      <c r="A193" s="23">
        <v>39083</v>
      </c>
      <c r="B193" s="23">
        <v>39448</v>
      </c>
      <c r="C193" t="s">
        <v>419</v>
      </c>
      <c r="D193" t="s">
        <v>422</v>
      </c>
      <c r="F193">
        <v>7</v>
      </c>
      <c r="H193">
        <v>1360</v>
      </c>
      <c r="I193">
        <v>776</v>
      </c>
      <c r="J193">
        <v>2</v>
      </c>
      <c r="M193">
        <v>2145</v>
      </c>
    </row>
    <row r="194" spans="1:13" x14ac:dyDescent="0.15">
      <c r="A194" s="23">
        <v>39083</v>
      </c>
      <c r="B194" s="23">
        <v>39448</v>
      </c>
      <c r="C194" t="s">
        <v>419</v>
      </c>
      <c r="D194" t="s">
        <v>423</v>
      </c>
      <c r="E194">
        <v>6</v>
      </c>
      <c r="F194">
        <v>281</v>
      </c>
      <c r="G194">
        <v>2457</v>
      </c>
      <c r="H194">
        <v>23686</v>
      </c>
      <c r="I194">
        <v>7523</v>
      </c>
      <c r="M194">
        <v>33953</v>
      </c>
    </row>
    <row r="195" spans="1:13" x14ac:dyDescent="0.15">
      <c r="A195" s="23">
        <v>39083</v>
      </c>
      <c r="B195" s="23">
        <v>39448</v>
      </c>
      <c r="C195" t="s">
        <v>419</v>
      </c>
      <c r="D195" t="s">
        <v>424</v>
      </c>
      <c r="F195">
        <v>461</v>
      </c>
      <c r="I195">
        <v>13637</v>
      </c>
      <c r="M195">
        <v>14098</v>
      </c>
    </row>
    <row r="196" spans="1:13" hidden="1" x14ac:dyDescent="0.15">
      <c r="A196" s="23">
        <v>39083</v>
      </c>
      <c r="B196" s="23">
        <v>39448</v>
      </c>
      <c r="C196" t="s">
        <v>434</v>
      </c>
      <c r="D196" t="s">
        <v>435</v>
      </c>
      <c r="F196">
        <v>25247</v>
      </c>
      <c r="G196">
        <v>10082</v>
      </c>
      <c r="H196">
        <v>48568</v>
      </c>
      <c r="I196">
        <v>10414</v>
      </c>
      <c r="J196">
        <v>1186</v>
      </c>
      <c r="M196">
        <v>95497</v>
      </c>
    </row>
    <row r="197" spans="1:13" hidden="1" x14ac:dyDescent="0.15">
      <c r="A197" s="23">
        <v>39083</v>
      </c>
      <c r="B197" s="23">
        <v>39448</v>
      </c>
      <c r="C197" t="s">
        <v>434</v>
      </c>
      <c r="D197" t="s">
        <v>436</v>
      </c>
      <c r="E197">
        <v>26530</v>
      </c>
      <c r="F197">
        <v>56762</v>
      </c>
      <c r="G197">
        <v>29082</v>
      </c>
      <c r="H197">
        <v>58</v>
      </c>
      <c r="I197">
        <v>127616</v>
      </c>
      <c r="J197">
        <v>33231</v>
      </c>
      <c r="M197">
        <v>273279</v>
      </c>
    </row>
    <row r="198" spans="1:13" x14ac:dyDescent="0.15">
      <c r="A198" s="23">
        <v>39448</v>
      </c>
      <c r="B198" s="23">
        <v>39814</v>
      </c>
      <c r="C198" t="s">
        <v>419</v>
      </c>
      <c r="D198" t="s">
        <v>420</v>
      </c>
      <c r="E198">
        <v>5580</v>
      </c>
      <c r="F198">
        <v>59780</v>
      </c>
      <c r="G198">
        <v>37214</v>
      </c>
      <c r="H198">
        <v>4831</v>
      </c>
      <c r="I198">
        <v>96107</v>
      </c>
      <c r="J198">
        <v>7382</v>
      </c>
      <c r="L198">
        <v>19404</v>
      </c>
      <c r="M198">
        <v>230298</v>
      </c>
    </row>
    <row r="199" spans="1:13" x14ac:dyDescent="0.15">
      <c r="A199" s="23">
        <v>39448</v>
      </c>
      <c r="B199" s="23">
        <v>39814</v>
      </c>
      <c r="C199" t="s">
        <v>419</v>
      </c>
      <c r="D199" t="s">
        <v>421</v>
      </c>
      <c r="E199">
        <v>19810</v>
      </c>
      <c r="F199">
        <v>24148</v>
      </c>
      <c r="H199">
        <v>25404</v>
      </c>
      <c r="I199">
        <v>24583</v>
      </c>
      <c r="J199">
        <v>26464</v>
      </c>
      <c r="L199">
        <v>174632</v>
      </c>
      <c r="M199">
        <v>295041</v>
      </c>
    </row>
    <row r="200" spans="1:13" x14ac:dyDescent="0.15">
      <c r="A200" s="23">
        <v>39448</v>
      </c>
      <c r="B200" s="23">
        <v>39814</v>
      </c>
      <c r="C200" t="s">
        <v>419</v>
      </c>
      <c r="D200" t="s">
        <v>422</v>
      </c>
      <c r="F200">
        <v>7</v>
      </c>
      <c r="H200">
        <v>76</v>
      </c>
      <c r="I200">
        <v>734</v>
      </c>
      <c r="J200">
        <v>2</v>
      </c>
      <c r="M200">
        <v>819</v>
      </c>
    </row>
    <row r="201" spans="1:13" x14ac:dyDescent="0.15">
      <c r="A201" s="23">
        <v>39448</v>
      </c>
      <c r="B201" s="23">
        <v>39814</v>
      </c>
      <c r="C201" t="s">
        <v>419</v>
      </c>
      <c r="D201" t="s">
        <v>423</v>
      </c>
      <c r="F201">
        <v>298</v>
      </c>
      <c r="G201">
        <v>4282</v>
      </c>
      <c r="H201">
        <v>26156</v>
      </c>
      <c r="I201">
        <v>9642</v>
      </c>
      <c r="M201">
        <v>40378</v>
      </c>
    </row>
    <row r="202" spans="1:13" x14ac:dyDescent="0.15">
      <c r="A202" s="23">
        <v>39448</v>
      </c>
      <c r="B202" s="23">
        <v>39814</v>
      </c>
      <c r="C202" t="s">
        <v>419</v>
      </c>
      <c r="D202" t="s">
        <v>424</v>
      </c>
      <c r="F202">
        <v>462</v>
      </c>
      <c r="I202">
        <v>14728</v>
      </c>
      <c r="M202">
        <v>15190</v>
      </c>
    </row>
    <row r="203" spans="1:13" hidden="1" x14ac:dyDescent="0.15">
      <c r="A203" s="23">
        <v>39448</v>
      </c>
      <c r="B203" s="23">
        <v>39814</v>
      </c>
      <c r="C203" t="s">
        <v>434</v>
      </c>
      <c r="D203" t="s">
        <v>435</v>
      </c>
      <c r="F203">
        <v>27755</v>
      </c>
      <c r="G203">
        <v>12275</v>
      </c>
      <c r="H203">
        <v>56179</v>
      </c>
      <c r="I203">
        <v>10097</v>
      </c>
      <c r="J203">
        <v>1086</v>
      </c>
      <c r="M203">
        <v>107392</v>
      </c>
    </row>
    <row r="204" spans="1:13" hidden="1" x14ac:dyDescent="0.15">
      <c r="A204" s="23">
        <v>39448</v>
      </c>
      <c r="B204" s="23">
        <v>39814</v>
      </c>
      <c r="C204" t="s">
        <v>434</v>
      </c>
      <c r="D204" t="s">
        <v>436</v>
      </c>
      <c r="E204">
        <v>25390</v>
      </c>
      <c r="F204">
        <v>56940</v>
      </c>
      <c r="G204">
        <v>29221</v>
      </c>
      <c r="H204">
        <v>289</v>
      </c>
      <c r="I204">
        <v>135697</v>
      </c>
      <c r="J204">
        <v>32762</v>
      </c>
      <c r="M204">
        <v>280299</v>
      </c>
    </row>
    <row r="205" spans="1:13" x14ac:dyDescent="0.15">
      <c r="A205" s="23">
        <v>39814</v>
      </c>
      <c r="B205" s="23">
        <v>40179</v>
      </c>
      <c r="C205" t="s">
        <v>419</v>
      </c>
      <c r="D205" t="s">
        <v>420</v>
      </c>
      <c r="E205">
        <v>4989</v>
      </c>
      <c r="F205">
        <v>44086</v>
      </c>
      <c r="G205">
        <v>23808</v>
      </c>
      <c r="H205">
        <v>602</v>
      </c>
      <c r="I205">
        <v>92203</v>
      </c>
      <c r="J205">
        <v>11409</v>
      </c>
      <c r="L205">
        <v>19392</v>
      </c>
      <c r="M205">
        <v>196489</v>
      </c>
    </row>
    <row r="206" spans="1:13" x14ac:dyDescent="0.15">
      <c r="A206" s="23">
        <v>39814</v>
      </c>
      <c r="B206" s="23">
        <v>40179</v>
      </c>
      <c r="C206" t="s">
        <v>419</v>
      </c>
      <c r="D206" t="s">
        <v>421</v>
      </c>
      <c r="E206">
        <v>19788</v>
      </c>
      <c r="F206">
        <v>16485</v>
      </c>
      <c r="H206">
        <v>23021</v>
      </c>
      <c r="I206">
        <v>12866</v>
      </c>
      <c r="J206">
        <v>20639</v>
      </c>
      <c r="L206">
        <v>174524</v>
      </c>
      <c r="M206">
        <v>267323</v>
      </c>
    </row>
    <row r="207" spans="1:13" x14ac:dyDescent="0.15">
      <c r="A207" s="23">
        <v>39814</v>
      </c>
      <c r="B207" s="23">
        <v>40179</v>
      </c>
      <c r="C207" t="s">
        <v>419</v>
      </c>
      <c r="D207" t="s">
        <v>422</v>
      </c>
      <c r="F207">
        <v>7</v>
      </c>
      <c r="H207">
        <v>11</v>
      </c>
      <c r="I207">
        <v>373</v>
      </c>
      <c r="J207">
        <v>8</v>
      </c>
      <c r="M207">
        <v>399</v>
      </c>
    </row>
    <row r="208" spans="1:13" x14ac:dyDescent="0.15">
      <c r="A208" s="23">
        <v>39814</v>
      </c>
      <c r="B208" s="23">
        <v>40179</v>
      </c>
      <c r="C208" t="s">
        <v>419</v>
      </c>
      <c r="D208" t="s">
        <v>423</v>
      </c>
      <c r="F208">
        <v>301</v>
      </c>
      <c r="G208">
        <v>5451</v>
      </c>
      <c r="H208">
        <v>31744</v>
      </c>
      <c r="I208">
        <v>5388</v>
      </c>
      <c r="M208">
        <v>42884</v>
      </c>
    </row>
    <row r="209" spans="1:13" x14ac:dyDescent="0.15">
      <c r="A209" s="23">
        <v>39814</v>
      </c>
      <c r="B209" s="23">
        <v>40179</v>
      </c>
      <c r="C209" t="s">
        <v>419</v>
      </c>
      <c r="D209" t="s">
        <v>424</v>
      </c>
      <c r="F209">
        <v>369</v>
      </c>
      <c r="I209">
        <v>10849</v>
      </c>
      <c r="M209">
        <v>11218</v>
      </c>
    </row>
    <row r="210" spans="1:13" hidden="1" x14ac:dyDescent="0.15">
      <c r="A210" s="23">
        <v>39814</v>
      </c>
      <c r="B210" s="23">
        <v>40179</v>
      </c>
      <c r="C210" t="s">
        <v>434</v>
      </c>
      <c r="D210" t="s">
        <v>435</v>
      </c>
      <c r="F210">
        <v>24923</v>
      </c>
      <c r="G210">
        <v>7015</v>
      </c>
      <c r="H210">
        <v>50616</v>
      </c>
      <c r="I210">
        <v>7635</v>
      </c>
      <c r="J210">
        <v>1120</v>
      </c>
      <c r="L210">
        <v>87262</v>
      </c>
      <c r="M210">
        <v>178571</v>
      </c>
    </row>
    <row r="211" spans="1:13" hidden="1" x14ac:dyDescent="0.15">
      <c r="A211" s="23">
        <v>39814</v>
      </c>
      <c r="B211" s="23">
        <v>40179</v>
      </c>
      <c r="C211" t="s">
        <v>434</v>
      </c>
      <c r="D211" t="s">
        <v>436</v>
      </c>
      <c r="E211">
        <v>24777</v>
      </c>
      <c r="F211">
        <v>36325</v>
      </c>
      <c r="G211">
        <v>22244</v>
      </c>
      <c r="H211">
        <v>4762</v>
      </c>
      <c r="I211">
        <v>114044</v>
      </c>
      <c r="J211">
        <v>30937</v>
      </c>
      <c r="L211">
        <v>106654</v>
      </c>
      <c r="M211">
        <v>339742</v>
      </c>
    </row>
    <row r="212" spans="1:13" x14ac:dyDescent="0.15">
      <c r="A212" s="23">
        <v>40179</v>
      </c>
      <c r="B212" s="23">
        <v>40544</v>
      </c>
      <c r="C212" t="s">
        <v>419</v>
      </c>
      <c r="D212" t="s">
        <v>420</v>
      </c>
      <c r="E212">
        <v>9181</v>
      </c>
      <c r="F212">
        <v>50355</v>
      </c>
      <c r="G212">
        <v>29145</v>
      </c>
      <c r="H212">
        <v>4817</v>
      </c>
      <c r="I212">
        <v>97271</v>
      </c>
      <c r="J212">
        <v>5211</v>
      </c>
      <c r="L212">
        <v>24227</v>
      </c>
      <c r="M212">
        <v>220207</v>
      </c>
    </row>
    <row r="213" spans="1:13" x14ac:dyDescent="0.15">
      <c r="A213" s="23">
        <v>40179</v>
      </c>
      <c r="B213" s="23">
        <v>40544</v>
      </c>
      <c r="C213" t="s">
        <v>419</v>
      </c>
      <c r="D213" t="s">
        <v>421</v>
      </c>
      <c r="E213">
        <v>11844</v>
      </c>
      <c r="F213">
        <v>16095</v>
      </c>
      <c r="H213">
        <v>8171</v>
      </c>
      <c r="I213">
        <v>13856</v>
      </c>
      <c r="J213">
        <v>17932</v>
      </c>
      <c r="L213">
        <v>218043</v>
      </c>
      <c r="M213">
        <v>285941</v>
      </c>
    </row>
    <row r="214" spans="1:13" x14ac:dyDescent="0.15">
      <c r="A214" s="23">
        <v>40179</v>
      </c>
      <c r="B214" s="23">
        <v>40544</v>
      </c>
      <c r="C214" t="s">
        <v>419</v>
      </c>
      <c r="D214" t="s">
        <v>422</v>
      </c>
      <c r="F214">
        <v>7</v>
      </c>
      <c r="H214">
        <v>138</v>
      </c>
      <c r="I214">
        <v>238</v>
      </c>
      <c r="J214">
        <v>6</v>
      </c>
      <c r="M214">
        <v>389</v>
      </c>
    </row>
    <row r="215" spans="1:13" x14ac:dyDescent="0.15">
      <c r="A215" s="23">
        <v>40179</v>
      </c>
      <c r="B215" s="23">
        <v>40544</v>
      </c>
      <c r="C215" t="s">
        <v>419</v>
      </c>
      <c r="D215" t="s">
        <v>423</v>
      </c>
      <c r="F215">
        <v>316</v>
      </c>
      <c r="G215">
        <v>5591</v>
      </c>
      <c r="H215">
        <v>15510</v>
      </c>
      <c r="I215">
        <v>5015</v>
      </c>
      <c r="M215">
        <v>26432</v>
      </c>
    </row>
    <row r="216" spans="1:13" x14ac:dyDescent="0.15">
      <c r="A216" s="23">
        <v>40179</v>
      </c>
      <c r="B216" s="23">
        <v>40544</v>
      </c>
      <c r="C216" t="s">
        <v>419</v>
      </c>
      <c r="D216" t="s">
        <v>424</v>
      </c>
      <c r="F216">
        <v>320</v>
      </c>
      <c r="I216">
        <v>10677</v>
      </c>
      <c r="M216">
        <v>10997</v>
      </c>
    </row>
    <row r="217" spans="1:13" hidden="1" x14ac:dyDescent="0.15">
      <c r="A217" s="23">
        <v>40179</v>
      </c>
      <c r="B217" s="23">
        <v>40544</v>
      </c>
      <c r="C217" t="s">
        <v>434</v>
      </c>
      <c r="D217" t="s">
        <v>435</v>
      </c>
      <c r="F217">
        <v>23938</v>
      </c>
      <c r="G217">
        <v>12569</v>
      </c>
      <c r="H217">
        <v>28623</v>
      </c>
      <c r="I217">
        <v>8056</v>
      </c>
      <c r="J217">
        <v>1206</v>
      </c>
      <c r="L217">
        <v>121135</v>
      </c>
      <c r="M217">
        <v>195527</v>
      </c>
    </row>
    <row r="218" spans="1:13" hidden="1" x14ac:dyDescent="0.15">
      <c r="A218" s="23">
        <v>40179</v>
      </c>
      <c r="B218" s="23">
        <v>40544</v>
      </c>
      <c r="C218" t="s">
        <v>434</v>
      </c>
      <c r="D218" t="s">
        <v>436</v>
      </c>
      <c r="E218">
        <v>21025</v>
      </c>
      <c r="F218">
        <v>43155</v>
      </c>
      <c r="G218">
        <v>22167</v>
      </c>
      <c r="H218">
        <v>13</v>
      </c>
      <c r="I218">
        <v>119001</v>
      </c>
      <c r="J218">
        <v>21943</v>
      </c>
      <c r="L218">
        <v>121135</v>
      </c>
      <c r="M218">
        <v>348439</v>
      </c>
    </row>
    <row r="219" spans="1:13" x14ac:dyDescent="0.15">
      <c r="A219" s="23">
        <v>40544</v>
      </c>
      <c r="B219" s="23">
        <v>40909</v>
      </c>
      <c r="C219" t="s">
        <v>419</v>
      </c>
      <c r="D219" t="s">
        <v>420</v>
      </c>
      <c r="E219">
        <v>9851</v>
      </c>
      <c r="F219">
        <v>53030</v>
      </c>
      <c r="G219">
        <v>29102</v>
      </c>
      <c r="H219">
        <v>4731</v>
      </c>
      <c r="I219">
        <v>91537</v>
      </c>
      <c r="J219">
        <v>8166</v>
      </c>
      <c r="L219">
        <v>27926</v>
      </c>
      <c r="M219">
        <v>224343</v>
      </c>
    </row>
    <row r="220" spans="1:13" x14ac:dyDescent="0.15">
      <c r="A220" s="23">
        <v>40544</v>
      </c>
      <c r="B220" s="23">
        <v>40909</v>
      </c>
      <c r="C220" t="s">
        <v>419</v>
      </c>
      <c r="D220" t="s">
        <v>421</v>
      </c>
      <c r="E220">
        <v>11430</v>
      </c>
      <c r="F220">
        <v>15285</v>
      </c>
      <c r="H220">
        <v>14535</v>
      </c>
      <c r="I220">
        <v>10209</v>
      </c>
      <c r="J220">
        <v>26453</v>
      </c>
      <c r="L220">
        <v>251336</v>
      </c>
      <c r="M220">
        <v>329248</v>
      </c>
    </row>
    <row r="221" spans="1:13" x14ac:dyDescent="0.15">
      <c r="A221" s="23">
        <v>40544</v>
      </c>
      <c r="B221" s="23">
        <v>40909</v>
      </c>
      <c r="C221" t="s">
        <v>419</v>
      </c>
      <c r="D221" t="s">
        <v>422</v>
      </c>
      <c r="F221">
        <v>5</v>
      </c>
      <c r="H221">
        <v>7</v>
      </c>
      <c r="I221">
        <v>426</v>
      </c>
      <c r="J221">
        <v>8</v>
      </c>
      <c r="M221">
        <v>446</v>
      </c>
    </row>
    <row r="222" spans="1:13" x14ac:dyDescent="0.15">
      <c r="A222" s="23">
        <v>40544</v>
      </c>
      <c r="B222" s="23">
        <v>40909</v>
      </c>
      <c r="C222" t="s">
        <v>419</v>
      </c>
      <c r="D222" t="s">
        <v>423</v>
      </c>
      <c r="F222">
        <v>449</v>
      </c>
      <c r="G222">
        <v>4924</v>
      </c>
      <c r="H222">
        <v>28263</v>
      </c>
      <c r="I222">
        <v>8549</v>
      </c>
      <c r="M222">
        <v>42185</v>
      </c>
    </row>
    <row r="223" spans="1:13" x14ac:dyDescent="0.15">
      <c r="A223" s="23">
        <v>40544</v>
      </c>
      <c r="B223" s="23">
        <v>40909</v>
      </c>
      <c r="C223" t="s">
        <v>419</v>
      </c>
      <c r="D223" t="s">
        <v>424</v>
      </c>
      <c r="F223">
        <v>831</v>
      </c>
      <c r="I223">
        <v>5380</v>
      </c>
      <c r="M223">
        <v>6211</v>
      </c>
    </row>
    <row r="224" spans="1:13" hidden="1" x14ac:dyDescent="0.15">
      <c r="A224" s="23">
        <v>40544</v>
      </c>
      <c r="B224" s="23">
        <v>40909</v>
      </c>
      <c r="C224" t="s">
        <v>434</v>
      </c>
      <c r="D224" t="s">
        <v>435</v>
      </c>
      <c r="E224">
        <v>1061</v>
      </c>
      <c r="F224">
        <v>24924</v>
      </c>
      <c r="G224">
        <v>11543</v>
      </c>
      <c r="H224">
        <v>47466</v>
      </c>
      <c r="I224">
        <v>9141</v>
      </c>
      <c r="J224">
        <v>1143</v>
      </c>
      <c r="L224">
        <v>139631</v>
      </c>
      <c r="M224">
        <v>234909</v>
      </c>
    </row>
    <row r="225" spans="1:13" hidden="1" x14ac:dyDescent="0.15">
      <c r="A225" s="23">
        <v>40544</v>
      </c>
      <c r="B225" s="23">
        <v>40909</v>
      </c>
      <c r="C225" t="s">
        <v>434</v>
      </c>
      <c r="D225" t="s">
        <v>436</v>
      </c>
      <c r="E225">
        <v>20220</v>
      </c>
      <c r="F225">
        <v>44676</v>
      </c>
      <c r="G225">
        <v>22483</v>
      </c>
      <c r="H225">
        <v>70</v>
      </c>
      <c r="I225">
        <v>106960</v>
      </c>
      <c r="J225">
        <v>33484</v>
      </c>
      <c r="L225">
        <v>139631</v>
      </c>
      <c r="M225">
        <v>367524</v>
      </c>
    </row>
    <row r="226" spans="1:13" x14ac:dyDescent="0.15">
      <c r="A226" s="23">
        <v>40909</v>
      </c>
      <c r="B226" s="23">
        <v>41275</v>
      </c>
      <c r="C226" t="s">
        <v>419</v>
      </c>
      <c r="D226" t="s">
        <v>420</v>
      </c>
      <c r="E226">
        <v>9376</v>
      </c>
      <c r="F226">
        <v>51832</v>
      </c>
      <c r="G226">
        <v>27117</v>
      </c>
      <c r="H226">
        <v>782</v>
      </c>
      <c r="I226">
        <v>100737</v>
      </c>
      <c r="J226">
        <v>7722</v>
      </c>
      <c r="L226">
        <v>32581</v>
      </c>
      <c r="M226">
        <v>230147</v>
      </c>
    </row>
    <row r="227" spans="1:13" x14ac:dyDescent="0.15">
      <c r="A227" s="23">
        <v>40909</v>
      </c>
      <c r="B227" s="23">
        <v>41275</v>
      </c>
      <c r="C227" t="s">
        <v>419</v>
      </c>
      <c r="D227" t="s">
        <v>421</v>
      </c>
      <c r="E227">
        <v>10193</v>
      </c>
      <c r="F227">
        <v>15128</v>
      </c>
      <c r="H227">
        <v>8365</v>
      </c>
      <c r="I227">
        <v>8954</v>
      </c>
      <c r="J227">
        <v>23823</v>
      </c>
      <c r="L227">
        <v>293225</v>
      </c>
      <c r="M227">
        <v>359688</v>
      </c>
    </row>
    <row r="228" spans="1:13" x14ac:dyDescent="0.15">
      <c r="A228" s="23">
        <v>40909</v>
      </c>
      <c r="B228" s="23">
        <v>41275</v>
      </c>
      <c r="C228" t="s">
        <v>419</v>
      </c>
      <c r="D228" t="s">
        <v>422</v>
      </c>
      <c r="F228">
        <v>1</v>
      </c>
      <c r="I228">
        <v>322</v>
      </c>
      <c r="J228">
        <v>15</v>
      </c>
      <c r="K228">
        <v>3</v>
      </c>
      <c r="M228">
        <v>341</v>
      </c>
    </row>
    <row r="229" spans="1:13" x14ac:dyDescent="0.15">
      <c r="A229" s="23">
        <v>40909</v>
      </c>
      <c r="B229" s="23">
        <v>41275</v>
      </c>
      <c r="C229" t="s">
        <v>419</v>
      </c>
      <c r="D229" t="s">
        <v>423</v>
      </c>
      <c r="F229">
        <v>340</v>
      </c>
      <c r="G229">
        <v>4689</v>
      </c>
      <c r="I229">
        <v>4174</v>
      </c>
      <c r="K229">
        <v>37073</v>
      </c>
      <c r="M229">
        <v>46276</v>
      </c>
    </row>
    <row r="230" spans="1:13" x14ac:dyDescent="0.15">
      <c r="A230" s="23">
        <v>40909</v>
      </c>
      <c r="B230" s="23">
        <v>41275</v>
      </c>
      <c r="C230" t="s">
        <v>419</v>
      </c>
      <c r="D230" t="s">
        <v>424</v>
      </c>
      <c r="F230">
        <v>404</v>
      </c>
      <c r="I230">
        <v>9566</v>
      </c>
      <c r="M230">
        <v>9970</v>
      </c>
    </row>
    <row r="231" spans="1:13" hidden="1" x14ac:dyDescent="0.15">
      <c r="A231" s="23">
        <v>40909</v>
      </c>
      <c r="B231" s="23">
        <v>41275</v>
      </c>
      <c r="C231" t="s">
        <v>434</v>
      </c>
      <c r="D231" t="s">
        <v>435</v>
      </c>
      <c r="F231">
        <v>21633</v>
      </c>
      <c r="G231">
        <v>11478</v>
      </c>
      <c r="H231">
        <v>9147</v>
      </c>
      <c r="I231">
        <v>5261</v>
      </c>
      <c r="J231">
        <v>1144</v>
      </c>
      <c r="K231">
        <v>35793</v>
      </c>
      <c r="L231">
        <v>169419</v>
      </c>
      <c r="M231">
        <v>253875</v>
      </c>
    </row>
    <row r="232" spans="1:13" hidden="1" x14ac:dyDescent="0.15">
      <c r="A232" s="23">
        <v>40909</v>
      </c>
      <c r="B232" s="23">
        <v>41275</v>
      </c>
      <c r="C232" t="s">
        <v>434</v>
      </c>
      <c r="D232" t="s">
        <v>436</v>
      </c>
      <c r="E232">
        <v>19569</v>
      </c>
      <c r="F232">
        <v>46072</v>
      </c>
      <c r="G232">
        <v>20328</v>
      </c>
      <c r="I232">
        <v>118492</v>
      </c>
      <c r="J232">
        <v>30416</v>
      </c>
      <c r="K232">
        <v>1283</v>
      </c>
      <c r="L232">
        <v>156386</v>
      </c>
      <c r="M232">
        <v>392546</v>
      </c>
    </row>
    <row r="233" spans="1:13" x14ac:dyDescent="0.15">
      <c r="A233" s="23">
        <v>41275</v>
      </c>
      <c r="B233" s="23">
        <v>41640</v>
      </c>
      <c r="C233" t="s">
        <v>419</v>
      </c>
      <c r="D233" t="s">
        <v>420</v>
      </c>
      <c r="E233">
        <v>9670</v>
      </c>
      <c r="F233">
        <v>54755</v>
      </c>
      <c r="G233">
        <v>21327</v>
      </c>
      <c r="H233">
        <v>584</v>
      </c>
      <c r="I233">
        <v>96604</v>
      </c>
      <c r="J233">
        <v>7701</v>
      </c>
      <c r="L233">
        <v>36458</v>
      </c>
      <c r="M233">
        <v>227099</v>
      </c>
    </row>
    <row r="234" spans="1:13" x14ac:dyDescent="0.15">
      <c r="A234" s="23">
        <v>41275</v>
      </c>
      <c r="B234" s="23">
        <v>41640</v>
      </c>
      <c r="C234" t="s">
        <v>419</v>
      </c>
      <c r="D234" t="s">
        <v>421</v>
      </c>
      <c r="E234">
        <v>13456</v>
      </c>
      <c r="F234">
        <v>9622</v>
      </c>
      <c r="G234">
        <v>51</v>
      </c>
      <c r="H234">
        <v>13042</v>
      </c>
      <c r="I234">
        <v>7185</v>
      </c>
      <c r="J234">
        <v>15233</v>
      </c>
      <c r="L234">
        <v>328119</v>
      </c>
      <c r="M234">
        <v>386708</v>
      </c>
    </row>
    <row r="235" spans="1:13" x14ac:dyDescent="0.15">
      <c r="A235" s="23">
        <v>41275</v>
      </c>
      <c r="B235" s="23">
        <v>41640</v>
      </c>
      <c r="C235" t="s">
        <v>419</v>
      </c>
      <c r="D235" t="s">
        <v>422</v>
      </c>
      <c r="F235">
        <v>2</v>
      </c>
      <c r="G235">
        <v>309</v>
      </c>
      <c r="I235">
        <v>155</v>
      </c>
      <c r="J235">
        <v>16</v>
      </c>
      <c r="K235">
        <v>6</v>
      </c>
      <c r="M235">
        <v>488</v>
      </c>
    </row>
    <row r="236" spans="1:13" x14ac:dyDescent="0.15">
      <c r="A236" s="23">
        <v>41275</v>
      </c>
      <c r="B236" s="23">
        <v>41640</v>
      </c>
      <c r="C236" t="s">
        <v>419</v>
      </c>
      <c r="D236" t="s">
        <v>423</v>
      </c>
      <c r="F236">
        <v>2784</v>
      </c>
      <c r="G236">
        <v>5603</v>
      </c>
      <c r="I236">
        <v>3624</v>
      </c>
      <c r="K236">
        <v>38832</v>
      </c>
      <c r="M236">
        <v>50843</v>
      </c>
    </row>
    <row r="237" spans="1:13" x14ac:dyDescent="0.15">
      <c r="A237" s="23">
        <v>41275</v>
      </c>
      <c r="B237" s="23">
        <v>41640</v>
      </c>
      <c r="C237" t="s">
        <v>419</v>
      </c>
      <c r="D237" t="s">
        <v>424</v>
      </c>
      <c r="F237">
        <v>368</v>
      </c>
      <c r="G237">
        <v>101</v>
      </c>
      <c r="I237">
        <v>7908</v>
      </c>
      <c r="M237">
        <v>8377</v>
      </c>
    </row>
    <row r="238" spans="1:13" hidden="1" x14ac:dyDescent="0.15">
      <c r="A238" s="23">
        <v>41275</v>
      </c>
      <c r="B238" s="23">
        <v>41640</v>
      </c>
      <c r="C238" t="s">
        <v>434</v>
      </c>
      <c r="D238" t="s">
        <v>435</v>
      </c>
      <c r="F238">
        <v>24057</v>
      </c>
      <c r="G238">
        <v>9693</v>
      </c>
      <c r="H238">
        <v>13599</v>
      </c>
      <c r="I238">
        <v>4678</v>
      </c>
      <c r="J238">
        <v>981</v>
      </c>
      <c r="K238">
        <v>38780</v>
      </c>
      <c r="L238">
        <v>171351</v>
      </c>
      <c r="M238">
        <v>263139</v>
      </c>
    </row>
    <row r="239" spans="1:13" hidden="1" x14ac:dyDescent="0.15">
      <c r="A239" s="23">
        <v>41275</v>
      </c>
      <c r="B239" s="23">
        <v>41640</v>
      </c>
      <c r="C239" t="s">
        <v>434</v>
      </c>
      <c r="D239" t="s">
        <v>436</v>
      </c>
      <c r="E239">
        <v>23126</v>
      </c>
      <c r="F239">
        <v>43474</v>
      </c>
      <c r="G239">
        <v>17698</v>
      </c>
      <c r="H239">
        <v>27</v>
      </c>
      <c r="I239">
        <v>110798</v>
      </c>
      <c r="J239">
        <v>21969</v>
      </c>
      <c r="K239">
        <v>58</v>
      </c>
      <c r="L239">
        <v>193226</v>
      </c>
      <c r="M239">
        <v>410376</v>
      </c>
    </row>
    <row r="240" spans="1:13" x14ac:dyDescent="0.15">
      <c r="A240" s="23">
        <v>41640</v>
      </c>
      <c r="B240" s="23">
        <v>42005</v>
      </c>
      <c r="C240" t="s">
        <v>419</v>
      </c>
      <c r="D240" t="s">
        <v>420</v>
      </c>
      <c r="E240">
        <v>10243</v>
      </c>
      <c r="F240">
        <v>47646</v>
      </c>
      <c r="G240">
        <v>14888</v>
      </c>
      <c r="H240">
        <v>546</v>
      </c>
      <c r="I240">
        <v>95382</v>
      </c>
      <c r="J240">
        <v>7766</v>
      </c>
      <c r="L240">
        <v>38500</v>
      </c>
      <c r="M240">
        <v>214971</v>
      </c>
    </row>
    <row r="241" spans="1:13" x14ac:dyDescent="0.15">
      <c r="A241" s="23">
        <v>41640</v>
      </c>
      <c r="B241" s="23">
        <v>42005</v>
      </c>
      <c r="C241" t="s">
        <v>419</v>
      </c>
      <c r="D241" t="s">
        <v>421</v>
      </c>
      <c r="E241">
        <v>10218</v>
      </c>
      <c r="F241">
        <v>8621</v>
      </c>
      <c r="G241">
        <v>52</v>
      </c>
      <c r="H241">
        <v>15797</v>
      </c>
      <c r="I241">
        <v>6852</v>
      </c>
      <c r="J241">
        <v>22318</v>
      </c>
      <c r="L241">
        <v>346498</v>
      </c>
      <c r="M241">
        <v>410356</v>
      </c>
    </row>
    <row r="242" spans="1:13" x14ac:dyDescent="0.15">
      <c r="A242" s="23">
        <v>41640</v>
      </c>
      <c r="B242" s="23">
        <v>42005</v>
      </c>
      <c r="C242" t="s">
        <v>419</v>
      </c>
      <c r="D242" t="s">
        <v>422</v>
      </c>
      <c r="F242">
        <v>277</v>
      </c>
      <c r="G242">
        <v>316</v>
      </c>
      <c r="I242">
        <v>335</v>
      </c>
      <c r="K242">
        <v>28</v>
      </c>
      <c r="M242">
        <v>956</v>
      </c>
    </row>
    <row r="243" spans="1:13" x14ac:dyDescent="0.15">
      <c r="A243" s="23">
        <v>41640</v>
      </c>
      <c r="B243" s="23">
        <v>42005</v>
      </c>
      <c r="C243" t="s">
        <v>419</v>
      </c>
      <c r="D243" t="s">
        <v>423</v>
      </c>
      <c r="F243">
        <v>578</v>
      </c>
      <c r="G243">
        <v>5720</v>
      </c>
      <c r="I243">
        <v>2810</v>
      </c>
      <c r="K243">
        <v>57640</v>
      </c>
      <c r="M243">
        <v>66748</v>
      </c>
    </row>
    <row r="244" spans="1:13" x14ac:dyDescent="0.15">
      <c r="A244" s="23">
        <v>41640</v>
      </c>
      <c r="B244" s="23">
        <v>42005</v>
      </c>
      <c r="C244" t="s">
        <v>419</v>
      </c>
      <c r="D244" t="s">
        <v>424</v>
      </c>
      <c r="F244">
        <v>7</v>
      </c>
      <c r="G244">
        <v>103</v>
      </c>
      <c r="I244">
        <v>7900</v>
      </c>
      <c r="M244">
        <v>8010</v>
      </c>
    </row>
    <row r="245" spans="1:13" hidden="1" x14ac:dyDescent="0.15">
      <c r="A245" s="23">
        <v>41640</v>
      </c>
      <c r="B245" s="23">
        <v>42005</v>
      </c>
      <c r="C245" t="s">
        <v>434</v>
      </c>
      <c r="D245" t="s">
        <v>435</v>
      </c>
      <c r="F245">
        <v>22107</v>
      </c>
      <c r="G245">
        <v>6934</v>
      </c>
      <c r="H245">
        <v>16108</v>
      </c>
      <c r="I245">
        <v>9622</v>
      </c>
      <c r="J245">
        <v>683</v>
      </c>
      <c r="K245">
        <v>57365</v>
      </c>
      <c r="L245">
        <v>242549</v>
      </c>
      <c r="M245">
        <v>355368</v>
      </c>
    </row>
    <row r="246" spans="1:13" hidden="1" x14ac:dyDescent="0.15">
      <c r="A246" s="23">
        <v>41640</v>
      </c>
      <c r="B246" s="23">
        <v>42005</v>
      </c>
      <c r="C246" t="s">
        <v>434</v>
      </c>
      <c r="D246" t="s">
        <v>436</v>
      </c>
      <c r="E246">
        <v>20461</v>
      </c>
      <c r="F246">
        <v>35022</v>
      </c>
      <c r="G246">
        <v>14145</v>
      </c>
      <c r="H246">
        <v>235</v>
      </c>
      <c r="I246">
        <v>103657</v>
      </c>
      <c r="J246">
        <v>29401</v>
      </c>
      <c r="K246">
        <v>303</v>
      </c>
      <c r="L246">
        <v>142449</v>
      </c>
      <c r="M246">
        <v>345673</v>
      </c>
    </row>
    <row r="247" spans="1:13" x14ac:dyDescent="0.15">
      <c r="A247" s="23">
        <v>42005</v>
      </c>
      <c r="B247" s="23">
        <v>42370</v>
      </c>
      <c r="C247" t="s">
        <v>419</v>
      </c>
      <c r="D247" t="s">
        <v>420</v>
      </c>
      <c r="E247">
        <v>13178</v>
      </c>
      <c r="F247">
        <v>49543</v>
      </c>
      <c r="G247">
        <v>14789</v>
      </c>
      <c r="H247">
        <v>4767</v>
      </c>
      <c r="I247">
        <v>101184</v>
      </c>
      <c r="J247">
        <v>7920</v>
      </c>
      <c r="L247">
        <v>42745</v>
      </c>
      <c r="M247">
        <v>234126</v>
      </c>
    </row>
    <row r="248" spans="1:13" x14ac:dyDescent="0.15">
      <c r="A248" s="23">
        <v>42005</v>
      </c>
      <c r="B248" s="23">
        <v>42370</v>
      </c>
      <c r="C248" t="s">
        <v>419</v>
      </c>
      <c r="D248" t="s">
        <v>421</v>
      </c>
      <c r="E248">
        <v>10110</v>
      </c>
      <c r="F248">
        <v>16284</v>
      </c>
      <c r="G248">
        <v>51</v>
      </c>
      <c r="H248">
        <v>28122</v>
      </c>
      <c r="I248">
        <v>7088</v>
      </c>
      <c r="J248">
        <v>21158</v>
      </c>
      <c r="L248">
        <v>384702</v>
      </c>
      <c r="M248">
        <v>467515</v>
      </c>
    </row>
    <row r="249" spans="1:13" x14ac:dyDescent="0.15">
      <c r="A249" s="23">
        <v>42005</v>
      </c>
      <c r="B249" s="23">
        <v>42370</v>
      </c>
      <c r="C249" t="s">
        <v>419</v>
      </c>
      <c r="D249" t="s">
        <v>422</v>
      </c>
      <c r="F249">
        <v>1</v>
      </c>
      <c r="G249">
        <v>306</v>
      </c>
      <c r="I249">
        <v>252</v>
      </c>
      <c r="K249">
        <v>7</v>
      </c>
      <c r="M249">
        <v>566</v>
      </c>
    </row>
    <row r="250" spans="1:13" x14ac:dyDescent="0.15">
      <c r="A250" s="23">
        <v>42005</v>
      </c>
      <c r="B250" s="23">
        <v>42370</v>
      </c>
      <c r="C250" t="s">
        <v>419</v>
      </c>
      <c r="D250" t="s">
        <v>423</v>
      </c>
      <c r="F250">
        <v>582</v>
      </c>
      <c r="G250">
        <v>5553</v>
      </c>
      <c r="I250">
        <v>3055</v>
      </c>
      <c r="K250">
        <v>63268</v>
      </c>
      <c r="M250">
        <v>72458</v>
      </c>
    </row>
    <row r="251" spans="1:13" x14ac:dyDescent="0.15">
      <c r="A251" s="23">
        <v>42005</v>
      </c>
      <c r="B251" s="23">
        <v>42370</v>
      </c>
      <c r="C251" t="s">
        <v>419</v>
      </c>
      <c r="D251" t="s">
        <v>424</v>
      </c>
      <c r="F251">
        <v>648</v>
      </c>
      <c r="G251">
        <v>96</v>
      </c>
      <c r="I251">
        <v>11327</v>
      </c>
      <c r="M251">
        <v>12071</v>
      </c>
    </row>
    <row r="252" spans="1:13" hidden="1" x14ac:dyDescent="0.15">
      <c r="A252" s="23">
        <v>42005</v>
      </c>
      <c r="B252" s="23">
        <v>42370</v>
      </c>
      <c r="C252" t="s">
        <v>434</v>
      </c>
      <c r="D252" t="s">
        <v>435</v>
      </c>
      <c r="F252">
        <v>23573</v>
      </c>
      <c r="G252">
        <v>5785</v>
      </c>
      <c r="H252">
        <v>32758</v>
      </c>
      <c r="I252">
        <v>2349</v>
      </c>
      <c r="K252">
        <v>57823</v>
      </c>
      <c r="L252">
        <v>290664</v>
      </c>
      <c r="M252">
        <v>412952</v>
      </c>
    </row>
    <row r="253" spans="1:13" hidden="1" x14ac:dyDescent="0.15">
      <c r="A253" s="23">
        <v>42005</v>
      </c>
      <c r="B253" s="23">
        <v>42370</v>
      </c>
      <c r="C253" t="s">
        <v>434</v>
      </c>
      <c r="D253" t="s">
        <v>436</v>
      </c>
      <c r="E253">
        <v>23288</v>
      </c>
      <c r="F253">
        <v>43485</v>
      </c>
      <c r="G253">
        <v>15011</v>
      </c>
      <c r="H253">
        <v>131</v>
      </c>
      <c r="I253">
        <v>120557</v>
      </c>
      <c r="J253">
        <v>29078</v>
      </c>
      <c r="K253">
        <v>5452</v>
      </c>
      <c r="L253">
        <v>136783</v>
      </c>
      <c r="M253">
        <v>373785</v>
      </c>
    </row>
    <row r="254" spans="1:13" x14ac:dyDescent="0.15">
      <c r="A254" s="23">
        <v>42370</v>
      </c>
      <c r="B254" s="23">
        <v>42736</v>
      </c>
      <c r="C254" t="s">
        <v>419</v>
      </c>
      <c r="D254" t="s">
        <v>420</v>
      </c>
      <c r="E254">
        <v>14410</v>
      </c>
      <c r="F254">
        <v>45534</v>
      </c>
      <c r="G254">
        <v>15827</v>
      </c>
      <c r="H254">
        <v>5065</v>
      </c>
      <c r="I254">
        <v>87406</v>
      </c>
      <c r="J254">
        <v>7864</v>
      </c>
      <c r="L254">
        <v>44389</v>
      </c>
      <c r="M254">
        <v>220495</v>
      </c>
    </row>
    <row r="255" spans="1:13" x14ac:dyDescent="0.15">
      <c r="A255" s="23">
        <v>42370</v>
      </c>
      <c r="B255" s="23">
        <v>42736</v>
      </c>
      <c r="C255" t="s">
        <v>419</v>
      </c>
      <c r="D255" t="s">
        <v>421</v>
      </c>
      <c r="E255">
        <v>10140</v>
      </c>
      <c r="F255">
        <v>9791</v>
      </c>
      <c r="G255">
        <v>56</v>
      </c>
      <c r="H255">
        <v>45514</v>
      </c>
      <c r="I255">
        <v>11333</v>
      </c>
      <c r="J255">
        <v>20802</v>
      </c>
      <c r="L255">
        <v>399497</v>
      </c>
      <c r="M255">
        <v>497133</v>
      </c>
    </row>
    <row r="256" spans="1:13" x14ac:dyDescent="0.15">
      <c r="A256" s="23">
        <v>42370</v>
      </c>
      <c r="B256" s="23">
        <v>42736</v>
      </c>
      <c r="C256" t="s">
        <v>419</v>
      </c>
      <c r="D256" t="s">
        <v>422</v>
      </c>
      <c r="F256">
        <v>3</v>
      </c>
      <c r="G256">
        <v>271</v>
      </c>
      <c r="I256">
        <v>228</v>
      </c>
      <c r="K256">
        <v>7</v>
      </c>
      <c r="M256">
        <v>509</v>
      </c>
    </row>
    <row r="257" spans="1:13" x14ac:dyDescent="0.15">
      <c r="A257" s="23">
        <v>42370</v>
      </c>
      <c r="B257" s="23">
        <v>42736</v>
      </c>
      <c r="C257" t="s">
        <v>419</v>
      </c>
      <c r="D257" t="s">
        <v>423</v>
      </c>
      <c r="F257">
        <v>1564</v>
      </c>
      <c r="G257">
        <v>5300</v>
      </c>
      <c r="I257">
        <v>3105</v>
      </c>
      <c r="J257">
        <v>164</v>
      </c>
      <c r="K257">
        <v>66618</v>
      </c>
      <c r="M257">
        <v>76751</v>
      </c>
    </row>
    <row r="258" spans="1:13" x14ac:dyDescent="0.15">
      <c r="A258" s="23">
        <v>42370</v>
      </c>
      <c r="B258" s="23">
        <v>42736</v>
      </c>
      <c r="C258" t="s">
        <v>419</v>
      </c>
      <c r="D258" t="s">
        <v>424</v>
      </c>
      <c r="F258">
        <v>233</v>
      </c>
      <c r="G258">
        <v>80</v>
      </c>
      <c r="I258">
        <v>11472</v>
      </c>
      <c r="M258">
        <v>11785</v>
      </c>
    </row>
    <row r="259" spans="1:13" x14ac:dyDescent="0.15">
      <c r="A259" s="23">
        <v>42370</v>
      </c>
      <c r="B259" s="23">
        <v>42736</v>
      </c>
      <c r="C259" t="s">
        <v>419</v>
      </c>
      <c r="D259" t="s">
        <v>425</v>
      </c>
      <c r="F259">
        <v>938</v>
      </c>
      <c r="G259">
        <v>10</v>
      </c>
      <c r="I259">
        <v>6971</v>
      </c>
      <c r="J259">
        <v>41</v>
      </c>
      <c r="M259">
        <v>7960</v>
      </c>
    </row>
    <row r="260" spans="1:13" x14ac:dyDescent="0.15">
      <c r="A260" s="23">
        <v>42370</v>
      </c>
      <c r="B260" s="23">
        <v>42736</v>
      </c>
      <c r="C260" t="s">
        <v>419</v>
      </c>
      <c r="D260" t="s">
        <v>426</v>
      </c>
      <c r="F260">
        <v>30</v>
      </c>
      <c r="G260">
        <v>39</v>
      </c>
      <c r="I260">
        <v>115</v>
      </c>
      <c r="M260">
        <v>184</v>
      </c>
    </row>
    <row r="261" spans="1:13" hidden="1" x14ac:dyDescent="0.15">
      <c r="A261" s="23">
        <v>42370</v>
      </c>
      <c r="B261" s="23">
        <v>42736</v>
      </c>
      <c r="C261" t="s">
        <v>434</v>
      </c>
      <c r="D261" t="s">
        <v>435</v>
      </c>
      <c r="F261">
        <v>23615</v>
      </c>
      <c r="G261">
        <v>10131</v>
      </c>
      <c r="H261">
        <v>49164</v>
      </c>
      <c r="I261">
        <v>4262</v>
      </c>
      <c r="K261">
        <v>60830</v>
      </c>
      <c r="L261">
        <v>310720</v>
      </c>
      <c r="M261">
        <v>458722</v>
      </c>
    </row>
    <row r="262" spans="1:13" hidden="1" x14ac:dyDescent="0.15">
      <c r="A262" s="23">
        <v>42370</v>
      </c>
      <c r="B262" s="23">
        <v>42736</v>
      </c>
      <c r="C262" t="s">
        <v>434</v>
      </c>
      <c r="D262" t="s">
        <v>436</v>
      </c>
      <c r="E262">
        <v>24550</v>
      </c>
      <c r="F262">
        <v>34478</v>
      </c>
      <c r="G262">
        <v>11452</v>
      </c>
      <c r="H262">
        <v>1415</v>
      </c>
      <c r="I262">
        <v>116368</v>
      </c>
      <c r="J262">
        <v>28871</v>
      </c>
      <c r="K262">
        <v>5795</v>
      </c>
      <c r="L262">
        <v>133166</v>
      </c>
      <c r="M262">
        <v>356095</v>
      </c>
    </row>
    <row r="263" spans="1:13" x14ac:dyDescent="0.15">
      <c r="A263" s="23">
        <v>42736</v>
      </c>
      <c r="B263" s="23">
        <v>43101</v>
      </c>
      <c r="C263" t="s">
        <v>419</v>
      </c>
      <c r="D263" t="s">
        <v>420</v>
      </c>
      <c r="E263">
        <v>12534</v>
      </c>
      <c r="F263">
        <v>49444</v>
      </c>
      <c r="G263">
        <v>19639</v>
      </c>
      <c r="H263">
        <v>4289</v>
      </c>
      <c r="I263">
        <v>73366</v>
      </c>
      <c r="J263">
        <v>7861</v>
      </c>
      <c r="L263">
        <v>48755</v>
      </c>
      <c r="M263">
        <v>215888</v>
      </c>
    </row>
    <row r="264" spans="1:13" x14ac:dyDescent="0.15">
      <c r="A264" s="23">
        <v>42736</v>
      </c>
      <c r="B264" s="23">
        <v>43101</v>
      </c>
      <c r="C264" t="s">
        <v>419</v>
      </c>
      <c r="D264" t="s">
        <v>421</v>
      </c>
      <c r="E264">
        <v>10208</v>
      </c>
      <c r="F264">
        <v>6092</v>
      </c>
      <c r="H264">
        <v>47768</v>
      </c>
      <c r="I264">
        <v>7115</v>
      </c>
      <c r="J264">
        <v>18206</v>
      </c>
      <c r="L264">
        <v>438799</v>
      </c>
      <c r="M264">
        <v>528188</v>
      </c>
    </row>
    <row r="265" spans="1:13" x14ac:dyDescent="0.15">
      <c r="A265" s="23">
        <v>42736</v>
      </c>
      <c r="B265" s="23">
        <v>43101</v>
      </c>
      <c r="C265" t="s">
        <v>419</v>
      </c>
      <c r="D265" t="s">
        <v>422</v>
      </c>
      <c r="F265">
        <v>7</v>
      </c>
      <c r="H265">
        <v>7</v>
      </c>
      <c r="I265">
        <v>180</v>
      </c>
      <c r="K265">
        <v>19</v>
      </c>
      <c r="M265">
        <v>213</v>
      </c>
    </row>
    <row r="266" spans="1:13" x14ac:dyDescent="0.15">
      <c r="A266" s="23">
        <v>42736</v>
      </c>
      <c r="B266" s="23">
        <v>43101</v>
      </c>
      <c r="C266" t="s">
        <v>419</v>
      </c>
      <c r="D266" t="s">
        <v>423</v>
      </c>
      <c r="F266">
        <v>1564</v>
      </c>
      <c r="G266">
        <v>4086</v>
      </c>
      <c r="I266">
        <v>2157</v>
      </c>
      <c r="J266">
        <v>122</v>
      </c>
      <c r="K266">
        <v>73377</v>
      </c>
      <c r="M266">
        <v>81306</v>
      </c>
    </row>
    <row r="267" spans="1:13" x14ac:dyDescent="0.15">
      <c r="A267" s="23">
        <v>42736</v>
      </c>
      <c r="B267" s="23">
        <v>43101</v>
      </c>
      <c r="C267" t="s">
        <v>419</v>
      </c>
      <c r="D267" t="s">
        <v>424</v>
      </c>
      <c r="F267">
        <v>180</v>
      </c>
      <c r="I267">
        <v>11297</v>
      </c>
      <c r="M267">
        <v>11477</v>
      </c>
    </row>
    <row r="268" spans="1:13" x14ac:dyDescent="0.15">
      <c r="A268" s="23">
        <v>42736</v>
      </c>
      <c r="B268" s="23">
        <v>43101</v>
      </c>
      <c r="C268" t="s">
        <v>419</v>
      </c>
      <c r="D268" t="s">
        <v>425</v>
      </c>
      <c r="F268">
        <v>776</v>
      </c>
      <c r="I268">
        <v>23141</v>
      </c>
      <c r="J268">
        <v>505</v>
      </c>
      <c r="M268">
        <v>24422</v>
      </c>
    </row>
    <row r="269" spans="1:13" x14ac:dyDescent="0.15">
      <c r="A269" s="23">
        <v>42736</v>
      </c>
      <c r="B269" s="23">
        <v>43101</v>
      </c>
      <c r="C269" t="s">
        <v>419</v>
      </c>
      <c r="D269" t="s">
        <v>426</v>
      </c>
      <c r="F269">
        <v>194</v>
      </c>
      <c r="I269">
        <v>1646</v>
      </c>
      <c r="M269">
        <v>1840</v>
      </c>
    </row>
    <row r="270" spans="1:13" hidden="1" x14ac:dyDescent="0.15">
      <c r="A270" s="23">
        <v>42736</v>
      </c>
      <c r="B270" s="23">
        <v>43101</v>
      </c>
      <c r="C270" t="s">
        <v>434</v>
      </c>
      <c r="D270" t="s">
        <v>435</v>
      </c>
      <c r="F270">
        <v>24140</v>
      </c>
      <c r="G270">
        <v>9539</v>
      </c>
      <c r="H270">
        <v>50922</v>
      </c>
      <c r="I270">
        <v>4033</v>
      </c>
      <c r="K270">
        <v>61788</v>
      </c>
      <c r="L270">
        <v>355914</v>
      </c>
      <c r="M270">
        <v>506336</v>
      </c>
    </row>
    <row r="271" spans="1:13" hidden="1" x14ac:dyDescent="0.15">
      <c r="A271" s="23">
        <v>42736</v>
      </c>
      <c r="B271" s="23">
        <v>43101</v>
      </c>
      <c r="C271" t="s">
        <v>434</v>
      </c>
      <c r="D271" t="s">
        <v>436</v>
      </c>
      <c r="E271">
        <v>22742</v>
      </c>
      <c r="F271">
        <v>34117</v>
      </c>
      <c r="G271">
        <v>14186</v>
      </c>
      <c r="H271">
        <v>1142</v>
      </c>
      <c r="I271">
        <v>114869</v>
      </c>
      <c r="J271">
        <v>26694</v>
      </c>
      <c r="K271">
        <v>11608</v>
      </c>
      <c r="L271">
        <v>131640</v>
      </c>
      <c r="M271">
        <v>356998</v>
      </c>
    </row>
    <row r="272" spans="1:13" x14ac:dyDescent="0.15">
      <c r="A272" s="23">
        <v>43101</v>
      </c>
      <c r="B272" s="23">
        <v>43466</v>
      </c>
      <c r="C272" t="s">
        <v>419</v>
      </c>
      <c r="D272" t="s">
        <v>420</v>
      </c>
      <c r="E272">
        <v>12090</v>
      </c>
      <c r="F272">
        <v>46251</v>
      </c>
      <c r="G272">
        <v>14340</v>
      </c>
      <c r="H272">
        <v>4796</v>
      </c>
      <c r="I272">
        <v>92187</v>
      </c>
      <c r="J272">
        <v>7971</v>
      </c>
      <c r="L272">
        <v>35113</v>
      </c>
      <c r="M272">
        <v>212748</v>
      </c>
    </row>
    <row r="273" spans="1:13" x14ac:dyDescent="0.15">
      <c r="A273" s="23">
        <v>43101</v>
      </c>
      <c r="B273" s="23">
        <v>43466</v>
      </c>
      <c r="C273" t="s">
        <v>419</v>
      </c>
      <c r="D273" t="s">
        <v>421</v>
      </c>
      <c r="E273">
        <v>11735</v>
      </c>
      <c r="F273">
        <v>7513</v>
      </c>
      <c r="H273">
        <v>39432</v>
      </c>
      <c r="I273">
        <v>8010</v>
      </c>
      <c r="J273">
        <v>19225</v>
      </c>
      <c r="L273">
        <v>439659</v>
      </c>
      <c r="M273">
        <v>525574</v>
      </c>
    </row>
    <row r="274" spans="1:13" x14ac:dyDescent="0.15">
      <c r="A274" s="23">
        <v>43101</v>
      </c>
      <c r="B274" s="23">
        <v>43466</v>
      </c>
      <c r="C274" t="s">
        <v>419</v>
      </c>
      <c r="D274" t="s">
        <v>422</v>
      </c>
      <c r="F274">
        <v>6</v>
      </c>
      <c r="H274">
        <v>5</v>
      </c>
      <c r="I274">
        <v>176</v>
      </c>
      <c r="K274">
        <v>5</v>
      </c>
      <c r="M274">
        <v>192</v>
      </c>
    </row>
    <row r="275" spans="1:13" x14ac:dyDescent="0.15">
      <c r="A275" s="23">
        <v>43101</v>
      </c>
      <c r="B275" s="23">
        <v>43466</v>
      </c>
      <c r="C275" t="s">
        <v>419</v>
      </c>
      <c r="D275" t="s">
        <v>423</v>
      </c>
      <c r="F275">
        <v>1639</v>
      </c>
      <c r="G275">
        <v>4312</v>
      </c>
      <c r="I275">
        <v>2326</v>
      </c>
      <c r="J275">
        <v>193</v>
      </c>
      <c r="K275">
        <v>79954</v>
      </c>
      <c r="M275">
        <v>88424</v>
      </c>
    </row>
    <row r="276" spans="1:13" x14ac:dyDescent="0.15">
      <c r="A276" s="23">
        <v>43101</v>
      </c>
      <c r="B276" s="23">
        <v>43466</v>
      </c>
      <c r="C276" t="s">
        <v>419</v>
      </c>
      <c r="D276" t="s">
        <v>424</v>
      </c>
      <c r="F276">
        <v>182</v>
      </c>
      <c r="I276">
        <v>11222</v>
      </c>
      <c r="L276">
        <v>5440</v>
      </c>
      <c r="M276">
        <v>16844</v>
      </c>
    </row>
    <row r="277" spans="1:13" x14ac:dyDescent="0.15">
      <c r="A277" s="23">
        <v>43101</v>
      </c>
      <c r="B277" s="23">
        <v>43466</v>
      </c>
      <c r="C277" t="s">
        <v>419</v>
      </c>
      <c r="D277" t="s">
        <v>425</v>
      </c>
      <c r="F277">
        <v>644</v>
      </c>
      <c r="H277">
        <v>12</v>
      </c>
      <c r="I277">
        <v>6822</v>
      </c>
      <c r="J277">
        <v>480</v>
      </c>
      <c r="L277">
        <v>14342</v>
      </c>
      <c r="M277">
        <v>22300</v>
      </c>
    </row>
    <row r="278" spans="1:13" x14ac:dyDescent="0.15">
      <c r="A278" s="23">
        <v>43101</v>
      </c>
      <c r="B278" s="23">
        <v>43466</v>
      </c>
      <c r="C278" t="s">
        <v>419</v>
      </c>
      <c r="D278" t="s">
        <v>426</v>
      </c>
      <c r="E278">
        <v>20</v>
      </c>
      <c r="F278">
        <v>161</v>
      </c>
      <c r="I278">
        <v>1494</v>
      </c>
      <c r="M278">
        <v>1675</v>
      </c>
    </row>
    <row r="279" spans="1:13" hidden="1" x14ac:dyDescent="0.15">
      <c r="A279" s="23">
        <v>43101</v>
      </c>
      <c r="B279" s="23">
        <v>43466</v>
      </c>
      <c r="C279" t="s">
        <v>434</v>
      </c>
      <c r="D279" t="s">
        <v>435</v>
      </c>
      <c r="F279">
        <v>26293</v>
      </c>
      <c r="G279">
        <v>9997</v>
      </c>
      <c r="H279">
        <v>42794</v>
      </c>
      <c r="I279">
        <v>3913</v>
      </c>
      <c r="K279">
        <v>67593</v>
      </c>
      <c r="L279">
        <v>330857</v>
      </c>
      <c r="M279">
        <v>481447</v>
      </c>
    </row>
    <row r="280" spans="1:13" hidden="1" x14ac:dyDescent="0.15">
      <c r="A280" s="23">
        <v>43101</v>
      </c>
      <c r="B280" s="23">
        <v>43466</v>
      </c>
      <c r="C280" t="s">
        <v>434</v>
      </c>
      <c r="D280" t="s">
        <v>436</v>
      </c>
      <c r="E280">
        <v>23845</v>
      </c>
      <c r="F280">
        <v>30103</v>
      </c>
      <c r="G280">
        <v>8655</v>
      </c>
      <c r="H280">
        <v>1451</v>
      </c>
      <c r="I280">
        <v>118324</v>
      </c>
      <c r="J280">
        <v>27869</v>
      </c>
      <c r="K280">
        <v>12366</v>
      </c>
      <c r="L280">
        <v>163697</v>
      </c>
      <c r="M280">
        <v>386310</v>
      </c>
    </row>
    <row r="281" spans="1:13" x14ac:dyDescent="0.15">
      <c r="A281" s="23">
        <v>43466</v>
      </c>
      <c r="B281" s="23">
        <v>43831</v>
      </c>
      <c r="C281" t="s">
        <v>419</v>
      </c>
      <c r="D281" t="s">
        <v>420</v>
      </c>
      <c r="E281">
        <v>11651</v>
      </c>
      <c r="F281">
        <v>45169</v>
      </c>
      <c r="G281">
        <v>13492</v>
      </c>
      <c r="H281">
        <v>1264</v>
      </c>
      <c r="I281">
        <v>93055</v>
      </c>
      <c r="J281">
        <v>8229</v>
      </c>
      <c r="L281">
        <v>48434</v>
      </c>
      <c r="M281">
        <v>221294</v>
      </c>
    </row>
    <row r="282" spans="1:13" x14ac:dyDescent="0.15">
      <c r="A282" s="23">
        <v>43466</v>
      </c>
      <c r="B282" s="23">
        <v>43831</v>
      </c>
      <c r="C282" t="s">
        <v>419</v>
      </c>
      <c r="D282" t="s">
        <v>421</v>
      </c>
      <c r="E282">
        <v>11320</v>
      </c>
      <c r="F282">
        <v>6193</v>
      </c>
      <c r="H282">
        <v>39204</v>
      </c>
      <c r="I282">
        <v>6153</v>
      </c>
      <c r="J282">
        <v>18547</v>
      </c>
      <c r="L282">
        <v>387474</v>
      </c>
      <c r="M282">
        <v>468891</v>
      </c>
    </row>
    <row r="283" spans="1:13" x14ac:dyDescent="0.15">
      <c r="A283" s="23">
        <v>43466</v>
      </c>
      <c r="B283" s="23">
        <v>43831</v>
      </c>
      <c r="C283" t="s">
        <v>419</v>
      </c>
      <c r="D283" t="s">
        <v>422</v>
      </c>
      <c r="F283">
        <v>5</v>
      </c>
      <c r="H283">
        <v>5</v>
      </c>
      <c r="I283">
        <v>293</v>
      </c>
      <c r="K283">
        <v>6</v>
      </c>
      <c r="M283">
        <v>309</v>
      </c>
    </row>
    <row r="284" spans="1:13" x14ac:dyDescent="0.15">
      <c r="A284" s="23">
        <v>43466</v>
      </c>
      <c r="B284" s="23">
        <v>43831</v>
      </c>
      <c r="C284" t="s">
        <v>419</v>
      </c>
      <c r="D284" t="s">
        <v>423</v>
      </c>
      <c r="F284">
        <v>429</v>
      </c>
      <c r="G284">
        <v>3384</v>
      </c>
      <c r="I284">
        <v>2062</v>
      </c>
      <c r="J284">
        <v>263</v>
      </c>
      <c r="K284">
        <v>84347</v>
      </c>
      <c r="M284">
        <v>90485</v>
      </c>
    </row>
    <row r="285" spans="1:13" x14ac:dyDescent="0.15">
      <c r="A285" s="23">
        <v>43466</v>
      </c>
      <c r="B285" s="23">
        <v>43831</v>
      </c>
      <c r="C285" t="s">
        <v>419</v>
      </c>
      <c r="D285" t="s">
        <v>424</v>
      </c>
      <c r="F285">
        <v>137</v>
      </c>
      <c r="I285">
        <v>7258</v>
      </c>
      <c r="M285">
        <v>7395</v>
      </c>
    </row>
    <row r="286" spans="1:13" x14ac:dyDescent="0.15">
      <c r="A286" s="23">
        <v>43466</v>
      </c>
      <c r="B286" s="23">
        <v>43831</v>
      </c>
      <c r="C286" t="s">
        <v>419</v>
      </c>
      <c r="D286" t="s">
        <v>425</v>
      </c>
      <c r="F286">
        <v>885</v>
      </c>
      <c r="G286">
        <v>84</v>
      </c>
      <c r="H286">
        <v>37</v>
      </c>
      <c r="I286">
        <v>6754</v>
      </c>
      <c r="J286">
        <v>809</v>
      </c>
      <c r="L286">
        <v>48434</v>
      </c>
      <c r="M286">
        <v>57003</v>
      </c>
    </row>
    <row r="287" spans="1:13" x14ac:dyDescent="0.15">
      <c r="A287" s="23">
        <v>43466</v>
      </c>
      <c r="B287" s="23">
        <v>43831</v>
      </c>
      <c r="C287" t="s">
        <v>419</v>
      </c>
      <c r="D287" t="s">
        <v>426</v>
      </c>
      <c r="E287">
        <v>19</v>
      </c>
      <c r="F287">
        <v>23</v>
      </c>
      <c r="G287">
        <v>17</v>
      </c>
      <c r="I287">
        <v>883</v>
      </c>
      <c r="J287">
        <v>26</v>
      </c>
      <c r="M287">
        <v>968</v>
      </c>
    </row>
    <row r="288" spans="1:13" hidden="1" x14ac:dyDescent="0.15">
      <c r="A288" s="23">
        <v>43466</v>
      </c>
      <c r="B288" s="23">
        <v>43831</v>
      </c>
      <c r="C288" t="s">
        <v>434</v>
      </c>
      <c r="D288" t="s">
        <v>435</v>
      </c>
      <c r="F288">
        <v>26511</v>
      </c>
      <c r="G288">
        <v>8307</v>
      </c>
      <c r="H288">
        <v>39052</v>
      </c>
      <c r="I288">
        <v>3283</v>
      </c>
      <c r="K288">
        <v>72722</v>
      </c>
      <c r="L288">
        <v>315791</v>
      </c>
      <c r="M288">
        <v>465666</v>
      </c>
    </row>
    <row r="289" spans="1:13" hidden="1" x14ac:dyDescent="0.15">
      <c r="A289" s="23">
        <v>43466</v>
      </c>
      <c r="B289" s="23">
        <v>43831</v>
      </c>
      <c r="C289" t="s">
        <v>434</v>
      </c>
      <c r="D289" t="s">
        <v>436</v>
      </c>
      <c r="E289">
        <v>22990</v>
      </c>
      <c r="F289">
        <v>26330</v>
      </c>
      <c r="G289">
        <v>8670</v>
      </c>
      <c r="H289">
        <v>1458</v>
      </c>
      <c r="I289">
        <v>113175</v>
      </c>
      <c r="J289">
        <v>27874</v>
      </c>
      <c r="K289">
        <v>11631</v>
      </c>
      <c r="L289">
        <v>168551</v>
      </c>
      <c r="M289">
        <v>380679</v>
      </c>
    </row>
    <row r="290" spans="1:13" x14ac:dyDescent="0.15">
      <c r="A290" s="23">
        <v>43831</v>
      </c>
      <c r="B290" s="23">
        <v>44197</v>
      </c>
      <c r="C290" t="s">
        <v>419</v>
      </c>
      <c r="D290" t="s">
        <v>420</v>
      </c>
      <c r="E290">
        <v>11684</v>
      </c>
      <c r="F290">
        <v>48344</v>
      </c>
      <c r="G290">
        <v>12763</v>
      </c>
      <c r="H290">
        <v>1289</v>
      </c>
      <c r="I290">
        <v>96471</v>
      </c>
      <c r="J290">
        <v>8171</v>
      </c>
      <c r="L290">
        <v>72231</v>
      </c>
      <c r="M290">
        <v>250953</v>
      </c>
    </row>
    <row r="291" spans="1:13" x14ac:dyDescent="0.15">
      <c r="A291" s="23">
        <v>43831</v>
      </c>
      <c r="B291" s="23">
        <v>44197</v>
      </c>
      <c r="C291" t="s">
        <v>419</v>
      </c>
      <c r="D291" t="s">
        <v>421</v>
      </c>
      <c r="E291">
        <v>10623</v>
      </c>
      <c r="F291">
        <v>6346</v>
      </c>
      <c r="H291">
        <v>37812</v>
      </c>
      <c r="I291">
        <v>1779</v>
      </c>
      <c r="J291">
        <v>18425</v>
      </c>
      <c r="L291">
        <v>390241</v>
      </c>
      <c r="M291">
        <v>465236</v>
      </c>
    </row>
    <row r="292" spans="1:13" x14ac:dyDescent="0.15">
      <c r="A292" s="23">
        <v>43831</v>
      </c>
      <c r="B292" s="23">
        <v>44197</v>
      </c>
      <c r="C292" t="s">
        <v>419</v>
      </c>
      <c r="D292" t="s">
        <v>422</v>
      </c>
      <c r="F292">
        <v>22</v>
      </c>
      <c r="K292">
        <v>4</v>
      </c>
      <c r="M292">
        <v>26</v>
      </c>
    </row>
    <row r="293" spans="1:13" x14ac:dyDescent="0.15">
      <c r="A293" s="23">
        <v>43831</v>
      </c>
      <c r="B293" s="23">
        <v>44197</v>
      </c>
      <c r="C293" t="s">
        <v>419</v>
      </c>
      <c r="D293" t="s">
        <v>423</v>
      </c>
      <c r="F293">
        <v>1136</v>
      </c>
      <c r="G293">
        <v>2785</v>
      </c>
      <c r="I293">
        <v>1240</v>
      </c>
      <c r="J293">
        <v>204</v>
      </c>
      <c r="K293">
        <v>76949</v>
      </c>
      <c r="M293">
        <v>82314</v>
      </c>
    </row>
    <row r="294" spans="1:13" x14ac:dyDescent="0.15">
      <c r="A294" s="23">
        <v>43831</v>
      </c>
      <c r="B294" s="23">
        <v>44197</v>
      </c>
      <c r="C294" t="s">
        <v>419</v>
      </c>
      <c r="D294" t="s">
        <v>424</v>
      </c>
      <c r="F294">
        <v>561</v>
      </c>
      <c r="I294">
        <v>3373</v>
      </c>
      <c r="L294">
        <v>2424</v>
      </c>
      <c r="M294">
        <v>6358</v>
      </c>
    </row>
    <row r="295" spans="1:13" x14ac:dyDescent="0.15">
      <c r="A295" s="23">
        <v>43831</v>
      </c>
      <c r="B295" s="23">
        <v>44197</v>
      </c>
      <c r="C295" t="s">
        <v>419</v>
      </c>
      <c r="D295" t="s">
        <v>425</v>
      </c>
      <c r="F295">
        <v>1302</v>
      </c>
      <c r="G295">
        <v>1598</v>
      </c>
      <c r="H295">
        <v>37</v>
      </c>
      <c r="I295">
        <v>5214</v>
      </c>
      <c r="J295">
        <v>1049</v>
      </c>
      <c r="L295">
        <v>19876</v>
      </c>
      <c r="M295">
        <v>29076</v>
      </c>
    </row>
    <row r="296" spans="1:13" x14ac:dyDescent="0.15">
      <c r="A296" s="23">
        <v>43831</v>
      </c>
      <c r="B296" s="23">
        <v>44197</v>
      </c>
      <c r="C296" t="s">
        <v>419</v>
      </c>
      <c r="D296" t="s">
        <v>426</v>
      </c>
      <c r="E296">
        <v>21</v>
      </c>
      <c r="F296">
        <v>53</v>
      </c>
      <c r="G296">
        <v>165</v>
      </c>
      <c r="I296">
        <v>1071</v>
      </c>
      <c r="M296">
        <v>1310</v>
      </c>
    </row>
    <row r="297" spans="1:13" hidden="1" x14ac:dyDescent="0.15">
      <c r="A297" s="23">
        <v>43831</v>
      </c>
      <c r="B297" s="23">
        <v>44197</v>
      </c>
      <c r="C297" t="s">
        <v>434</v>
      </c>
      <c r="D297" t="s">
        <v>435</v>
      </c>
      <c r="F297">
        <v>25615</v>
      </c>
      <c r="G297">
        <v>7891</v>
      </c>
      <c r="H297">
        <v>37692</v>
      </c>
      <c r="K297">
        <v>75893</v>
      </c>
      <c r="L297">
        <v>310254</v>
      </c>
      <c r="M297">
        <v>457355</v>
      </c>
    </row>
    <row r="298" spans="1:13" hidden="1" x14ac:dyDescent="0.15">
      <c r="A298" s="23">
        <v>43831</v>
      </c>
      <c r="B298" s="23">
        <v>44197</v>
      </c>
      <c r="C298" t="s">
        <v>434</v>
      </c>
      <c r="D298" t="s">
        <v>436</v>
      </c>
      <c r="E298">
        <v>22328</v>
      </c>
      <c r="F298">
        <v>32149</v>
      </c>
      <c r="G298">
        <v>9420</v>
      </c>
      <c r="H298">
        <v>1446</v>
      </c>
      <c r="I298">
        <v>109148</v>
      </c>
      <c r="J298">
        <v>27849</v>
      </c>
      <c r="K298">
        <v>1060</v>
      </c>
      <c r="L298">
        <v>174518</v>
      </c>
      <c r="M298">
        <v>377918</v>
      </c>
    </row>
    <row r="299" spans="1:13" x14ac:dyDescent="0.15">
      <c r="A299" s="23">
        <v>44197</v>
      </c>
      <c r="B299" s="23">
        <v>44562</v>
      </c>
      <c r="C299" t="s">
        <v>419</v>
      </c>
      <c r="D299" t="s">
        <v>420</v>
      </c>
      <c r="E299">
        <v>7591</v>
      </c>
      <c r="F299">
        <v>47323</v>
      </c>
      <c r="G299">
        <v>15325</v>
      </c>
      <c r="H299">
        <v>1218</v>
      </c>
      <c r="I299">
        <v>97743</v>
      </c>
      <c r="J299">
        <v>11780</v>
      </c>
      <c r="L299">
        <v>83262</v>
      </c>
      <c r="M299">
        <v>263542</v>
      </c>
    </row>
    <row r="300" spans="1:13" x14ac:dyDescent="0.15">
      <c r="A300" s="23">
        <v>44197</v>
      </c>
      <c r="B300" s="23">
        <v>44562</v>
      </c>
      <c r="C300" t="s">
        <v>419</v>
      </c>
      <c r="D300" t="s">
        <v>421</v>
      </c>
      <c r="E300">
        <v>10832</v>
      </c>
      <c r="F300">
        <v>2264</v>
      </c>
      <c r="H300">
        <v>20809</v>
      </c>
      <c r="I300">
        <v>1138</v>
      </c>
      <c r="J300">
        <v>18058</v>
      </c>
      <c r="L300">
        <v>421512</v>
      </c>
      <c r="M300">
        <v>479678</v>
      </c>
    </row>
    <row r="301" spans="1:13" x14ac:dyDescent="0.15">
      <c r="A301" s="23">
        <v>44197</v>
      </c>
      <c r="B301" s="23">
        <v>44562</v>
      </c>
      <c r="C301" t="s">
        <v>419</v>
      </c>
      <c r="D301" t="s">
        <v>422</v>
      </c>
      <c r="H301">
        <v>2.2029999999999998</v>
      </c>
      <c r="I301">
        <v>30.050950449999998</v>
      </c>
      <c r="K301">
        <v>4.7706657310000002</v>
      </c>
      <c r="M301">
        <v>37</v>
      </c>
    </row>
    <row r="302" spans="1:13" x14ac:dyDescent="0.15">
      <c r="A302" s="23">
        <v>44197</v>
      </c>
      <c r="B302" s="23">
        <v>44562</v>
      </c>
      <c r="C302" t="s">
        <v>419</v>
      </c>
      <c r="D302" t="s">
        <v>423</v>
      </c>
      <c r="G302">
        <v>2842</v>
      </c>
      <c r="I302">
        <v>1230</v>
      </c>
      <c r="J302">
        <v>212.01515599999999</v>
      </c>
      <c r="K302">
        <v>77528</v>
      </c>
      <c r="M302">
        <v>81812</v>
      </c>
    </row>
    <row r="303" spans="1:13" x14ac:dyDescent="0.15">
      <c r="A303" s="23">
        <v>44197</v>
      </c>
      <c r="B303" s="23">
        <v>44562</v>
      </c>
      <c r="C303" t="s">
        <v>419</v>
      </c>
      <c r="D303" t="s">
        <v>424</v>
      </c>
      <c r="F303">
        <v>47.69991933</v>
      </c>
      <c r="I303">
        <v>3553</v>
      </c>
      <c r="L303">
        <v>5204</v>
      </c>
      <c r="M303">
        <v>6202</v>
      </c>
    </row>
    <row r="304" spans="1:13" x14ac:dyDescent="0.15">
      <c r="A304" s="23">
        <v>44197</v>
      </c>
      <c r="B304" s="23">
        <v>44562</v>
      </c>
      <c r="C304" t="s">
        <v>419</v>
      </c>
      <c r="D304" t="s">
        <v>425</v>
      </c>
      <c r="G304">
        <v>417</v>
      </c>
      <c r="H304">
        <v>111.973753</v>
      </c>
      <c r="I304">
        <v>789</v>
      </c>
      <c r="J304">
        <v>1201</v>
      </c>
      <c r="K304">
        <v>560.11248000000001</v>
      </c>
      <c r="L304">
        <v>10408</v>
      </c>
      <c r="M304">
        <v>10882</v>
      </c>
    </row>
    <row r="305" spans="1:23" x14ac:dyDescent="0.15">
      <c r="A305" s="23">
        <v>44197</v>
      </c>
      <c r="B305" s="23">
        <v>44562</v>
      </c>
      <c r="C305" t="s">
        <v>419</v>
      </c>
      <c r="D305" t="s">
        <v>426</v>
      </c>
      <c r="F305">
        <v>5.9624897069999996</v>
      </c>
      <c r="I305">
        <v>1064</v>
      </c>
      <c r="M305">
        <v>1070</v>
      </c>
    </row>
    <row r="306" spans="1:23" hidden="1" x14ac:dyDescent="0.15">
      <c r="A306" s="23">
        <v>44197</v>
      </c>
      <c r="B306" s="23">
        <v>44562</v>
      </c>
      <c r="C306" t="s">
        <v>434</v>
      </c>
      <c r="D306" t="s">
        <v>435</v>
      </c>
      <c r="F306">
        <v>24652</v>
      </c>
      <c r="G306">
        <v>8368</v>
      </c>
      <c r="H306">
        <v>20823</v>
      </c>
      <c r="K306">
        <v>77162</v>
      </c>
      <c r="L306">
        <v>343454</v>
      </c>
      <c r="M306">
        <v>474348</v>
      </c>
    </row>
    <row r="307" spans="1:23" hidden="1" x14ac:dyDescent="0.15">
      <c r="A307" s="23">
        <v>44197</v>
      </c>
      <c r="B307" s="23">
        <v>44562</v>
      </c>
      <c r="C307" t="s">
        <v>434</v>
      </c>
      <c r="D307" t="s">
        <v>436</v>
      </c>
      <c r="E307">
        <v>18423</v>
      </c>
      <c r="F307">
        <v>24989</v>
      </c>
      <c r="G307">
        <v>10216</v>
      </c>
      <c r="H307">
        <v>1318</v>
      </c>
      <c r="I307">
        <v>105546</v>
      </c>
      <c r="J307">
        <v>31251</v>
      </c>
      <c r="K307">
        <v>931</v>
      </c>
      <c r="L307">
        <v>176931</v>
      </c>
      <c r="M307">
        <v>368874</v>
      </c>
    </row>
    <row r="308" spans="1:23" x14ac:dyDescent="0.15">
      <c r="A308" s="23">
        <v>44562</v>
      </c>
      <c r="B308" s="23">
        <v>44927</v>
      </c>
      <c r="C308" t="s">
        <v>419</v>
      </c>
      <c r="D308" t="s">
        <v>420</v>
      </c>
      <c r="E308">
        <v>8147</v>
      </c>
      <c r="F308">
        <v>46819</v>
      </c>
      <c r="G308">
        <v>22841</v>
      </c>
      <c r="H308">
        <v>1159</v>
      </c>
      <c r="I308">
        <v>111198</v>
      </c>
      <c r="J308">
        <v>16274</v>
      </c>
      <c r="L308">
        <v>103832</v>
      </c>
      <c r="M308">
        <v>310270</v>
      </c>
      <c r="N308" s="6">
        <f t="shared" ref="N308:R313" si="0">E308/(E$308+E$309+E$310+E$311+E$312+E$313+E$314)</f>
        <v>0.44059272078308365</v>
      </c>
      <c r="O308" s="6">
        <f t="shared" si="0"/>
        <v>0.95667984606973833</v>
      </c>
      <c r="P308" s="6">
        <f t="shared" si="0"/>
        <v>0.83592101756203052</v>
      </c>
      <c r="Q308" s="6">
        <f t="shared" si="0"/>
        <v>5.1271592665308362E-2</v>
      </c>
      <c r="R308" s="6">
        <f t="shared" si="0"/>
        <v>0.93381007685212447</v>
      </c>
      <c r="S308" s="6">
        <f>J308/(J$308+J$309+J$310+J$311+J$312+J$313+J$314)</f>
        <v>0.45259369485717776</v>
      </c>
      <c r="T308" s="6">
        <f t="shared" ref="T308:U313" si="1">K308/(K$308+K$309+K$310+K$311+K$312+K$313+K$314)</f>
        <v>0</v>
      </c>
      <c r="U308" s="6">
        <f t="shared" si="1"/>
        <v>0.19199988165505408</v>
      </c>
      <c r="W308" s="6"/>
    </row>
    <row r="309" spans="1:23" x14ac:dyDescent="0.15">
      <c r="A309" s="23">
        <v>44562</v>
      </c>
      <c r="B309" s="23">
        <v>44927</v>
      </c>
      <c r="C309" t="s">
        <v>419</v>
      </c>
      <c r="D309" t="s">
        <v>421</v>
      </c>
      <c r="E309">
        <v>10344</v>
      </c>
      <c r="F309">
        <v>1828</v>
      </c>
      <c r="G309">
        <v>94.582199700000004</v>
      </c>
      <c r="H309">
        <v>21277</v>
      </c>
      <c r="I309">
        <v>777</v>
      </c>
      <c r="J309">
        <v>18126</v>
      </c>
      <c r="L309">
        <v>402890</v>
      </c>
      <c r="M309">
        <v>455337</v>
      </c>
      <c r="N309" s="6">
        <f t="shared" si="0"/>
        <v>0.55940727921691635</v>
      </c>
      <c r="O309" s="6">
        <f t="shared" si="0"/>
        <v>3.7352586740756567E-2</v>
      </c>
      <c r="P309" s="6">
        <f t="shared" si="0"/>
        <v>3.4614617843561654E-3</v>
      </c>
      <c r="Q309" s="6">
        <f t="shared" si="0"/>
        <v>0.94124734869695081</v>
      </c>
      <c r="R309" s="6">
        <f t="shared" si="0"/>
        <v>6.5250312929558156E-3</v>
      </c>
      <c r="S309" s="6">
        <f t="shared" ref="S309:S313" si="2">J309/(J$308+J$309+J$310+J$311+J$312+J$313+J$314)</f>
        <v>0.50409938017581446</v>
      </c>
      <c r="T309" s="6">
        <f t="shared" si="1"/>
        <v>0</v>
      </c>
      <c r="U309" s="6">
        <f t="shared" si="1"/>
        <v>0.74499992603440879</v>
      </c>
      <c r="W309" s="6"/>
    </row>
    <row r="310" spans="1:23" x14ac:dyDescent="0.15">
      <c r="A310" s="23">
        <v>44562</v>
      </c>
      <c r="B310" s="23">
        <v>44927</v>
      </c>
      <c r="C310" t="s">
        <v>419</v>
      </c>
      <c r="D310" t="s">
        <v>422</v>
      </c>
      <c r="F310">
        <v>1.5320132</v>
      </c>
      <c r="G310">
        <v>2.1302750000000001</v>
      </c>
      <c r="H310">
        <v>2.2980245789999998</v>
      </c>
      <c r="I310">
        <v>199.23021120000001</v>
      </c>
      <c r="K310">
        <v>1.67</v>
      </c>
      <c r="M310">
        <v>207</v>
      </c>
      <c r="N310" s="6">
        <f t="shared" si="0"/>
        <v>0</v>
      </c>
      <c r="O310" s="6">
        <f t="shared" si="0"/>
        <v>3.1304516379094111E-5</v>
      </c>
      <c r="P310" s="6">
        <f t="shared" si="0"/>
        <v>7.7962508020093451E-5</v>
      </c>
      <c r="Q310" s="6">
        <f t="shared" si="0"/>
        <v>1.0165951695371417E-4</v>
      </c>
      <c r="R310" s="6">
        <f t="shared" si="0"/>
        <v>1.6730802607235473E-3</v>
      </c>
      <c r="S310" s="6">
        <f t="shared" si="2"/>
        <v>0</v>
      </c>
      <c r="T310" s="6">
        <f t="shared" si="1"/>
        <v>1.839374658435285E-5</v>
      </c>
      <c r="U310" s="6">
        <f t="shared" si="1"/>
        <v>0</v>
      </c>
      <c r="W310" s="6"/>
    </row>
    <row r="311" spans="1:23" x14ac:dyDescent="0.15">
      <c r="A311" s="23">
        <v>44562</v>
      </c>
      <c r="B311" s="23">
        <v>44927</v>
      </c>
      <c r="C311" t="s">
        <v>419</v>
      </c>
      <c r="D311" t="s">
        <v>423</v>
      </c>
      <c r="F311">
        <v>3.0640266999999999</v>
      </c>
      <c r="G311">
        <v>3734</v>
      </c>
      <c r="I311">
        <v>1060</v>
      </c>
      <c r="J311">
        <v>133.1955706</v>
      </c>
      <c r="K311">
        <v>89980</v>
      </c>
      <c r="M311">
        <v>94910</v>
      </c>
      <c r="N311" s="6">
        <f t="shared" si="0"/>
        <v>0</v>
      </c>
      <c r="O311" s="6">
        <f t="shared" si="0"/>
        <v>6.2609038888262629E-5</v>
      </c>
      <c r="P311" s="6">
        <f t="shared" si="0"/>
        <v>0.13665465958480896</v>
      </c>
      <c r="Q311" s="6">
        <f t="shared" si="0"/>
        <v>0</v>
      </c>
      <c r="R311" s="6">
        <f t="shared" si="0"/>
        <v>8.9015870920632744E-3</v>
      </c>
      <c r="S311" s="6">
        <f t="shared" si="2"/>
        <v>3.704281395874651E-3</v>
      </c>
      <c r="T311" s="6">
        <f t="shared" si="1"/>
        <v>0.99105947165273633</v>
      </c>
      <c r="U311" s="6">
        <f t="shared" si="1"/>
        <v>0</v>
      </c>
      <c r="W311" s="6"/>
    </row>
    <row r="312" spans="1:23" x14ac:dyDescent="0.15">
      <c r="A312" s="23">
        <v>44562</v>
      </c>
      <c r="B312" s="23">
        <v>44927</v>
      </c>
      <c r="C312" t="s">
        <v>419</v>
      </c>
      <c r="D312" t="s">
        <v>424</v>
      </c>
      <c r="F312">
        <v>30.099582470000001</v>
      </c>
      <c r="G312">
        <v>28.029933799999998</v>
      </c>
      <c r="I312">
        <v>1772</v>
      </c>
      <c r="L312">
        <v>3245</v>
      </c>
      <c r="M312">
        <v>5075</v>
      </c>
      <c r="N312" s="6">
        <f t="shared" si="0"/>
        <v>0</v>
      </c>
      <c r="O312" s="6">
        <f t="shared" si="0"/>
        <v>6.1504226754443701E-4</v>
      </c>
      <c r="P312" s="6">
        <f t="shared" si="0"/>
        <v>1.0258224589244057E-3</v>
      </c>
      <c r="Q312" s="6">
        <f t="shared" si="0"/>
        <v>0</v>
      </c>
      <c r="R312" s="6">
        <f t="shared" si="0"/>
        <v>1.4880766346354832E-2</v>
      </c>
      <c r="S312" s="6">
        <f t="shared" si="2"/>
        <v>0</v>
      </c>
      <c r="T312" s="6">
        <f t="shared" si="1"/>
        <v>0</v>
      </c>
      <c r="U312" s="6">
        <f t="shared" si="1"/>
        <v>6.0004585866654829E-3</v>
      </c>
      <c r="W312" s="6"/>
    </row>
    <row r="313" spans="1:23" x14ac:dyDescent="0.15">
      <c r="A313" s="23">
        <v>44562</v>
      </c>
      <c r="B313" s="23">
        <v>44927</v>
      </c>
      <c r="C313" t="s">
        <v>419</v>
      </c>
      <c r="D313" t="s">
        <v>425</v>
      </c>
      <c r="F313">
        <v>257.35142910000002</v>
      </c>
      <c r="G313">
        <v>624.60943829999997</v>
      </c>
      <c r="H313">
        <v>166.81213</v>
      </c>
      <c r="I313">
        <v>3931.658469</v>
      </c>
      <c r="J313">
        <v>1424</v>
      </c>
      <c r="K313">
        <v>810.05600000000004</v>
      </c>
      <c r="L313">
        <v>30825</v>
      </c>
      <c r="M313">
        <v>38039</v>
      </c>
      <c r="N313" s="6">
        <f t="shared" si="0"/>
        <v>0</v>
      </c>
      <c r="O313" s="6">
        <f t="shared" si="0"/>
        <v>5.2586113666933335E-3</v>
      </c>
      <c r="P313" s="6">
        <f t="shared" si="0"/>
        <v>2.2859076101859999E-2</v>
      </c>
      <c r="Q313" s="6">
        <f t="shared" si="0"/>
        <v>7.3793991207872856E-3</v>
      </c>
      <c r="R313" s="6">
        <f t="shared" si="0"/>
        <v>3.3016981394388356E-2</v>
      </c>
      <c r="S313" s="6">
        <f t="shared" si="2"/>
        <v>3.9602643571133161E-2</v>
      </c>
      <c r="T313" s="6">
        <f t="shared" si="1"/>
        <v>8.9221346006793621E-3</v>
      </c>
      <c r="U313" s="6">
        <f t="shared" si="1"/>
        <v>5.6999733723871654E-2</v>
      </c>
      <c r="W313" s="6"/>
    </row>
    <row r="314" spans="1:23" x14ac:dyDescent="0.15">
      <c r="A314" s="23">
        <v>44562</v>
      </c>
      <c r="B314" s="23">
        <v>44927</v>
      </c>
      <c r="C314" t="s">
        <v>419</v>
      </c>
      <c r="D314" t="s">
        <v>426</v>
      </c>
      <c r="I314">
        <v>142</v>
      </c>
      <c r="M314">
        <v>142</v>
      </c>
      <c r="N314" s="6">
        <f t="shared" ref="N314" si="3">E314/(E$308+E$309+E$310+E$311+E$312+E$313+E$314)</f>
        <v>0</v>
      </c>
      <c r="O314" s="6">
        <f t="shared" ref="O314" si="4">F314/(F$308+F$309+F$310+F$311+F$312+F$313+F$314)</f>
        <v>0</v>
      </c>
      <c r="P314" s="6">
        <f t="shared" ref="P314" si="5">G314/(G$308+G$309+G$310+G$311+G$312+G$313+G$314)</f>
        <v>0</v>
      </c>
      <c r="Q314" s="6">
        <f t="shared" ref="Q314" si="6">H314/(H$308+H$309+H$310+H$311+H$312+H$313+H$314)</f>
        <v>0</v>
      </c>
      <c r="R314" s="6">
        <f t="shared" ref="R314" si="7">I314/(I$308+I$309+I$310+I$311+I$312+I$313+I$314)</f>
        <v>1.1924767613896085E-3</v>
      </c>
      <c r="S314" s="6">
        <f t="shared" ref="S314" si="8">J314/(J$308+J$309+J$310+J$311+J$312+J$313+J$314)</f>
        <v>0</v>
      </c>
      <c r="T314" s="6">
        <f t="shared" ref="T314" si="9">K314/(K$308+K$309+K$310+K$311+K$312+K$313+K$314)</f>
        <v>0</v>
      </c>
      <c r="U314" s="6">
        <f t="shared" ref="U314" si="10">L314/(L$308+L$309+L$310+L$311+L$312+L$313+L$314)</f>
        <v>0</v>
      </c>
      <c r="W314" s="6"/>
    </row>
    <row r="315" spans="1:23" hidden="1" x14ac:dyDescent="0.15">
      <c r="A315" s="23">
        <v>44562</v>
      </c>
      <c r="B315" s="23">
        <v>44927</v>
      </c>
      <c r="C315" t="s">
        <v>434</v>
      </c>
      <c r="D315" t="s">
        <v>435</v>
      </c>
      <c r="F315">
        <v>22862</v>
      </c>
      <c r="G315">
        <v>8406</v>
      </c>
      <c r="H315">
        <v>21043</v>
      </c>
      <c r="K315">
        <v>78445</v>
      </c>
      <c r="L315">
        <v>306629</v>
      </c>
      <c r="M315">
        <v>437385</v>
      </c>
    </row>
    <row r="316" spans="1:23" hidden="1" x14ac:dyDescent="0.15">
      <c r="A316" s="23">
        <v>44562</v>
      </c>
      <c r="B316" s="23">
        <v>44927</v>
      </c>
      <c r="C316" t="s">
        <v>434</v>
      </c>
      <c r="D316" t="s">
        <v>436</v>
      </c>
      <c r="E316">
        <v>18491</v>
      </c>
      <c r="F316">
        <v>26077</v>
      </c>
      <c r="G316">
        <v>18919</v>
      </c>
      <c r="H316">
        <v>1562</v>
      </c>
      <c r="I316">
        <v>119081</v>
      </c>
      <c r="J316">
        <v>35956</v>
      </c>
      <c r="K316">
        <v>12346.544599999999</v>
      </c>
      <c r="L316">
        <v>234163</v>
      </c>
      <c r="M316">
        <v>466595</v>
      </c>
    </row>
    <row r="323" spans="1:1" x14ac:dyDescent="0.15">
      <c r="A323" s="5" t="s">
        <v>3709</v>
      </c>
    </row>
  </sheetData>
  <autoFilter ref="A1:M316" xr:uid="{2216A20E-CD51-6940-ABAC-E855F3F05D68}">
    <filterColumn colId="3">
      <filters>
        <filter val="Coal"/>
        <filter val="Hydro"/>
        <filter val="Natural Gas"/>
        <filter val="Nuclear"/>
        <filter val="Oil"/>
        <filter val="Other non-renewable"/>
        <filter val="Other Renewable"/>
      </filters>
    </filterColumn>
  </autoFilter>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0F5A-AAD2-9C45-9A63-3C817D2A99DE}">
  <dimension ref="A1:U431"/>
  <sheetViews>
    <sheetView topLeftCell="A59" zoomScale="75" workbookViewId="0">
      <selection activeCell="B2" sqref="B2:B429"/>
    </sheetView>
  </sheetViews>
  <sheetFormatPr baseColWidth="10" defaultRowHeight="13" x14ac:dyDescent="0.15"/>
  <cols>
    <col min="1" max="1" width="11" customWidth="1"/>
    <col min="2" max="2" width="75.5" customWidth="1"/>
    <col min="4" max="5" width="11" customWidth="1"/>
    <col min="7" max="8" width="11" customWidth="1"/>
    <col min="10" max="10" width="11" customWidth="1"/>
    <col min="11" max="11" width="12" customWidth="1"/>
    <col min="13" max="14" width="12" customWidth="1"/>
    <col min="16" max="17" width="12" customWidth="1"/>
    <col min="19" max="20" width="12" customWidth="1"/>
  </cols>
  <sheetData>
    <row r="1" spans="1:21" x14ac:dyDescent="0.15">
      <c r="A1" t="s">
        <v>415</v>
      </c>
      <c r="B1" t="s">
        <v>3654</v>
      </c>
      <c r="C1" t="s">
        <v>106</v>
      </c>
      <c r="D1" t="s">
        <v>3659</v>
      </c>
      <c r="E1" t="s">
        <v>3629</v>
      </c>
      <c r="F1" t="s">
        <v>109</v>
      </c>
      <c r="G1" t="s">
        <v>3660</v>
      </c>
      <c r="H1" t="s">
        <v>3661</v>
      </c>
      <c r="I1" t="s">
        <v>114</v>
      </c>
      <c r="J1" t="s">
        <v>3662</v>
      </c>
      <c r="K1" t="s">
        <v>3663</v>
      </c>
      <c r="L1" t="s">
        <v>119</v>
      </c>
      <c r="M1" t="s">
        <v>3664</v>
      </c>
      <c r="N1" t="s">
        <v>3665</v>
      </c>
      <c r="O1" t="s">
        <v>124</v>
      </c>
      <c r="P1" t="s">
        <v>3666</v>
      </c>
      <c r="Q1" t="s">
        <v>3667</v>
      </c>
      <c r="R1" t="s">
        <v>129</v>
      </c>
      <c r="S1" t="s">
        <v>3668</v>
      </c>
      <c r="T1" t="s">
        <v>3669</v>
      </c>
      <c r="U1" t="s">
        <v>134</v>
      </c>
    </row>
    <row r="2" spans="1:21" x14ac:dyDescent="0.15">
      <c r="A2" s="5" t="s">
        <v>96</v>
      </c>
      <c r="B2" t="s">
        <v>3584</v>
      </c>
      <c r="C2" s="17">
        <v>1.13364347222839E-2</v>
      </c>
      <c r="D2" s="17"/>
      <c r="E2" s="17"/>
      <c r="F2" s="17">
        <v>1.13033485395724E-2</v>
      </c>
      <c r="G2" s="17"/>
      <c r="H2" s="17"/>
      <c r="I2" s="17">
        <v>8.8522050141835104E-3</v>
      </c>
      <c r="J2" s="17"/>
      <c r="K2" s="17"/>
      <c r="L2" s="17">
        <v>6.8440823653690003E-3</v>
      </c>
      <c r="M2" s="17"/>
      <c r="N2" s="17"/>
      <c r="O2" s="17">
        <v>5.9353565970842303E-3</v>
      </c>
      <c r="P2" s="17"/>
      <c r="Q2" s="17"/>
      <c r="R2" s="17">
        <v>5.2026042406881703E-3</v>
      </c>
      <c r="S2" s="17"/>
      <c r="T2" s="17"/>
      <c r="U2" s="17">
        <v>4.2977814107709204E-3</v>
      </c>
    </row>
    <row r="3" spans="1:21" x14ac:dyDescent="0.15">
      <c r="A3" s="5" t="s">
        <v>96</v>
      </c>
      <c r="B3" t="s">
        <v>3591</v>
      </c>
      <c r="C3" s="17">
        <v>3.3172533498114297E-8</v>
      </c>
      <c r="D3" s="17"/>
      <c r="E3" s="17"/>
      <c r="F3" s="17">
        <v>8.2931333745285901E-8</v>
      </c>
      <c r="G3" s="17"/>
      <c r="H3" s="17"/>
      <c r="I3" s="17">
        <v>1.3194204960045199E-7</v>
      </c>
      <c r="J3" s="17"/>
      <c r="K3" s="17"/>
      <c r="L3" s="17">
        <v>1.58219957965703E-7</v>
      </c>
      <c r="M3" s="17"/>
      <c r="N3" s="17"/>
      <c r="O3" s="17">
        <v>1.92869122642418E-7</v>
      </c>
      <c r="P3" s="17"/>
      <c r="Q3" s="17"/>
      <c r="R3" s="17">
        <v>1.8757279992084199E-7</v>
      </c>
      <c r="S3" s="17"/>
      <c r="T3" s="17"/>
      <c r="U3" s="17">
        <v>1.8466388019130499E-7</v>
      </c>
    </row>
    <row r="4" spans="1:21" x14ac:dyDescent="0.15">
      <c r="A4" s="5" t="s">
        <v>96</v>
      </c>
      <c r="B4" t="s">
        <v>3592</v>
      </c>
      <c r="C4" s="17">
        <v>2.25603153853758E-4</v>
      </c>
      <c r="D4" s="17"/>
      <c r="E4" s="17"/>
      <c r="F4" s="17">
        <v>3.08161527379244E-4</v>
      </c>
      <c r="G4" s="17"/>
      <c r="H4" s="17"/>
      <c r="I4" s="17">
        <v>1.2257716276176599E-4</v>
      </c>
      <c r="J4" s="17"/>
      <c r="K4" s="17"/>
      <c r="L4" s="17">
        <v>4.9863259480101296E-7</v>
      </c>
      <c r="M4" s="17"/>
      <c r="N4" s="17"/>
      <c r="O4" s="17">
        <v>4.5113639606588498E-7</v>
      </c>
      <c r="P4" s="17"/>
      <c r="Q4" s="17"/>
      <c r="R4" s="17">
        <v>4.2312933935631901E-7</v>
      </c>
      <c r="S4" s="17"/>
      <c r="T4" s="17"/>
      <c r="U4" s="17">
        <v>3.9021236588043702E-7</v>
      </c>
    </row>
    <row r="5" spans="1:21" x14ac:dyDescent="0.15">
      <c r="A5" s="5" t="s">
        <v>96</v>
      </c>
      <c r="B5" t="s">
        <v>3587</v>
      </c>
      <c r="C5" s="17">
        <v>2.9009419338834401E-8</v>
      </c>
      <c r="D5" s="17"/>
      <c r="E5" s="17"/>
      <c r="F5" s="17">
        <v>4.1465666872642897E-8</v>
      </c>
      <c r="G5" s="17"/>
      <c r="H5" s="17"/>
      <c r="I5" s="17">
        <v>3.2985512400113203E-8</v>
      </c>
      <c r="J5" s="17"/>
      <c r="K5" s="17"/>
      <c r="L5" s="17">
        <v>2.6369992994283899E-8</v>
      </c>
      <c r="M5" s="17"/>
      <c r="N5" s="17"/>
      <c r="O5" s="17">
        <v>2.4385751138696501E-8</v>
      </c>
      <c r="P5" s="17"/>
      <c r="Q5" s="17"/>
      <c r="R5" s="17">
        <v>2.3991869757317E-8</v>
      </c>
      <c r="S5" s="17"/>
      <c r="T5" s="17"/>
      <c r="U5" s="17">
        <v>2.5281364550000099E-8</v>
      </c>
    </row>
    <row r="6" spans="1:21" x14ac:dyDescent="0.15">
      <c r="A6" s="5" t="s">
        <v>96</v>
      </c>
      <c r="B6" t="s">
        <v>3602</v>
      </c>
      <c r="C6" s="17">
        <v>1.45047096694172E-8</v>
      </c>
      <c r="D6" s="17"/>
      <c r="E6" s="17"/>
      <c r="F6" s="17">
        <v>2.0732833436321399E-8</v>
      </c>
      <c r="G6" s="17"/>
      <c r="H6" s="17"/>
      <c r="I6" s="17">
        <v>1.6492756200056602E-8</v>
      </c>
      <c r="J6" s="17"/>
      <c r="K6" s="17"/>
      <c r="L6" s="17">
        <v>1.31849964971419E-8</v>
      </c>
      <c r="M6" s="17"/>
      <c r="N6" s="17"/>
      <c r="O6" s="17">
        <v>1.2192875569348201E-8</v>
      </c>
      <c r="P6" s="17"/>
      <c r="Q6" s="17"/>
      <c r="R6" s="17">
        <v>1.19959348786585E-8</v>
      </c>
      <c r="S6" s="17"/>
      <c r="T6" s="17"/>
      <c r="U6" s="17">
        <v>1.20910873934783E-8</v>
      </c>
    </row>
    <row r="7" spans="1:21" x14ac:dyDescent="0.15">
      <c r="A7" s="5" t="s">
        <v>96</v>
      </c>
      <c r="B7" t="s">
        <v>3603</v>
      </c>
      <c r="C7" s="17">
        <v>1.45047096694172E-8</v>
      </c>
      <c r="D7" s="17"/>
      <c r="E7" s="17"/>
      <c r="F7" s="17">
        <v>2.0732833436321399E-8</v>
      </c>
      <c r="G7" s="17"/>
      <c r="H7" s="17"/>
      <c r="I7" s="17">
        <v>1.6492756200056602E-8</v>
      </c>
      <c r="J7" s="17"/>
      <c r="K7" s="17"/>
      <c r="L7" s="17">
        <v>1.31849964971419E-8</v>
      </c>
      <c r="M7" s="17"/>
      <c r="N7" s="17"/>
      <c r="O7" s="17">
        <v>1.2192875569348201E-8</v>
      </c>
      <c r="P7" s="17"/>
      <c r="Q7" s="17"/>
      <c r="R7" s="17">
        <v>1.19959348786585E-8</v>
      </c>
      <c r="S7" s="17"/>
      <c r="T7" s="17"/>
      <c r="U7" s="17">
        <v>1.20910873934783E-8</v>
      </c>
    </row>
    <row r="8" spans="1:21" x14ac:dyDescent="0.15">
      <c r="A8" s="5" t="s">
        <v>96</v>
      </c>
      <c r="B8" t="s">
        <v>3593</v>
      </c>
      <c r="C8" s="17">
        <v>2.25603153853758E-4</v>
      </c>
      <c r="D8" s="17"/>
      <c r="E8" s="17"/>
      <c r="F8" s="17">
        <v>3.08161527379244E-4</v>
      </c>
      <c r="G8" s="17"/>
      <c r="H8" s="17"/>
      <c r="I8" s="17">
        <v>1.2257716276176599E-4</v>
      </c>
      <c r="J8" s="17"/>
      <c r="K8" s="17"/>
      <c r="L8" s="17">
        <v>4.9863259480101296E-7</v>
      </c>
      <c r="M8" s="17"/>
      <c r="N8" s="17"/>
      <c r="O8" s="17">
        <v>4.5113639606588498E-7</v>
      </c>
      <c r="P8" s="17"/>
      <c r="Q8" s="17"/>
      <c r="R8" s="17">
        <v>4.2312933935631901E-7</v>
      </c>
      <c r="S8" s="17"/>
      <c r="T8" s="17"/>
      <c r="U8" s="17">
        <v>3.9021236588043702E-7</v>
      </c>
    </row>
    <row r="9" spans="1:21" x14ac:dyDescent="0.15">
      <c r="A9" s="5" t="s">
        <v>96</v>
      </c>
      <c r="B9" t="s">
        <v>3588</v>
      </c>
      <c r="C9" s="17">
        <v>2.9009419338834401E-8</v>
      </c>
      <c r="D9" s="17"/>
      <c r="E9" s="17"/>
      <c r="F9" s="17">
        <v>4.1465666872642897E-8</v>
      </c>
      <c r="G9" s="17"/>
      <c r="H9" s="17"/>
      <c r="I9" s="17">
        <v>3.2985512400113203E-8</v>
      </c>
      <c r="J9" s="17"/>
      <c r="K9" s="17"/>
      <c r="L9" s="17">
        <v>2.6369992994283899E-8</v>
      </c>
      <c r="M9" s="17"/>
      <c r="N9" s="17"/>
      <c r="O9" s="17">
        <v>2.4385751138696501E-8</v>
      </c>
      <c r="P9" s="17"/>
      <c r="Q9" s="17"/>
      <c r="R9" s="17">
        <v>2.3991869757317E-8</v>
      </c>
      <c r="S9" s="17"/>
      <c r="T9" s="17"/>
      <c r="U9" s="17">
        <v>2.5281364550000099E-8</v>
      </c>
    </row>
    <row r="10" spans="1:21" x14ac:dyDescent="0.15">
      <c r="A10" s="5" t="s">
        <v>96</v>
      </c>
      <c r="B10" t="s">
        <v>3604</v>
      </c>
      <c r="C10" s="17">
        <v>1.45047096694172E-8</v>
      </c>
      <c r="D10" s="17"/>
      <c r="E10" s="17"/>
      <c r="F10" s="17">
        <v>2.0732833436321399E-8</v>
      </c>
      <c r="G10" s="17"/>
      <c r="H10" s="17"/>
      <c r="I10" s="17">
        <v>1.6492756200056602E-8</v>
      </c>
      <c r="J10" s="17"/>
      <c r="K10" s="17"/>
      <c r="L10" s="17">
        <v>1.31849964971419E-8</v>
      </c>
      <c r="M10" s="17"/>
      <c r="N10" s="17"/>
      <c r="O10" s="17">
        <v>1.2192875569348201E-8</v>
      </c>
      <c r="P10" s="17"/>
      <c r="Q10" s="17"/>
      <c r="R10" s="17">
        <v>1.19959348786585E-8</v>
      </c>
      <c r="S10" s="17"/>
      <c r="T10" s="17"/>
      <c r="U10" s="17">
        <v>1.20910873934783E-8</v>
      </c>
    </row>
    <row r="11" spans="1:21" x14ac:dyDescent="0.15">
      <c r="A11" s="5" t="s">
        <v>96</v>
      </c>
      <c r="B11" t="s">
        <v>3605</v>
      </c>
      <c r="C11" s="17">
        <v>1.45047096694172E-8</v>
      </c>
      <c r="D11" s="17"/>
      <c r="E11" s="17"/>
      <c r="F11" s="17">
        <v>2.0732833436321399E-8</v>
      </c>
      <c r="G11" s="17"/>
      <c r="H11" s="17"/>
      <c r="I11" s="17">
        <v>1.6492756200056602E-8</v>
      </c>
      <c r="J11" s="17"/>
      <c r="K11" s="17"/>
      <c r="L11" s="17">
        <v>1.31849964971419E-8</v>
      </c>
      <c r="M11" s="17"/>
      <c r="N11" s="17"/>
      <c r="O11" s="17">
        <v>1.2192875569348201E-8</v>
      </c>
      <c r="P11" s="17"/>
      <c r="Q11" s="17"/>
      <c r="R11" s="17">
        <v>1.19959348786585E-8</v>
      </c>
      <c r="S11" s="17"/>
      <c r="T11" s="17"/>
      <c r="U11" s="17">
        <v>1.20910873934783E-8</v>
      </c>
    </row>
    <row r="12" spans="1:21" x14ac:dyDescent="0.15">
      <c r="A12" s="5" t="s">
        <v>96</v>
      </c>
      <c r="B12" t="s">
        <v>3582</v>
      </c>
      <c r="C12" s="17">
        <v>2.86490062029169E-8</v>
      </c>
      <c r="D12" s="17"/>
      <c r="E12" s="17"/>
      <c r="F12" s="17">
        <v>7.1622515507292406E-8</v>
      </c>
      <c r="G12" s="17"/>
      <c r="H12" s="17"/>
      <c r="I12" s="17">
        <v>1.13949951927663E-7</v>
      </c>
      <c r="J12" s="17"/>
      <c r="K12" s="17"/>
      <c r="L12" s="17">
        <v>9.1096339434799094E-8</v>
      </c>
      <c r="M12" s="17"/>
      <c r="N12" s="17"/>
      <c r="O12" s="17">
        <v>8.2024799284706495E-8</v>
      </c>
      <c r="P12" s="17"/>
      <c r="Q12" s="17"/>
      <c r="R12" s="17">
        <v>7.8518846478492195E-8</v>
      </c>
      <c r="S12" s="17"/>
      <c r="T12" s="17"/>
      <c r="U12" s="17">
        <v>7.2546524360869998E-8</v>
      </c>
    </row>
    <row r="13" spans="1:21" x14ac:dyDescent="0.15">
      <c r="A13" s="5" t="s">
        <v>96</v>
      </c>
      <c r="B13" t="s">
        <v>3608</v>
      </c>
      <c r="C13" s="17">
        <v>2.10087109150618E-5</v>
      </c>
      <c r="D13" s="17"/>
      <c r="E13" s="17"/>
      <c r="F13" s="17">
        <v>3.4725611202798798E-5</v>
      </c>
      <c r="G13" s="17"/>
      <c r="H13" s="17"/>
      <c r="I13" s="17">
        <v>4.49802441819725E-5</v>
      </c>
      <c r="J13" s="17"/>
      <c r="K13" s="17"/>
      <c r="L13" s="17">
        <v>3.59590813558417E-5</v>
      </c>
      <c r="M13" s="17"/>
      <c r="N13" s="17"/>
      <c r="O13" s="17">
        <v>3.3253297007313398E-5</v>
      </c>
      <c r="P13" s="17"/>
      <c r="Q13" s="17"/>
      <c r="R13" s="17">
        <v>3.2716186032705099E-5</v>
      </c>
      <c r="S13" s="17"/>
      <c r="T13" s="17"/>
      <c r="U13" s="17">
        <v>3.14599102080676E-5</v>
      </c>
    </row>
    <row r="14" spans="1:21" x14ac:dyDescent="0.15">
      <c r="A14" s="5" t="s">
        <v>96</v>
      </c>
      <c r="B14" t="s">
        <v>3608</v>
      </c>
      <c r="C14" s="17">
        <v>2.10087109150618E-5</v>
      </c>
      <c r="D14" s="17"/>
      <c r="E14" s="17"/>
      <c r="F14" s="17">
        <v>3.4725611202798798E-5</v>
      </c>
      <c r="G14" s="17"/>
      <c r="H14" s="17"/>
      <c r="I14" s="17">
        <v>4.49802441819725E-5</v>
      </c>
      <c r="J14" s="17"/>
      <c r="K14" s="17"/>
      <c r="L14" s="17">
        <v>3.59590813558417E-5</v>
      </c>
      <c r="M14" s="17"/>
      <c r="N14" s="17"/>
      <c r="O14" s="17">
        <v>3.3253297007313398E-5</v>
      </c>
      <c r="P14" s="17"/>
      <c r="Q14" s="17"/>
      <c r="R14" s="17">
        <v>3.2716186032705099E-5</v>
      </c>
      <c r="S14" s="17"/>
      <c r="T14" s="17"/>
      <c r="U14" s="17">
        <v>3.14599102080676E-5</v>
      </c>
    </row>
    <row r="15" spans="1:21" x14ac:dyDescent="0.15">
      <c r="A15" s="5" t="s">
        <v>96</v>
      </c>
      <c r="B15" s="17" t="s">
        <v>3658</v>
      </c>
      <c r="C15" s="17">
        <v>0</v>
      </c>
      <c r="D15" s="17"/>
      <c r="E15" s="17"/>
      <c r="F15" s="17">
        <v>0</v>
      </c>
      <c r="G15" s="17"/>
      <c r="H15" s="17"/>
      <c r="I15" s="17">
        <v>1.4993414727324101E-8</v>
      </c>
      <c r="J15" s="17"/>
      <c r="K15" s="17"/>
      <c r="L15" s="17">
        <v>1.6239960185529701E-3</v>
      </c>
      <c r="M15" s="17"/>
      <c r="N15" s="17"/>
      <c r="O15" s="17">
        <v>2.57217355992623E-3</v>
      </c>
      <c r="P15" s="17"/>
      <c r="Q15" s="17"/>
      <c r="R15" s="17">
        <v>5.1100327017690999E-3</v>
      </c>
      <c r="S15" s="17"/>
      <c r="T15" s="17"/>
      <c r="U15" s="17">
        <v>7.7145468378058196E-3</v>
      </c>
    </row>
    <row r="16" spans="1:21" x14ac:dyDescent="0.15">
      <c r="A16" s="5" t="s">
        <v>96</v>
      </c>
      <c r="B16" t="s">
        <v>3585</v>
      </c>
      <c r="C16" s="17">
        <v>3.28469267780514E-2</v>
      </c>
      <c r="D16" s="17"/>
      <c r="E16" s="17"/>
      <c r="F16" s="17">
        <v>1.7335216037391198E-2</v>
      </c>
      <c r="G16" s="17"/>
      <c r="H16" s="17"/>
      <c r="I16" s="17">
        <v>2.1559253714979599E-3</v>
      </c>
      <c r="J16" s="17"/>
      <c r="K16" s="17"/>
      <c r="L16" s="17">
        <v>1.81172672166627E-6</v>
      </c>
      <c r="M16" s="17"/>
      <c r="N16" s="17"/>
      <c r="O16" s="17">
        <v>5.5297047358230602E-8</v>
      </c>
      <c r="P16" s="17"/>
      <c r="Q16" s="17"/>
      <c r="R16" s="17">
        <v>1.28528251335822E-6</v>
      </c>
      <c r="S16" s="17"/>
      <c r="T16" s="17"/>
      <c r="U16" s="17">
        <v>9.9748243763156291E-7</v>
      </c>
    </row>
    <row r="17" spans="1:21" x14ac:dyDescent="0.15">
      <c r="A17" s="5" t="s">
        <v>96</v>
      </c>
      <c r="B17" t="s">
        <v>3585</v>
      </c>
      <c r="C17" s="17">
        <v>3.33284381811075E-3</v>
      </c>
      <c r="D17" s="17"/>
      <c r="E17" s="17"/>
      <c r="F17" s="17">
        <v>1.7589337351474801E-3</v>
      </c>
      <c r="G17" s="17"/>
      <c r="H17" s="17"/>
      <c r="I17" s="17">
        <v>2.1875296265178899E-4</v>
      </c>
      <c r="J17" s="17"/>
      <c r="K17" s="17"/>
      <c r="L17" s="17">
        <v>1.8382852816679001E-7</v>
      </c>
      <c r="M17" s="17"/>
      <c r="N17" s="17"/>
      <c r="O17" s="17">
        <v>8.38671884934036E-8</v>
      </c>
      <c r="P17" s="17"/>
      <c r="Q17" s="17"/>
      <c r="R17" s="17">
        <v>1.3041237946297499E-7</v>
      </c>
      <c r="S17" s="17"/>
      <c r="T17" s="17"/>
      <c r="U17" s="17">
        <v>1.01210478483966E-7</v>
      </c>
    </row>
    <row r="18" spans="1:21" x14ac:dyDescent="0.15">
      <c r="A18" s="5" t="s">
        <v>96</v>
      </c>
      <c r="B18" t="s">
        <v>3585</v>
      </c>
      <c r="C18" s="17">
        <v>2.49823124059394E-2</v>
      </c>
      <c r="D18" s="17"/>
      <c r="E18" s="17"/>
      <c r="F18" s="17">
        <v>1.31846058414189E-2</v>
      </c>
      <c r="G18" s="17"/>
      <c r="H18" s="17"/>
      <c r="I18" s="17">
        <v>1.63972725724352E-3</v>
      </c>
      <c r="J18" s="17"/>
      <c r="K18" s="17"/>
      <c r="L18" s="17">
        <v>1.37794087284595E-6</v>
      </c>
      <c r="M18" s="17"/>
      <c r="N18" s="17"/>
      <c r="O18" s="17">
        <v>1.3466133317249599E-7</v>
      </c>
      <c r="P18" s="17"/>
      <c r="Q18" s="17"/>
      <c r="R18" s="17">
        <v>9.7754439846292709E-7</v>
      </c>
      <c r="S18" s="17"/>
      <c r="T18" s="17"/>
      <c r="U18" s="17">
        <v>7.5865294932252202E-7</v>
      </c>
    </row>
    <row r="19" spans="1:21" x14ac:dyDescent="0.15">
      <c r="A19" s="5" t="s">
        <v>96</v>
      </c>
      <c r="B19" t="s">
        <v>3585</v>
      </c>
      <c r="C19" s="17">
        <v>1.02641929180928E-2</v>
      </c>
      <c r="D19" s="17"/>
      <c r="E19" s="17"/>
      <c r="F19" s="17">
        <v>5.4170060683880004E-3</v>
      </c>
      <c r="G19" s="17"/>
      <c r="H19" s="17"/>
      <c r="I19" s="17">
        <v>6.7369571831154705E-4</v>
      </c>
      <c r="J19" s="17"/>
      <c r="K19" s="17"/>
      <c r="L19" s="17">
        <v>5.66138583122259E-7</v>
      </c>
      <c r="M19" s="17"/>
      <c r="N19" s="17"/>
      <c r="O19" s="17">
        <v>1.5483173260295E-7</v>
      </c>
      <c r="P19" s="17"/>
      <c r="Q19" s="17"/>
      <c r="R19" s="17">
        <v>4.0163232805619201E-7</v>
      </c>
      <c r="S19" s="17"/>
      <c r="T19" s="17"/>
      <c r="U19" s="17">
        <v>3.1169893735998601E-7</v>
      </c>
    </row>
    <row r="20" spans="1:21" x14ac:dyDescent="0.15">
      <c r="A20" s="5" t="s">
        <v>96</v>
      </c>
      <c r="B20" t="s">
        <v>3585</v>
      </c>
      <c r="C20" s="17">
        <v>8.8393892477874308E-3</v>
      </c>
      <c r="D20" s="17"/>
      <c r="E20" s="17"/>
      <c r="F20" s="17">
        <v>4.6650550684510196E-3</v>
      </c>
      <c r="G20" s="17"/>
      <c r="H20" s="17"/>
      <c r="I20" s="17">
        <v>5.8017797758131004E-4</v>
      </c>
      <c r="J20" s="17"/>
      <c r="K20" s="17"/>
      <c r="L20" s="17">
        <v>4.87551173710629E-7</v>
      </c>
      <c r="M20" s="17"/>
      <c r="N20" s="17"/>
      <c r="O20" s="17">
        <v>2.2118818943244701E-7</v>
      </c>
      <c r="P20" s="17"/>
      <c r="Q20" s="17"/>
      <c r="R20" s="17">
        <v>3.4588052957634598E-7</v>
      </c>
      <c r="S20" s="17"/>
      <c r="T20" s="17"/>
      <c r="U20" s="17">
        <v>2.6843106491012401E-7</v>
      </c>
    </row>
    <row r="21" spans="1:21" x14ac:dyDescent="0.15">
      <c r="A21" s="5" t="s">
        <v>96</v>
      </c>
      <c r="B21" t="s">
        <v>3585</v>
      </c>
      <c r="C21" s="17">
        <v>6.4874658831316099E-3</v>
      </c>
      <c r="D21" s="17"/>
      <c r="E21" s="17"/>
      <c r="F21" s="17">
        <v>3.42380958131033E-3</v>
      </c>
      <c r="G21" s="17"/>
      <c r="H21" s="17"/>
      <c r="I21" s="17">
        <v>4.2580824649680101E-4</v>
      </c>
      <c r="J21" s="17"/>
      <c r="K21" s="17"/>
      <c r="L21" s="17">
        <v>3.5782693996875299E-7</v>
      </c>
      <c r="M21" s="17"/>
      <c r="N21" s="17"/>
      <c r="O21" s="17">
        <v>2.72337958238774E-7</v>
      </c>
      <c r="P21" s="17"/>
      <c r="Q21" s="17"/>
      <c r="R21" s="17">
        <v>2.5385103793542E-7</v>
      </c>
      <c r="S21" s="17"/>
      <c r="T21" s="17"/>
      <c r="U21" s="17">
        <v>1.97008789494479E-7</v>
      </c>
    </row>
    <row r="22" spans="1:21" x14ac:dyDescent="0.15">
      <c r="A22" s="5" t="s">
        <v>96</v>
      </c>
      <c r="B22" t="s">
        <v>3585</v>
      </c>
      <c r="C22" s="17">
        <v>7.7408402809534304E-3</v>
      </c>
      <c r="D22" s="17"/>
      <c r="E22" s="17"/>
      <c r="F22" s="17">
        <v>4.08528747568963E-3</v>
      </c>
      <c r="G22" s="17"/>
      <c r="H22" s="17"/>
      <c r="I22" s="17">
        <v>5.0807413646905997E-4</v>
      </c>
      <c r="J22" s="17"/>
      <c r="K22" s="17"/>
      <c r="L22" s="17">
        <v>4.2695888354843502E-7</v>
      </c>
      <c r="M22" s="17"/>
      <c r="N22" s="17"/>
      <c r="O22" s="17">
        <v>2.7402091185397701E-7</v>
      </c>
      <c r="P22" s="17"/>
      <c r="Q22" s="17"/>
      <c r="R22" s="17">
        <v>3.0289490152413602E-7</v>
      </c>
      <c r="S22" s="17"/>
      <c r="T22" s="17"/>
      <c r="U22" s="17">
        <v>2.3507076582645401E-7</v>
      </c>
    </row>
    <row r="23" spans="1:21" x14ac:dyDescent="0.15">
      <c r="A23" s="5" t="s">
        <v>96</v>
      </c>
      <c r="B23" t="s">
        <v>3585</v>
      </c>
      <c r="C23" s="17">
        <v>1.0191175899141199E-2</v>
      </c>
      <c r="D23" s="17"/>
      <c r="E23" s="17"/>
      <c r="F23" s="17">
        <v>5.3784707799427603E-3</v>
      </c>
      <c r="G23" s="17"/>
      <c r="H23" s="17"/>
      <c r="I23" s="17">
        <v>6.6890320774358599E-4</v>
      </c>
      <c r="J23" s="17"/>
      <c r="K23" s="17"/>
      <c r="L23" s="17">
        <v>5.6211120834638204E-7</v>
      </c>
      <c r="M23" s="17"/>
      <c r="N23" s="17"/>
      <c r="O23" s="17">
        <v>2.7496256447236598E-7</v>
      </c>
      <c r="P23" s="17"/>
      <c r="Q23" s="17"/>
      <c r="R23" s="17">
        <v>3.9877521152075E-7</v>
      </c>
      <c r="S23" s="17"/>
      <c r="T23" s="17"/>
      <c r="U23" s="17">
        <v>3.0948158550407102E-7</v>
      </c>
    </row>
    <row r="24" spans="1:21" x14ac:dyDescent="0.15">
      <c r="A24" s="5" t="s">
        <v>96</v>
      </c>
      <c r="B24" t="s">
        <v>3585</v>
      </c>
      <c r="C24" s="17">
        <v>7.7531314363447701E-3</v>
      </c>
      <c r="D24" s="17"/>
      <c r="E24" s="17"/>
      <c r="F24" s="17">
        <v>4.0917742266571699E-3</v>
      </c>
      <c r="G24" s="17"/>
      <c r="H24" s="17"/>
      <c r="I24" s="17">
        <v>5.0888087293887599E-4</v>
      </c>
      <c r="J24" s="17"/>
      <c r="K24" s="17"/>
      <c r="L24" s="17">
        <v>4.2763682260839999E-7</v>
      </c>
      <c r="M24" s="17"/>
      <c r="N24" s="17"/>
      <c r="O24" s="17">
        <v>2.9025941072520799E-7</v>
      </c>
      <c r="P24" s="17"/>
      <c r="Q24" s="17"/>
      <c r="R24" s="17">
        <v>3.0337584779957298E-7</v>
      </c>
      <c r="S24" s="17"/>
      <c r="T24" s="17"/>
      <c r="U24" s="17">
        <v>2.3544401875583499E-7</v>
      </c>
    </row>
    <row r="25" spans="1:21" x14ac:dyDescent="0.15">
      <c r="A25" s="5" t="s">
        <v>96</v>
      </c>
      <c r="B25" t="s">
        <v>3585</v>
      </c>
      <c r="C25" s="17">
        <v>9.9046227144929892E-3</v>
      </c>
      <c r="D25" s="17"/>
      <c r="E25" s="17"/>
      <c r="F25" s="17">
        <v>5.2272401520168602E-3</v>
      </c>
      <c r="G25" s="17"/>
      <c r="H25" s="17"/>
      <c r="I25" s="17">
        <v>6.5009513826295399E-4</v>
      </c>
      <c r="J25" s="17"/>
      <c r="K25" s="17"/>
      <c r="L25" s="17">
        <v>5.4630589221090702E-7</v>
      </c>
      <c r="M25" s="17"/>
      <c r="N25" s="17"/>
      <c r="O25" s="17">
        <v>3.0138393447346902E-7</v>
      </c>
      <c r="P25" s="17"/>
      <c r="Q25" s="17"/>
      <c r="R25" s="17">
        <v>3.8756254009294197E-7</v>
      </c>
      <c r="S25" s="17"/>
      <c r="T25" s="17"/>
      <c r="U25" s="17">
        <v>3.00779652106604E-7</v>
      </c>
    </row>
    <row r="26" spans="1:21" x14ac:dyDescent="0.15">
      <c r="A26" s="5" t="s">
        <v>96</v>
      </c>
      <c r="B26" t="s">
        <v>3585</v>
      </c>
      <c r="C26" s="17">
        <v>6.2480039874303296E-3</v>
      </c>
      <c r="D26" s="17"/>
      <c r="E26" s="17"/>
      <c r="F26" s="17">
        <v>3.29743174015782E-3</v>
      </c>
      <c r="G26" s="17"/>
      <c r="H26" s="17"/>
      <c r="I26" s="17">
        <v>4.1009103861498601E-4</v>
      </c>
      <c r="J26" s="17"/>
      <c r="K26" s="17"/>
      <c r="L26" s="17">
        <v>3.4461902197404E-7</v>
      </c>
      <c r="M26" s="17"/>
      <c r="N26" s="17"/>
      <c r="O26" s="17">
        <v>3.1023446732533498E-7</v>
      </c>
      <c r="P26" s="17"/>
      <c r="Q26" s="17"/>
      <c r="R26" s="17">
        <v>2.4448102322323398E-7</v>
      </c>
      <c r="S26" s="17"/>
      <c r="T26" s="17"/>
      <c r="U26" s="17">
        <v>1.8973690567235E-7</v>
      </c>
    </row>
    <row r="27" spans="1:21" x14ac:dyDescent="0.15">
      <c r="A27" s="5" t="s">
        <v>96</v>
      </c>
      <c r="B27" t="s">
        <v>3585</v>
      </c>
      <c r="C27" s="17">
        <v>1.15210174648118E-2</v>
      </c>
      <c r="D27" s="17"/>
      <c r="E27" s="17"/>
      <c r="F27" s="17">
        <v>6.0803048051522703E-3</v>
      </c>
      <c r="G27" s="17"/>
      <c r="H27" s="17"/>
      <c r="I27" s="17">
        <v>7.5618806062722099E-4</v>
      </c>
      <c r="J27" s="17"/>
      <c r="K27" s="17"/>
      <c r="L27" s="17">
        <v>6.3546082538628702E-7</v>
      </c>
      <c r="M27" s="17"/>
      <c r="N27" s="17"/>
      <c r="O27" s="17">
        <v>3.5961112428668299E-7</v>
      </c>
      <c r="P27" s="17"/>
      <c r="Q27" s="17"/>
      <c r="R27" s="17">
        <v>4.5081119410878999E-7</v>
      </c>
      <c r="S27" s="17"/>
      <c r="T27" s="17"/>
      <c r="U27" s="17">
        <v>3.4986568644453402E-7</v>
      </c>
    </row>
    <row r="28" spans="1:21" x14ac:dyDescent="0.15">
      <c r="A28" s="5" t="s">
        <v>96</v>
      </c>
      <c r="B28" t="s">
        <v>3585</v>
      </c>
      <c r="C28" s="17">
        <v>2.3281496825238501E-2</v>
      </c>
      <c r="D28" s="17"/>
      <c r="E28" s="17"/>
      <c r="F28" s="17">
        <v>1.2286987451411401E-2</v>
      </c>
      <c r="G28" s="17"/>
      <c r="H28" s="17"/>
      <c r="I28" s="17">
        <v>1.5280933291305799E-3</v>
      </c>
      <c r="J28" s="17"/>
      <c r="K28" s="17"/>
      <c r="L28" s="17">
        <v>1.28412956876252E-6</v>
      </c>
      <c r="M28" s="17"/>
      <c r="N28" s="17"/>
      <c r="O28" s="17">
        <v>3.60182126406432E-7</v>
      </c>
      <c r="P28" s="17"/>
      <c r="Q28" s="17"/>
      <c r="R28" s="17">
        <v>9.1099240292638301E-7</v>
      </c>
      <c r="S28" s="17"/>
      <c r="T28" s="17"/>
      <c r="U28" s="17">
        <v>7.0700325670857305E-7</v>
      </c>
    </row>
    <row r="29" spans="1:21" x14ac:dyDescent="0.15">
      <c r="A29" s="5" t="s">
        <v>96</v>
      </c>
      <c r="B29" t="s">
        <v>3585</v>
      </c>
      <c r="C29" s="17">
        <v>9.8993396740270304E-3</v>
      </c>
      <c r="D29" s="17"/>
      <c r="E29" s="17"/>
      <c r="F29" s="17">
        <v>5.2244519871322004E-3</v>
      </c>
      <c r="G29" s="17"/>
      <c r="H29" s="17"/>
      <c r="I29" s="17">
        <v>6.4974838311425605E-4</v>
      </c>
      <c r="J29" s="17"/>
      <c r="K29" s="17"/>
      <c r="L29" s="17">
        <v>5.4601449735231098E-7</v>
      </c>
      <c r="M29" s="17"/>
      <c r="N29" s="17"/>
      <c r="O29" s="17">
        <v>4.10645690911082E-7</v>
      </c>
      <c r="P29" s="17"/>
      <c r="Q29" s="17"/>
      <c r="R29" s="17">
        <v>3.8735581757140601E-7</v>
      </c>
      <c r="S29" s="17"/>
      <c r="T29" s="17"/>
      <c r="U29" s="17">
        <v>3.0061921883022201E-7</v>
      </c>
    </row>
    <row r="30" spans="1:21" x14ac:dyDescent="0.15">
      <c r="A30" s="5" t="s">
        <v>96</v>
      </c>
      <c r="B30" t="s">
        <v>3585</v>
      </c>
      <c r="C30" s="17">
        <v>2.8863945530354301E-2</v>
      </c>
      <c r="D30" s="17"/>
      <c r="E30" s="17"/>
      <c r="F30" s="17">
        <v>1.5233167317026799E-2</v>
      </c>
      <c r="G30" s="17"/>
      <c r="H30" s="17"/>
      <c r="I30" s="17">
        <v>1.8945002955956199E-3</v>
      </c>
      <c r="J30" s="17"/>
      <c r="K30" s="17"/>
      <c r="L30" s="17">
        <v>1.59203878534554E-6</v>
      </c>
      <c r="M30" s="17"/>
      <c r="N30" s="17"/>
      <c r="O30" s="17">
        <v>4.59887110528801E-7</v>
      </c>
      <c r="P30" s="17"/>
      <c r="Q30" s="17"/>
      <c r="R30" s="17">
        <v>1.12943060723349E-6</v>
      </c>
      <c r="S30" s="17"/>
      <c r="T30" s="17"/>
      <c r="U30" s="17">
        <v>8.7652884368229702E-7</v>
      </c>
    </row>
    <row r="31" spans="1:21" x14ac:dyDescent="0.15">
      <c r="A31" s="5" t="s">
        <v>96</v>
      </c>
      <c r="B31" t="s">
        <v>3585</v>
      </c>
      <c r="C31" s="17">
        <v>2.8986641449877701E-3</v>
      </c>
      <c r="D31" s="17"/>
      <c r="E31" s="17"/>
      <c r="F31" s="17">
        <v>1.52979210240087E-3</v>
      </c>
      <c r="G31" s="17"/>
      <c r="H31" s="17"/>
      <c r="I31" s="17">
        <v>1.9025535070168E-4</v>
      </c>
      <c r="J31" s="17"/>
      <c r="K31" s="17"/>
      <c r="L31" s="17">
        <v>1.59880628227278E-7</v>
      </c>
      <c r="M31" s="17"/>
      <c r="N31" s="17"/>
      <c r="O31" s="17">
        <v>4.6013254126405202E-7</v>
      </c>
      <c r="P31" s="17"/>
      <c r="Q31" s="17"/>
      <c r="R31" s="17">
        <v>1.13423163233058E-7</v>
      </c>
      <c r="S31" s="17"/>
      <c r="T31" s="17"/>
      <c r="U31" s="17">
        <v>8.8025482467651903E-8</v>
      </c>
    </row>
    <row r="32" spans="1:21" x14ac:dyDescent="0.15">
      <c r="A32" s="5" t="s">
        <v>96</v>
      </c>
      <c r="B32" t="s">
        <v>3585</v>
      </c>
      <c r="C32" s="17">
        <v>1.80987263045666E-2</v>
      </c>
      <c r="D32" s="17"/>
      <c r="E32" s="17"/>
      <c r="F32" s="17">
        <v>9.5517407948473403E-3</v>
      </c>
      <c r="G32" s="17"/>
      <c r="H32" s="17"/>
      <c r="I32" s="17">
        <v>1.18791945120071E-3</v>
      </c>
      <c r="J32" s="17"/>
      <c r="K32" s="17"/>
      <c r="L32" s="17">
        <v>9.9826526529167297E-7</v>
      </c>
      <c r="M32" s="17"/>
      <c r="N32" s="17"/>
      <c r="O32" s="17">
        <v>4.7344475404188898E-7</v>
      </c>
      <c r="P32" s="17"/>
      <c r="Q32" s="17"/>
      <c r="R32" s="17">
        <v>7.0819339022181401E-7</v>
      </c>
      <c r="S32" s="17"/>
      <c r="T32" s="17"/>
      <c r="U32" s="17">
        <v>5.4961493823430803E-7</v>
      </c>
    </row>
    <row r="33" spans="1:21" x14ac:dyDescent="0.15">
      <c r="A33" s="5" t="s">
        <v>96</v>
      </c>
      <c r="B33" t="s">
        <v>3585</v>
      </c>
      <c r="C33" s="17">
        <v>1.34863085205905E-2</v>
      </c>
      <c r="D33" s="17"/>
      <c r="E33" s="17"/>
      <c r="F33" s="17">
        <v>7.1175021435358598E-3</v>
      </c>
      <c r="G33" s="17"/>
      <c r="H33" s="17"/>
      <c r="I33" s="17">
        <v>8.8518097610333201E-4</v>
      </c>
      <c r="J33" s="17"/>
      <c r="K33" s="17"/>
      <c r="L33" s="17">
        <v>7.4385971291889803E-7</v>
      </c>
      <c r="M33" s="17"/>
      <c r="N33" s="17"/>
      <c r="O33" s="17">
        <v>4.7683685765392802E-7</v>
      </c>
      <c r="P33" s="17"/>
      <c r="Q33" s="17"/>
      <c r="R33" s="17">
        <v>5.2771197221566196E-7</v>
      </c>
      <c r="S33" s="17"/>
      <c r="T33" s="17"/>
      <c r="U33" s="13">
        <v>4.0954686533289E-7</v>
      </c>
    </row>
    <row r="34" spans="1:21" x14ac:dyDescent="0.15">
      <c r="A34" s="5" t="s">
        <v>96</v>
      </c>
      <c r="B34" t="s">
        <v>3585</v>
      </c>
      <c r="C34" s="17">
        <v>5.91873040369337E-3</v>
      </c>
      <c r="D34" s="17"/>
      <c r="E34" s="17"/>
      <c r="F34" s="17">
        <v>3.1236550959056601E-3</v>
      </c>
      <c r="G34" s="17"/>
      <c r="H34" s="17"/>
      <c r="I34" s="17">
        <v>3.8847899319779001E-4</v>
      </c>
      <c r="J34" s="17"/>
      <c r="K34" s="17"/>
      <c r="L34" s="17">
        <v>3.2645739137687602E-7</v>
      </c>
      <c r="M34" s="17"/>
      <c r="N34" s="17"/>
      <c r="O34" s="17">
        <v>4.8724512435785201E-7</v>
      </c>
      <c r="P34" s="17"/>
      <c r="Q34" s="17"/>
      <c r="R34" s="17">
        <v>2.3159672564046201E-7</v>
      </c>
      <c r="S34" s="17"/>
      <c r="T34" s="17"/>
      <c r="U34" s="13">
        <v>1.7973765614824801E-7</v>
      </c>
    </row>
    <row r="35" spans="1:21" x14ac:dyDescent="0.15">
      <c r="A35" s="5" t="s">
        <v>96</v>
      </c>
      <c r="B35" t="s">
        <v>3585</v>
      </c>
      <c r="C35" s="17">
        <v>3.0371768408018002E-2</v>
      </c>
      <c r="D35" s="17"/>
      <c r="E35" s="17"/>
      <c r="F35" s="17">
        <v>1.6028932336598901E-2</v>
      </c>
      <c r="G35" s="17"/>
      <c r="H35" s="17"/>
      <c r="I35" s="17">
        <v>1.99346704580777E-3</v>
      </c>
      <c r="J35" s="17"/>
      <c r="K35" s="17"/>
      <c r="L35" s="17">
        <v>1.67520525682282E-6</v>
      </c>
      <c r="M35" s="17"/>
      <c r="N35" s="17"/>
      <c r="O35" s="17">
        <v>5.3198364129589995E-7</v>
      </c>
      <c r="P35" s="17"/>
      <c r="Q35" s="17"/>
      <c r="R35" s="17">
        <v>1.18843090248174E-6</v>
      </c>
      <c r="S35" s="17"/>
      <c r="T35" s="17"/>
      <c r="U35" s="13">
        <v>9.2231781047640295E-7</v>
      </c>
    </row>
    <row r="36" spans="1:21" x14ac:dyDescent="0.15">
      <c r="A36" s="5" t="s">
        <v>96</v>
      </c>
      <c r="B36" t="s">
        <v>3585</v>
      </c>
      <c r="C36" s="17">
        <v>2.43416628858232E-2</v>
      </c>
      <c r="D36" s="17"/>
      <c r="E36" s="17"/>
      <c r="F36" s="17">
        <v>1.28464981727622E-2</v>
      </c>
      <c r="G36" s="17"/>
      <c r="H36" s="17"/>
      <c r="I36" s="17">
        <v>1.5976778879375499E-3</v>
      </c>
      <c r="J36" s="17"/>
      <c r="K36" s="17"/>
      <c r="L36" s="17">
        <v>1.3426047860741199E-6</v>
      </c>
      <c r="M36" s="17"/>
      <c r="N36" s="17"/>
      <c r="O36" s="17">
        <v>5.3522432876462895E-7</v>
      </c>
      <c r="P36" s="17"/>
      <c r="Q36" s="17"/>
      <c r="R36" s="17">
        <v>9.5247612857696496E-7</v>
      </c>
      <c r="S36" s="17"/>
      <c r="T36" s="17"/>
      <c r="U36" s="13">
        <v>7.3919795892689297E-7</v>
      </c>
    </row>
    <row r="37" spans="1:21" x14ac:dyDescent="0.15">
      <c r="A37" s="5" t="s">
        <v>96</v>
      </c>
      <c r="B37" t="s">
        <v>3585</v>
      </c>
      <c r="C37" s="17">
        <v>6.67797879160607E-3</v>
      </c>
      <c r="D37" s="17"/>
      <c r="E37" s="17"/>
      <c r="F37" s="17">
        <v>3.52435422125892E-3</v>
      </c>
      <c r="G37" s="17"/>
      <c r="H37" s="17"/>
      <c r="I37" s="17">
        <v>4.3831266177294802E-4</v>
      </c>
      <c r="J37" s="17"/>
      <c r="K37" s="17"/>
      <c r="L37" s="17">
        <v>3.6833499539317102E-7</v>
      </c>
      <c r="M37" s="17"/>
      <c r="N37" s="17"/>
      <c r="O37" s="17">
        <v>6.26524562391471E-7</v>
      </c>
      <c r="P37" s="17"/>
      <c r="Q37" s="17"/>
      <c r="R37" s="17">
        <v>2.6130570520112198E-7</v>
      </c>
      <c r="S37" s="17"/>
      <c r="T37" s="17"/>
      <c r="U37" s="13">
        <v>2.02794209897108E-7</v>
      </c>
    </row>
    <row r="38" spans="1:21" x14ac:dyDescent="0.15">
      <c r="A38" s="5" t="s">
        <v>96</v>
      </c>
      <c r="B38" t="s">
        <v>3585</v>
      </c>
      <c r="C38" s="17">
        <v>5.89846077901603E-3</v>
      </c>
      <c r="D38" s="17"/>
      <c r="E38" s="17"/>
      <c r="F38" s="17">
        <v>3.1129576469433001E-3</v>
      </c>
      <c r="G38" s="17"/>
      <c r="H38" s="17"/>
      <c r="I38" s="17">
        <v>3.8714858568636798E-4</v>
      </c>
      <c r="J38" s="17"/>
      <c r="K38" s="17"/>
      <c r="L38" s="17">
        <v>3.25339386611491E-7</v>
      </c>
      <c r="M38" s="17"/>
      <c r="N38" s="17"/>
      <c r="O38" s="17">
        <v>8.4080062090371796E-7</v>
      </c>
      <c r="P38" s="17"/>
      <c r="Q38" s="17"/>
      <c r="R38" s="17">
        <v>2.3080358616881101E-7</v>
      </c>
      <c r="S38" s="17"/>
      <c r="T38" s="17"/>
      <c r="U38" s="13">
        <v>1.79122116229715E-7</v>
      </c>
    </row>
    <row r="39" spans="1:21" x14ac:dyDescent="0.15">
      <c r="A39" s="5" t="s">
        <v>96</v>
      </c>
      <c r="B39" t="s">
        <v>3585</v>
      </c>
      <c r="C39" s="17">
        <v>1.1903013636117099E-3</v>
      </c>
      <c r="D39" s="17"/>
      <c r="E39" s="17"/>
      <c r="F39" s="17">
        <v>6.2819061969591496E-4</v>
      </c>
      <c r="G39" s="17"/>
      <c r="H39" s="17"/>
      <c r="I39" s="17">
        <v>7.8126058089972601E-5</v>
      </c>
      <c r="J39" s="17"/>
      <c r="K39" s="17"/>
      <c r="L39" s="17">
        <v>6.5653045773893998E-8</v>
      </c>
      <c r="M39" s="17"/>
      <c r="N39" s="17"/>
      <c r="O39" s="17">
        <v>1.0254597010639499E-6</v>
      </c>
      <c r="P39" s="17"/>
      <c r="Q39" s="17"/>
      <c r="R39" s="17">
        <v>4.6575849808234101E-8</v>
      </c>
      <c r="S39" s="17"/>
      <c r="T39" s="17"/>
      <c r="U39" s="13">
        <v>3.6146599458581699E-8</v>
      </c>
    </row>
    <row r="40" spans="1:21" x14ac:dyDescent="0.15">
      <c r="A40" s="5" t="s">
        <v>96</v>
      </c>
      <c r="B40" t="s">
        <v>3585</v>
      </c>
      <c r="C40" s="17">
        <v>5.8622342157766899E-3</v>
      </c>
      <c r="D40" s="17"/>
      <c r="E40" s="17"/>
      <c r="F40" s="17">
        <v>3.0938388019965701E-3</v>
      </c>
      <c r="G40" s="17"/>
      <c r="H40" s="17"/>
      <c r="I40" s="17">
        <v>3.8477083609239301E-4</v>
      </c>
      <c r="J40" s="17"/>
      <c r="K40" s="17"/>
      <c r="L40" s="17">
        <v>3.2334125043582001E-7</v>
      </c>
      <c r="M40" s="17"/>
      <c r="N40" s="17"/>
      <c r="O40" s="17">
        <v>1.0815731812734999E-6</v>
      </c>
      <c r="P40" s="17"/>
      <c r="Q40" s="17"/>
      <c r="R40" s="17">
        <v>2.2938606030512201E-7</v>
      </c>
      <c r="S40" s="17"/>
      <c r="T40" s="17"/>
      <c r="U40" s="13">
        <v>1.7802200233318E-7</v>
      </c>
    </row>
    <row r="41" spans="1:21" x14ac:dyDescent="0.15">
      <c r="A41" s="5" t="s">
        <v>96</v>
      </c>
      <c r="B41" t="s">
        <v>3585</v>
      </c>
      <c r="C41" s="17">
        <v>1.1451259767116299E-2</v>
      </c>
      <c r="D41" s="17"/>
      <c r="E41" s="17"/>
      <c r="F41" s="17">
        <v>6.0434896483495398E-3</v>
      </c>
      <c r="G41" s="17"/>
      <c r="H41" s="17"/>
      <c r="I41" s="17">
        <v>7.5160947732976001E-4</v>
      </c>
      <c r="J41" s="17"/>
      <c r="K41" s="17"/>
      <c r="L41" s="17">
        <v>6.3161322387973702E-7</v>
      </c>
      <c r="M41" s="17"/>
      <c r="N41" s="17"/>
      <c r="O41" s="17">
        <v>1.1308246184741199E-6</v>
      </c>
      <c r="P41" s="17"/>
      <c r="Q41" s="17"/>
      <c r="R41" s="17">
        <v>4.4808161305464998E-7</v>
      </c>
      <c r="S41" s="17"/>
      <c r="T41" s="17"/>
      <c r="U41" s="13">
        <v>3.4774731236311701E-7</v>
      </c>
    </row>
    <row r="42" spans="1:21" x14ac:dyDescent="0.15">
      <c r="A42" s="5" t="s">
        <v>96</v>
      </c>
      <c r="B42" t="s">
        <v>3585</v>
      </c>
      <c r="C42" s="17">
        <v>1.04882369609918E-2</v>
      </c>
      <c r="D42" s="17"/>
      <c r="E42" s="17"/>
      <c r="F42" s="17">
        <v>5.5352470201759096E-3</v>
      </c>
      <c r="G42" s="17"/>
      <c r="H42" s="17"/>
      <c r="I42" s="17">
        <v>6.8840096728910605E-4</v>
      </c>
      <c r="J42" s="17"/>
      <c r="K42" s="17"/>
      <c r="L42" s="17">
        <v>5.7849610387581301E-7</v>
      </c>
      <c r="M42" s="17"/>
      <c r="N42" s="17"/>
      <c r="O42" s="17">
        <v>1.16058685175125E-6</v>
      </c>
      <c r="P42" s="17"/>
      <c r="Q42" s="17"/>
      <c r="R42" s="17">
        <v>4.1039905051110801E-7</v>
      </c>
      <c r="S42" s="17"/>
      <c r="T42" s="17"/>
      <c r="U42" s="13">
        <v>3.1850261794653699E-7</v>
      </c>
    </row>
    <row r="43" spans="1:21" x14ac:dyDescent="0.15">
      <c r="A43" s="5" t="s">
        <v>96</v>
      </c>
      <c r="B43" t="s">
        <v>3585</v>
      </c>
      <c r="C43" s="17">
        <v>4.0386688069537997E-2</v>
      </c>
      <c r="D43" s="17"/>
      <c r="E43" s="17"/>
      <c r="F43" s="17">
        <v>2.1314382543331001E-2</v>
      </c>
      <c r="G43" s="17"/>
      <c r="H43" s="17"/>
      <c r="I43" s="17">
        <v>2.6508015823895098E-3</v>
      </c>
      <c r="J43" s="17"/>
      <c r="K43" s="17"/>
      <c r="L43" s="17">
        <v>2.2275947600697698E-6</v>
      </c>
      <c r="M43" s="17"/>
      <c r="N43" s="17"/>
      <c r="O43" s="17">
        <v>1.3409133281124599E-6</v>
      </c>
      <c r="P43" s="17"/>
      <c r="Q43" s="17"/>
      <c r="R43" s="17">
        <v>1.58030930257122E-6</v>
      </c>
      <c r="S43" s="17"/>
      <c r="T43" s="17"/>
      <c r="U43" s="13">
        <v>1.22644691650078E-6</v>
      </c>
    </row>
    <row r="44" spans="1:21" x14ac:dyDescent="0.15">
      <c r="A44" s="5" t="s">
        <v>96</v>
      </c>
      <c r="B44" t="s">
        <v>3585</v>
      </c>
      <c r="C44" s="17">
        <v>1.8052904014796401E-3</v>
      </c>
      <c r="D44" s="17"/>
      <c r="E44" s="17"/>
      <c r="F44" s="17">
        <v>9.5275577320646197E-4</v>
      </c>
      <c r="G44" s="17"/>
      <c r="H44" s="17"/>
      <c r="I44" s="17">
        <v>1.18491188103248E-4</v>
      </c>
      <c r="J44" s="17"/>
      <c r="K44" s="17"/>
      <c r="L44" s="17">
        <v>9.9573786090509395E-8</v>
      </c>
      <c r="M44" s="17"/>
      <c r="N44" s="17"/>
      <c r="O44" s="17">
        <v>1.41096126355379E-6</v>
      </c>
      <c r="P44" s="17"/>
      <c r="Q44" s="17"/>
      <c r="R44" s="17">
        <v>7.06400388758951E-8</v>
      </c>
      <c r="S44" s="17"/>
      <c r="T44" s="17"/>
      <c r="U44" s="13">
        <v>5.48223425122393E-8</v>
      </c>
    </row>
    <row r="45" spans="1:21" x14ac:dyDescent="0.15">
      <c r="A45" s="5" t="s">
        <v>96</v>
      </c>
      <c r="B45" t="s">
        <v>3585</v>
      </c>
      <c r="C45" s="17">
        <v>2.2073621265848799E-2</v>
      </c>
      <c r="D45" s="17"/>
      <c r="E45" s="17"/>
      <c r="F45" s="17">
        <v>1.16495219159051E-2</v>
      </c>
      <c r="G45" s="17"/>
      <c r="H45" s="17"/>
      <c r="I45" s="17">
        <v>1.4488137794273E-3</v>
      </c>
      <c r="J45" s="17"/>
      <c r="K45" s="17"/>
      <c r="L45" s="17">
        <v>1.2175071890744399E-6</v>
      </c>
      <c r="M45" s="17"/>
      <c r="N45" s="17"/>
      <c r="O45" s="17">
        <v>1.52594806756076E-6</v>
      </c>
      <c r="P45" s="17"/>
      <c r="Q45" s="17"/>
      <c r="R45" s="17">
        <v>8.63728884324281E-7</v>
      </c>
      <c r="S45" s="17"/>
      <c r="T45" s="17"/>
      <c r="U45" s="13">
        <v>6.7032297104663802E-7</v>
      </c>
    </row>
    <row r="46" spans="1:21" x14ac:dyDescent="0.15">
      <c r="A46" s="5" t="s">
        <v>96</v>
      </c>
      <c r="B46" t="s">
        <v>3585</v>
      </c>
      <c r="C46" s="17">
        <v>4.7612054544366204E-3</v>
      </c>
      <c r="D46" s="17"/>
      <c r="E46" s="17"/>
      <c r="F46" s="17">
        <v>2.5127624787782501E-3</v>
      </c>
      <c r="G46" s="17"/>
      <c r="H46" s="17"/>
      <c r="I46" s="17">
        <v>3.1250423235921798E-4</v>
      </c>
      <c r="J46" s="17"/>
      <c r="K46" s="17"/>
      <c r="L46" s="17">
        <v>2.6261218309501102E-7</v>
      </c>
      <c r="M46" s="17"/>
      <c r="N46" s="17"/>
      <c r="O46" s="17">
        <v>1.8762177975222699E-6</v>
      </c>
      <c r="P46" s="17"/>
      <c r="Q46" s="17"/>
      <c r="R46" s="17">
        <v>1.8630339923253499E-7</v>
      </c>
      <c r="S46" s="17"/>
      <c r="T46" s="17"/>
      <c r="U46" s="13">
        <v>1.4458639783401599E-7</v>
      </c>
    </row>
    <row r="47" spans="1:21" x14ac:dyDescent="0.15">
      <c r="A47" s="5" t="s">
        <v>96</v>
      </c>
      <c r="B47" t="s">
        <v>338</v>
      </c>
      <c r="C47" s="17">
        <v>3.49517069537987E-4</v>
      </c>
      <c r="D47" s="17"/>
      <c r="E47" s="17"/>
      <c r="F47" s="17">
        <v>4.1520404061020402E-4</v>
      </c>
      <c r="G47" s="17"/>
      <c r="H47" s="17"/>
      <c r="I47" s="17">
        <v>3.4774516023378902E-4</v>
      </c>
      <c r="J47" s="17"/>
      <c r="K47" s="17"/>
      <c r="L47" s="17">
        <v>2.8502069054663E-4</v>
      </c>
      <c r="M47" s="17"/>
      <c r="N47" s="17"/>
      <c r="O47" s="17">
        <v>2.6575110718495302E-4</v>
      </c>
      <c r="P47" s="17"/>
      <c r="Q47" s="17"/>
      <c r="R47" s="17">
        <v>2.6154746298191701E-4</v>
      </c>
      <c r="S47" s="17"/>
      <c r="T47" s="17"/>
      <c r="U47">
        <v>2.6282010761451201E-4</v>
      </c>
    </row>
    <row r="48" spans="1:21" x14ac:dyDescent="0.15">
      <c r="A48" s="5" t="s">
        <v>96</v>
      </c>
      <c r="B48" t="s">
        <v>338</v>
      </c>
      <c r="C48" s="17">
        <v>1.3048637262751499E-2</v>
      </c>
      <c r="D48" s="17"/>
      <c r="E48" s="17"/>
      <c r="F48" s="17">
        <v>1.55009508494476E-2</v>
      </c>
      <c r="G48" s="17"/>
      <c r="H48" s="17"/>
      <c r="I48" s="17">
        <v>1.2982485982061399E-2</v>
      </c>
      <c r="J48" s="17"/>
      <c r="K48" s="17"/>
      <c r="L48" s="17">
        <v>1.06407724470741E-2</v>
      </c>
      <c r="M48" s="17"/>
      <c r="N48" s="17"/>
      <c r="O48" s="17">
        <v>3.1890132862194299E-4</v>
      </c>
      <c r="P48" s="17"/>
      <c r="Q48" s="17"/>
      <c r="R48" s="17">
        <v>9.7644386179915905E-3</v>
      </c>
      <c r="S48" s="17"/>
      <c r="T48" s="17"/>
      <c r="U48">
        <v>9.8119506842751399E-3</v>
      </c>
    </row>
    <row r="49" spans="1:21" x14ac:dyDescent="0.15">
      <c r="A49" s="5" t="s">
        <v>96</v>
      </c>
      <c r="B49" t="s">
        <v>338</v>
      </c>
      <c r="C49" s="17">
        <v>4.78330751379746E-3</v>
      </c>
      <c r="D49" s="17"/>
      <c r="E49" s="17"/>
      <c r="F49" s="17">
        <v>5.6822649887604401E-3</v>
      </c>
      <c r="G49" s="17"/>
      <c r="H49" s="17"/>
      <c r="I49" s="17">
        <v>4.7590580913021803E-3</v>
      </c>
      <c r="J49" s="17"/>
      <c r="K49" s="17"/>
      <c r="L49" s="17">
        <v>3.9006438583431102E-3</v>
      </c>
      <c r="M49" s="17"/>
      <c r="N49" s="17"/>
      <c r="O49" s="17">
        <v>3.3661806910093998E-4</v>
      </c>
      <c r="P49" s="17"/>
      <c r="Q49" s="17"/>
      <c r="R49" s="17">
        <v>3.5794015627042099E-3</v>
      </c>
      <c r="S49" s="17"/>
      <c r="T49" s="17"/>
      <c r="U49">
        <v>3.5968183104514201E-3</v>
      </c>
    </row>
    <row r="50" spans="1:21" x14ac:dyDescent="0.15">
      <c r="A50" s="5" t="s">
        <v>96</v>
      </c>
      <c r="B50" t="s">
        <v>338</v>
      </c>
      <c r="C50" s="17">
        <v>4.4272162141478397E-4</v>
      </c>
      <c r="D50" s="17"/>
      <c r="E50" s="17"/>
      <c r="F50" s="17">
        <v>5.2592511810625904E-4</v>
      </c>
      <c r="G50" s="17"/>
      <c r="H50" s="17"/>
      <c r="I50" s="17">
        <v>4.4047720296279999E-4</v>
      </c>
      <c r="J50" s="17"/>
      <c r="K50" s="17"/>
      <c r="L50" s="17">
        <v>3.61026208025731E-4</v>
      </c>
      <c r="M50" s="17"/>
      <c r="N50" s="17"/>
      <c r="O50" s="17">
        <v>4.2520177149592498E-4</v>
      </c>
      <c r="P50" s="17"/>
      <c r="Q50" s="17"/>
      <c r="R50" s="17">
        <v>3.3129345311042898E-4</v>
      </c>
      <c r="S50" s="17"/>
      <c r="T50" s="17"/>
      <c r="U50">
        <v>3.3290546964504902E-4</v>
      </c>
    </row>
    <row r="51" spans="1:21" x14ac:dyDescent="0.15">
      <c r="A51" s="5" t="s">
        <v>96</v>
      </c>
      <c r="B51" t="s">
        <v>338</v>
      </c>
      <c r="C51" s="17">
        <v>1.0958089711597299E-2</v>
      </c>
      <c r="D51" s="17"/>
      <c r="E51" s="17"/>
      <c r="F51" s="17">
        <v>1.3017513369629001E-2</v>
      </c>
      <c r="G51" s="17"/>
      <c r="H51" s="17"/>
      <c r="I51" s="17">
        <v>1.0902536656229001E-2</v>
      </c>
      <c r="J51" s="17"/>
      <c r="K51" s="17"/>
      <c r="L51" s="17">
        <v>8.9359936005412692E-3</v>
      </c>
      <c r="M51" s="17"/>
      <c r="N51" s="17"/>
      <c r="O51" s="17">
        <v>5.1378547389090905E-4</v>
      </c>
      <c r="P51" s="17"/>
      <c r="Q51" s="17"/>
      <c r="R51" s="17">
        <v>8.2000589183958E-3</v>
      </c>
      <c r="S51" s="17"/>
      <c r="T51" s="17"/>
      <c r="U51">
        <v>8.2399589841447903E-3</v>
      </c>
    </row>
    <row r="52" spans="1:21" x14ac:dyDescent="0.15">
      <c r="A52" s="5" t="s">
        <v>96</v>
      </c>
      <c r="B52" t="s">
        <v>338</v>
      </c>
      <c r="C52" s="17">
        <v>1.3209415114739001E-3</v>
      </c>
      <c r="D52" s="17"/>
      <c r="E52" s="17"/>
      <c r="F52" s="17">
        <v>1.56919447081283E-3</v>
      </c>
      <c r="G52" s="17"/>
      <c r="H52" s="17"/>
      <c r="I52" s="17">
        <v>1.3142448755769E-3</v>
      </c>
      <c r="J52" s="17"/>
      <c r="K52" s="17"/>
      <c r="L52" s="17">
        <v>1.07718819647256E-3</v>
      </c>
      <c r="M52" s="17"/>
      <c r="N52" s="17"/>
      <c r="O52" s="17">
        <v>5.5375354440332205E-4</v>
      </c>
      <c r="P52" s="17"/>
      <c r="Q52" s="17"/>
      <c r="R52" s="17">
        <v>9.8847504509632701E-4</v>
      </c>
      <c r="S52" s="17"/>
      <c r="T52" s="17"/>
      <c r="U52">
        <v>9.9328479337778197E-4</v>
      </c>
    </row>
    <row r="53" spans="1:21" x14ac:dyDescent="0.15">
      <c r="A53" s="5" t="s">
        <v>96</v>
      </c>
      <c r="B53" t="s">
        <v>338</v>
      </c>
      <c r="C53" s="17">
        <v>1.3446956721201301E-3</v>
      </c>
      <c r="D53" s="17"/>
      <c r="E53" s="17"/>
      <c r="F53" s="17">
        <v>1.5974129023036199E-3</v>
      </c>
      <c r="G53" s="17"/>
      <c r="H53" s="17"/>
      <c r="I53" s="17">
        <v>1.33787861229557E-3</v>
      </c>
      <c r="J53" s="17"/>
      <c r="K53" s="17"/>
      <c r="L53" s="17">
        <v>1.09655900225236E-3</v>
      </c>
      <c r="M53" s="17"/>
      <c r="N53" s="17"/>
      <c r="O53" s="17">
        <v>6.7822005192233199E-4</v>
      </c>
      <c r="P53" s="17"/>
      <c r="Q53" s="17"/>
      <c r="R53" s="17">
        <v>1.00625054447465E-3</v>
      </c>
      <c r="S53" s="17"/>
      <c r="T53" s="17"/>
      <c r="U53">
        <v>1.01114678525585E-3</v>
      </c>
    </row>
    <row r="54" spans="1:21" x14ac:dyDescent="0.15">
      <c r="A54" s="5" t="s">
        <v>96</v>
      </c>
      <c r="B54" t="s">
        <v>338</v>
      </c>
      <c r="C54" s="17">
        <v>8.0155914614045195E-3</v>
      </c>
      <c r="D54" s="17"/>
      <c r="E54" s="17"/>
      <c r="F54" s="17">
        <v>9.5220126646606805E-3</v>
      </c>
      <c r="G54" s="17"/>
      <c r="H54" s="17"/>
      <c r="I54" s="17">
        <v>7.9749556746948995E-3</v>
      </c>
      <c r="J54" s="17"/>
      <c r="K54" s="17"/>
      <c r="L54" s="17">
        <v>6.53647450320271E-3</v>
      </c>
      <c r="M54" s="17"/>
      <c r="N54" s="17"/>
      <c r="O54" s="17">
        <v>1.0043620177543301E-3</v>
      </c>
      <c r="P54" s="17"/>
      <c r="Q54" s="17"/>
      <c r="R54" s="17">
        <v>5.9981551510519702E-3</v>
      </c>
      <c r="S54" s="17"/>
      <c r="T54" s="17"/>
      <c r="U54">
        <v>6.0273411346261603E-3</v>
      </c>
    </row>
    <row r="55" spans="1:21" x14ac:dyDescent="0.15">
      <c r="A55" s="5" t="s">
        <v>96</v>
      </c>
      <c r="B55" t="s">
        <v>338</v>
      </c>
      <c r="C55" s="17">
        <v>2.8893411081806899E-2</v>
      </c>
      <c r="D55" s="17"/>
      <c r="E55" s="17"/>
      <c r="F55" s="17">
        <v>3.43235340237769E-2</v>
      </c>
      <c r="G55" s="17"/>
      <c r="H55" s="17"/>
      <c r="I55" s="17">
        <v>2.87469332459932E-2</v>
      </c>
      <c r="J55" s="17"/>
      <c r="K55" s="17"/>
      <c r="L55" s="17">
        <v>2.3561710418521401E-2</v>
      </c>
      <c r="M55" s="17"/>
      <c r="N55" s="17"/>
      <c r="O55" s="17">
        <v>1.0224232085863801E-3</v>
      </c>
      <c r="P55" s="17"/>
      <c r="Q55" s="17"/>
      <c r="R55" s="17">
        <v>2.1621256939838501E-2</v>
      </c>
      <c r="S55" s="17"/>
      <c r="T55" s="17"/>
      <c r="U55">
        <v>2.1726462229466399E-2</v>
      </c>
    </row>
    <row r="56" spans="1:21" x14ac:dyDescent="0.15">
      <c r="A56" s="5" t="s">
        <v>96</v>
      </c>
      <c r="B56" t="s">
        <v>338</v>
      </c>
      <c r="C56" s="17">
        <v>6.3829281866430903E-3</v>
      </c>
      <c r="D56" s="17"/>
      <c r="E56" s="17"/>
      <c r="F56" s="17">
        <v>7.5825125723392797E-3</v>
      </c>
      <c r="G56" s="17"/>
      <c r="H56" s="17"/>
      <c r="I56" s="17">
        <v>6.3505693383130403E-3</v>
      </c>
      <c r="J56" s="17"/>
      <c r="K56" s="17"/>
      <c r="L56" s="17">
        <v>5.2050865552042301E-3</v>
      </c>
      <c r="M56" s="17"/>
      <c r="N56" s="17"/>
      <c r="O56" s="17">
        <v>1.3996224978407501E-3</v>
      </c>
      <c r="P56" s="17"/>
      <c r="Q56" s="17"/>
      <c r="R56" s="17">
        <v>4.7764152858658197E-3</v>
      </c>
      <c r="S56" s="17"/>
      <c r="T56" s="17"/>
      <c r="U56">
        <v>4.7996564949653103E-3</v>
      </c>
    </row>
    <row r="57" spans="1:21" x14ac:dyDescent="0.15">
      <c r="A57" s="5" t="s">
        <v>96</v>
      </c>
      <c r="B57" t="s">
        <v>338</v>
      </c>
      <c r="C57" s="17">
        <v>1.8407898995667299E-3</v>
      </c>
      <c r="D57" s="17"/>
      <c r="E57" s="17"/>
      <c r="F57" s="17">
        <v>2.1867412805470698E-3</v>
      </c>
      <c r="G57" s="17"/>
      <c r="H57" s="17"/>
      <c r="I57" s="17">
        <v>1.8314578438979501E-3</v>
      </c>
      <c r="J57" s="17"/>
      <c r="K57" s="17"/>
      <c r="L57" s="17">
        <v>1.5011089702122501E-3</v>
      </c>
      <c r="M57" s="17"/>
      <c r="N57" s="17"/>
      <c r="O57" s="17">
        <v>1.4350559787987399E-3</v>
      </c>
      <c r="P57" s="17"/>
      <c r="Q57" s="17"/>
      <c r="R57" s="17">
        <v>1.3774833050380899E-3</v>
      </c>
      <c r="S57" s="17"/>
      <c r="T57" s="17"/>
      <c r="U57">
        <v>1.3841859001030999E-3</v>
      </c>
    </row>
    <row r="58" spans="1:21" x14ac:dyDescent="0.15">
      <c r="A58" s="5" t="s">
        <v>96</v>
      </c>
      <c r="B58" t="s">
        <v>338</v>
      </c>
      <c r="C58" s="17">
        <v>3.2621593156878801E-3</v>
      </c>
      <c r="D58" s="17"/>
      <c r="E58" s="17"/>
      <c r="F58" s="17">
        <v>3.8752377123619001E-3</v>
      </c>
      <c r="G58" s="17"/>
      <c r="H58" s="17"/>
      <c r="I58" s="17">
        <v>3.2456214955153598E-3</v>
      </c>
      <c r="J58" s="17"/>
      <c r="K58" s="17"/>
      <c r="L58" s="17">
        <v>2.6601931117685401E-3</v>
      </c>
      <c r="M58" s="17"/>
      <c r="N58" s="17"/>
      <c r="O58" s="17">
        <v>2.1562945992457299E-3</v>
      </c>
      <c r="P58" s="17"/>
      <c r="Q58" s="17"/>
      <c r="R58" s="17">
        <v>2.4411096544978898E-3</v>
      </c>
      <c r="S58" s="17"/>
      <c r="T58" s="17"/>
      <c r="U58">
        <v>2.4529876710687802E-3</v>
      </c>
    </row>
    <row r="59" spans="1:21" x14ac:dyDescent="0.15">
      <c r="A59" s="5" t="s">
        <v>96</v>
      </c>
      <c r="B59" t="s">
        <v>338</v>
      </c>
      <c r="C59" s="17">
        <v>6.75733001106776E-4</v>
      </c>
      <c r="D59" s="17"/>
      <c r="E59" s="17"/>
      <c r="F59" s="17">
        <v>8.0272781184639495E-4</v>
      </c>
      <c r="G59" s="17"/>
      <c r="H59" s="17"/>
      <c r="I59" s="17">
        <v>6.72307309785326E-4</v>
      </c>
      <c r="J59" s="17"/>
      <c r="K59" s="17"/>
      <c r="L59" s="17">
        <v>5.5104000172348402E-4</v>
      </c>
      <c r="M59" s="17"/>
      <c r="N59" s="17"/>
      <c r="O59" s="17">
        <v>2.4803436670595598E-3</v>
      </c>
      <c r="P59" s="17"/>
      <c r="Q59" s="17"/>
      <c r="R59" s="17">
        <v>5.0565842843170697E-4</v>
      </c>
      <c r="S59" s="17"/>
      <c r="T59" s="17"/>
      <c r="U59">
        <v>5.0811887472139103E-4</v>
      </c>
    </row>
    <row r="60" spans="1:21" x14ac:dyDescent="0.15">
      <c r="A60" s="5" t="s">
        <v>96</v>
      </c>
      <c r="B60" t="s">
        <v>338</v>
      </c>
      <c r="C60" s="17">
        <v>2.83596850215354E-3</v>
      </c>
      <c r="D60" s="17"/>
      <c r="E60" s="17"/>
      <c r="F60" s="17">
        <v>3.36895014224603E-3</v>
      </c>
      <c r="G60" s="17"/>
      <c r="H60" s="17"/>
      <c r="I60" s="17">
        <v>2.8215912959643802E-3</v>
      </c>
      <c r="J60" s="17"/>
      <c r="K60" s="17"/>
      <c r="L60" s="17">
        <v>2.3126472819217799E-3</v>
      </c>
      <c r="M60" s="17"/>
      <c r="N60" s="17"/>
      <c r="O60" s="17">
        <v>2.5866441099335401E-3</v>
      </c>
      <c r="P60" s="17"/>
      <c r="Q60" s="17"/>
      <c r="R60" s="17">
        <v>2.12218638653432E-3</v>
      </c>
      <c r="S60" s="17"/>
      <c r="T60" s="17"/>
      <c r="U60">
        <v>2.1325125777479398E-3</v>
      </c>
    </row>
    <row r="61" spans="1:21" x14ac:dyDescent="0.15">
      <c r="A61" s="5" t="s">
        <v>96</v>
      </c>
      <c r="B61" t="s">
        <v>338</v>
      </c>
      <c r="C61" s="17">
        <v>4.1942048344558499E-4</v>
      </c>
      <c r="D61" s="17"/>
      <c r="E61" s="17"/>
      <c r="F61" s="17">
        <v>4.9824484873224498E-4</v>
      </c>
      <c r="G61" s="17"/>
      <c r="H61" s="17"/>
      <c r="I61" s="17">
        <v>4.1729419228054697E-4</v>
      </c>
      <c r="J61" s="17"/>
      <c r="K61" s="17"/>
      <c r="L61" s="17">
        <v>3.4202482865595502E-4</v>
      </c>
      <c r="M61" s="17"/>
      <c r="N61" s="17"/>
      <c r="O61" s="17">
        <v>3.6369304351232001E-3</v>
      </c>
      <c r="P61" s="17"/>
      <c r="Q61" s="17"/>
      <c r="R61" s="17">
        <v>3.13856955578301E-4</v>
      </c>
      <c r="S61" s="17"/>
      <c r="T61" s="17"/>
      <c r="U61">
        <v>3.15384129137415E-4</v>
      </c>
    </row>
    <row r="62" spans="1:21" x14ac:dyDescent="0.15">
      <c r="A62" s="5" t="s">
        <v>96</v>
      </c>
      <c r="B62" t="s">
        <v>338</v>
      </c>
      <c r="C62" s="17">
        <v>4.8932389735318301E-3</v>
      </c>
      <c r="D62" s="17"/>
      <c r="E62" s="17"/>
      <c r="F62" s="17">
        <v>5.8128565685428603E-3</v>
      </c>
      <c r="G62" s="17"/>
      <c r="H62" s="17"/>
      <c r="I62" s="17">
        <v>4.8684322432730499E-3</v>
      </c>
      <c r="J62" s="17"/>
      <c r="K62" s="17"/>
      <c r="L62" s="17">
        <v>3.9902896676528203E-3</v>
      </c>
      <c r="M62" s="17"/>
      <c r="N62" s="17"/>
      <c r="O62" s="17">
        <v>3.7205155005893401E-3</v>
      </c>
      <c r="P62" s="17"/>
      <c r="Q62" s="17"/>
      <c r="R62" s="17">
        <v>3.6616644817468401E-3</v>
      </c>
      <c r="S62" s="17"/>
      <c r="T62" s="17"/>
      <c r="U62">
        <v>3.6794815066031801E-3</v>
      </c>
    </row>
    <row r="63" spans="1:21" x14ac:dyDescent="0.15">
      <c r="A63" s="5" t="s">
        <v>96</v>
      </c>
      <c r="B63" t="s">
        <v>338</v>
      </c>
      <c r="C63" s="17">
        <v>1.0671921189893199E-2</v>
      </c>
      <c r="D63" s="17"/>
      <c r="E63" s="17"/>
      <c r="F63" s="17">
        <v>1.2677563373298201E-2</v>
      </c>
      <c r="G63" s="17"/>
      <c r="H63" s="17"/>
      <c r="I63" s="17">
        <v>1.06178188924717E-2</v>
      </c>
      <c r="J63" s="17"/>
      <c r="K63" s="17"/>
      <c r="L63" s="17">
        <v>8.7026317513571004E-3</v>
      </c>
      <c r="M63" s="17"/>
      <c r="N63" s="17"/>
      <c r="O63" s="17">
        <v>4.8531828071363596E-3</v>
      </c>
      <c r="P63" s="17"/>
      <c r="Q63" s="17"/>
      <c r="R63" s="17">
        <v>7.9859158697145501E-3</v>
      </c>
      <c r="S63" s="17"/>
      <c r="T63" s="17"/>
      <c r="U63">
        <v>8.0247739524964608E-3</v>
      </c>
    </row>
    <row r="64" spans="1:21" x14ac:dyDescent="0.15">
      <c r="A64" s="5" t="s">
        <v>96</v>
      </c>
      <c r="B64" t="s">
        <v>338</v>
      </c>
      <c r="C64" s="17">
        <v>8.9199810891029503E-4</v>
      </c>
      <c r="D64" s="17"/>
      <c r="E64" s="17"/>
      <c r="F64" s="17">
        <v>1.05963700006349E-3</v>
      </c>
      <c r="G64" s="17"/>
      <c r="H64" s="17"/>
      <c r="I64" s="17">
        <v>8.87476041502845E-4</v>
      </c>
      <c r="J64" s="17"/>
      <c r="K64" s="17"/>
      <c r="L64" s="17">
        <v>7.2739771280403299E-4</v>
      </c>
      <c r="M64" s="17"/>
      <c r="N64" s="17"/>
      <c r="O64" s="17">
        <v>6.0945587247749197E-3</v>
      </c>
      <c r="P64" s="17"/>
      <c r="Q64" s="17"/>
      <c r="R64" s="17">
        <v>6.6749198452180196E-4</v>
      </c>
      <c r="S64" s="17"/>
      <c r="T64" s="17"/>
      <c r="U64">
        <v>6.7073988485207795E-4</v>
      </c>
    </row>
    <row r="65" spans="1:21" x14ac:dyDescent="0.15">
      <c r="A65" s="5" t="s">
        <v>96</v>
      </c>
      <c r="B65" t="s">
        <v>338</v>
      </c>
      <c r="C65" s="17">
        <v>1.02457303763588E-2</v>
      </c>
      <c r="D65" s="17"/>
      <c r="E65" s="17"/>
      <c r="F65" s="17">
        <v>1.2171275803182301E-2</v>
      </c>
      <c r="G65" s="17"/>
      <c r="H65" s="17"/>
      <c r="I65" s="17">
        <v>1.01937886929207E-2</v>
      </c>
      <c r="J65" s="17"/>
      <c r="K65" s="17"/>
      <c r="L65" s="17">
        <v>8.3550859215103402E-3</v>
      </c>
      <c r="M65" s="17"/>
      <c r="N65" s="17"/>
      <c r="O65" s="17">
        <v>7.7902180715667402E-3</v>
      </c>
      <c r="P65" s="17"/>
      <c r="Q65" s="17"/>
      <c r="R65" s="17">
        <v>7.6669926017509703E-3</v>
      </c>
      <c r="S65" s="17"/>
      <c r="T65" s="17"/>
      <c r="U65">
        <v>7.7042988591756196E-3</v>
      </c>
    </row>
    <row r="66" spans="1:21" x14ac:dyDescent="0.15">
      <c r="A66" s="5" t="s">
        <v>96</v>
      </c>
      <c r="B66" t="s">
        <v>338</v>
      </c>
      <c r="C66" s="17">
        <v>5.5922731126077999E-4</v>
      </c>
      <c r="D66" s="17"/>
      <c r="E66" s="17"/>
      <c r="F66" s="17">
        <v>6.64326464976327E-4</v>
      </c>
      <c r="G66" s="17"/>
      <c r="H66" s="17"/>
      <c r="I66" s="17">
        <v>5.5639225637406299E-4</v>
      </c>
      <c r="J66" s="17"/>
      <c r="K66" s="17"/>
      <c r="L66" s="17">
        <v>4.5603310487460699E-4</v>
      </c>
      <c r="M66" s="17"/>
      <c r="N66" s="17"/>
      <c r="O66" s="17">
        <v>8.1142671393805692E-3</v>
      </c>
      <c r="P66" s="17"/>
      <c r="Q66" s="17"/>
      <c r="R66" s="17">
        <v>4.18475940771068E-4</v>
      </c>
      <c r="S66" s="17"/>
      <c r="T66" s="17"/>
      <c r="U66">
        <v>4.2051217218321999E-4</v>
      </c>
    </row>
    <row r="67" spans="1:21" x14ac:dyDescent="0.15">
      <c r="A67" s="5" t="s">
        <v>96</v>
      </c>
      <c r="B67" t="s">
        <v>338</v>
      </c>
      <c r="C67" s="17">
        <v>7.2829918993120798E-4</v>
      </c>
      <c r="D67" s="17"/>
      <c r="E67" s="17"/>
      <c r="F67" s="17">
        <v>8.6517309964945796E-4</v>
      </c>
      <c r="G67" s="17"/>
      <c r="H67" s="17"/>
      <c r="I67" s="17">
        <v>7.2460700942458801E-4</v>
      </c>
      <c r="J67" s="17"/>
      <c r="K67" s="17"/>
      <c r="L67" s="17">
        <v>5.9390615260403699E-4</v>
      </c>
      <c r="M67" s="17"/>
      <c r="N67" s="17"/>
      <c r="O67" s="17">
        <v>8.3318519388436707E-3</v>
      </c>
      <c r="P67" s="17"/>
      <c r="Q67" s="17"/>
      <c r="R67" s="17">
        <v>5.44994285029018E-4</v>
      </c>
      <c r="S67" s="17"/>
      <c r="T67" s="17"/>
      <c r="U67">
        <v>5.4764613278058703E-4</v>
      </c>
    </row>
    <row r="68" spans="1:21" x14ac:dyDescent="0.15">
      <c r="A68" s="5" t="s">
        <v>96</v>
      </c>
      <c r="B68" t="s">
        <v>338</v>
      </c>
      <c r="C68" s="17">
        <v>3.4019661435030798E-3</v>
      </c>
      <c r="D68" s="17"/>
      <c r="E68" s="17"/>
      <c r="F68" s="17">
        <v>4.0413193286059799E-3</v>
      </c>
      <c r="G68" s="17"/>
      <c r="H68" s="17"/>
      <c r="I68" s="17">
        <v>3.3847195596088801E-3</v>
      </c>
      <c r="J68" s="17"/>
      <c r="K68" s="17"/>
      <c r="L68" s="17">
        <v>2.7742013879871901E-3</v>
      </c>
      <c r="M68" s="17"/>
      <c r="N68" s="17"/>
      <c r="O68" s="17">
        <v>9.2835720109943603E-3</v>
      </c>
      <c r="P68" s="17"/>
      <c r="Q68" s="17"/>
      <c r="R68" s="17">
        <v>2.54572863969066E-3</v>
      </c>
      <c r="S68" s="17"/>
      <c r="T68" s="17"/>
      <c r="U68">
        <v>2.5581157141145901E-3</v>
      </c>
    </row>
    <row r="69" spans="1:21" x14ac:dyDescent="0.15">
      <c r="A69" s="5" t="s">
        <v>96</v>
      </c>
      <c r="B69" t="s">
        <v>338</v>
      </c>
      <c r="C69" s="17">
        <v>3.6000258162412702E-2</v>
      </c>
      <c r="D69" s="17"/>
      <c r="E69" s="17"/>
      <c r="F69" s="17">
        <v>4.2766016182851002E-2</v>
      </c>
      <c r="G69" s="17"/>
      <c r="H69" s="17"/>
      <c r="I69" s="17">
        <v>3.58177515040803E-2</v>
      </c>
      <c r="J69" s="17"/>
      <c r="K69" s="17"/>
      <c r="L69" s="17">
        <v>2.93571311263028E-2</v>
      </c>
      <c r="M69" s="17"/>
      <c r="N69" s="17"/>
      <c r="O69" s="17">
        <v>9.9213746682382496E-3</v>
      </c>
      <c r="P69" s="17"/>
      <c r="Q69" s="17"/>
      <c r="R69" s="17">
        <v>2.6939388687137501E-2</v>
      </c>
      <c r="S69" s="17"/>
      <c r="T69" s="17"/>
      <c r="U69">
        <v>2.7070471084294799E-2</v>
      </c>
    </row>
    <row r="70" spans="1:21" x14ac:dyDescent="0.15">
      <c r="A70" s="5" t="s">
        <v>96</v>
      </c>
      <c r="B70" t="s">
        <v>338</v>
      </c>
      <c r="C70" s="17">
        <v>3.2008993239497699E-2</v>
      </c>
      <c r="D70" s="17"/>
      <c r="E70" s="17"/>
      <c r="F70" s="17">
        <v>3.8024647398400301E-2</v>
      </c>
      <c r="G70" s="17"/>
      <c r="H70" s="17"/>
      <c r="I70" s="17">
        <v>3.1846720670051898E-2</v>
      </c>
      <c r="J70" s="17"/>
      <c r="K70" s="17"/>
      <c r="L70" s="17">
        <v>2.61023742528044E-2</v>
      </c>
      <c r="M70" s="17"/>
      <c r="N70" s="17"/>
      <c r="O70" s="17">
        <v>2.1968758193956099E-2</v>
      </c>
      <c r="P70" s="17"/>
      <c r="Q70" s="17"/>
      <c r="R70" s="17">
        <v>2.3952681296688601E-2</v>
      </c>
      <c r="S70" s="17"/>
      <c r="T70" s="17"/>
      <c r="U70">
        <v>2.4069230893235798E-2</v>
      </c>
    </row>
    <row r="71" spans="1:21" x14ac:dyDescent="0.15">
      <c r="A71" s="5" t="s">
        <v>96</v>
      </c>
      <c r="B71" t="s">
        <v>338</v>
      </c>
      <c r="C71" s="17">
        <v>1.22097962958603E-2</v>
      </c>
      <c r="D71" s="17"/>
      <c r="E71" s="17"/>
      <c r="F71" s="17">
        <v>1.4504461151983099E-2</v>
      </c>
      <c r="G71" s="17"/>
      <c r="H71" s="17"/>
      <c r="I71" s="17">
        <v>1.21478975975003E-2</v>
      </c>
      <c r="J71" s="17"/>
      <c r="K71" s="17"/>
      <c r="L71" s="17">
        <v>9.9567227897622707E-3</v>
      </c>
      <c r="M71" s="17"/>
      <c r="N71" s="17"/>
      <c r="O71" s="17">
        <v>2.4337653678878898E-2</v>
      </c>
      <c r="P71" s="17"/>
      <c r="Q71" s="17"/>
      <c r="R71" s="17">
        <v>9.1367247068349904E-3</v>
      </c>
      <c r="S71" s="17"/>
      <c r="T71" s="17"/>
      <c r="U71">
        <v>9.1811824260003092E-3</v>
      </c>
    </row>
    <row r="72" spans="1:21" x14ac:dyDescent="0.15">
      <c r="A72" s="5" t="s">
        <v>96</v>
      </c>
      <c r="B72" t="s">
        <v>338</v>
      </c>
      <c r="C72" s="17">
        <v>1.8873921755051301E-3</v>
      </c>
      <c r="D72" s="17"/>
      <c r="E72" s="17"/>
      <c r="F72" s="17">
        <v>2.2421018192950999E-3</v>
      </c>
      <c r="G72" s="17"/>
      <c r="H72" s="17"/>
      <c r="I72" s="17">
        <v>1.87782386526246E-3</v>
      </c>
      <c r="J72" s="17"/>
      <c r="K72" s="17"/>
      <c r="L72" s="17">
        <v>1.5391117289518001E-3</v>
      </c>
      <c r="M72" s="17"/>
      <c r="N72" s="17"/>
      <c r="O72" s="17">
        <v>2.7372364040050098E-2</v>
      </c>
      <c r="P72" s="17"/>
      <c r="Q72" s="17"/>
      <c r="R72" s="17">
        <v>1.4123563001023499E-3</v>
      </c>
      <c r="S72" s="17"/>
      <c r="T72" s="17"/>
      <c r="U72">
        <v>1.4192285811183601E-3</v>
      </c>
    </row>
    <row r="73" spans="1:21" x14ac:dyDescent="0.15">
      <c r="A73" s="5" t="s">
        <v>96</v>
      </c>
      <c r="B73" t="s">
        <v>3586</v>
      </c>
      <c r="C73" s="17">
        <v>2.37911387003714E-3</v>
      </c>
      <c r="D73" s="17"/>
      <c r="E73" s="17"/>
      <c r="F73" s="17">
        <v>1.2555954836604799E-3</v>
      </c>
      <c r="G73" s="17"/>
      <c r="H73" s="17"/>
      <c r="I73" s="17">
        <v>1.5615439425289401E-4</v>
      </c>
      <c r="J73" s="17"/>
      <c r="K73" s="17"/>
      <c r="L73" s="17">
        <v>1.3122397116047199E-7</v>
      </c>
      <c r="M73" s="17"/>
      <c r="N73" s="17"/>
      <c r="O73" s="17">
        <v>1.10524927857667E-7</v>
      </c>
      <c r="P73" s="17"/>
      <c r="Q73" s="17"/>
      <c r="R73" s="17">
        <v>9.3093441438485594E-8</v>
      </c>
      <c r="S73" s="17"/>
      <c r="T73" s="17"/>
      <c r="U73" s="13">
        <v>7.22479858929589E-8</v>
      </c>
    </row>
    <row r="74" spans="1:21" x14ac:dyDescent="0.15">
      <c r="A74" s="5" t="s">
        <v>96</v>
      </c>
      <c r="B74" t="s">
        <v>3590</v>
      </c>
      <c r="C74" s="17">
        <v>5.8496288927117698E-8</v>
      </c>
      <c r="D74" s="17"/>
      <c r="E74" s="17"/>
      <c r="F74" s="17">
        <v>5.60749721802118E-8</v>
      </c>
      <c r="G74" s="17"/>
      <c r="H74" s="17"/>
      <c r="I74" s="17">
        <v>3.8702328851815398E-8</v>
      </c>
      <c r="J74" s="17"/>
      <c r="K74" s="17"/>
      <c r="L74" s="17">
        <v>2.32752970142401E-8</v>
      </c>
      <c r="M74" s="17"/>
      <c r="N74" s="17"/>
      <c r="O74" s="17">
        <v>1.8181192261833401E-9</v>
      </c>
      <c r="P74" s="17"/>
      <c r="Q74" s="17"/>
      <c r="R74" s="17">
        <v>3.5293770881266701E-9</v>
      </c>
      <c r="S74" s="17"/>
      <c r="T74" s="17"/>
      <c r="U74" s="13">
        <v>6.8575852156241601E-10</v>
      </c>
    </row>
    <row r="75" spans="1:21" x14ac:dyDescent="0.15">
      <c r="A75" s="5" t="s">
        <v>96</v>
      </c>
      <c r="B75" t="s">
        <v>3590</v>
      </c>
      <c r="C75" s="17">
        <v>3.04711895254723E-7</v>
      </c>
      <c r="D75" s="17"/>
      <c r="E75" s="17"/>
      <c r="F75" s="17">
        <v>2.9209906068874002E-7</v>
      </c>
      <c r="G75" s="17"/>
      <c r="H75" s="17"/>
      <c r="I75" s="17">
        <v>2.0160355796077099E-7</v>
      </c>
      <c r="J75" s="17"/>
      <c r="K75" s="17"/>
      <c r="L75" s="17">
        <v>1.21242902685026E-7</v>
      </c>
      <c r="M75" s="17"/>
      <c r="N75" s="17"/>
      <c r="O75" s="17">
        <v>2.7574808263859499E-9</v>
      </c>
      <c r="P75" s="17"/>
      <c r="Q75" s="17"/>
      <c r="R75" s="17">
        <v>1.8384810409624499E-8</v>
      </c>
      <c r="S75" s="17"/>
      <c r="T75" s="17"/>
      <c r="U75" s="13">
        <v>3.5721715449797E-9</v>
      </c>
    </row>
    <row r="76" spans="1:21" x14ac:dyDescent="0.15">
      <c r="A76" s="5" t="s">
        <v>96</v>
      </c>
      <c r="B76" t="s">
        <v>3590</v>
      </c>
      <c r="C76" s="17">
        <v>7.4728988767599603E-8</v>
      </c>
      <c r="D76" s="17"/>
      <c r="E76" s="17"/>
      <c r="F76" s="17">
        <v>7.1635757465221304E-8</v>
      </c>
      <c r="G76" s="17"/>
      <c r="H76" s="17"/>
      <c r="I76" s="17">
        <v>4.9442211652960101E-8</v>
      </c>
      <c r="J76" s="17"/>
      <c r="K76" s="17"/>
      <c r="L76" s="17">
        <v>2.97341838438126E-8</v>
      </c>
      <c r="M76" s="17"/>
      <c r="N76" s="17"/>
      <c r="O76" s="17">
        <v>4.4275484960192504E-9</v>
      </c>
      <c r="P76" s="17"/>
      <c r="Q76" s="17"/>
      <c r="R76" s="17">
        <v>4.5087780030601898E-9</v>
      </c>
      <c r="S76" s="17"/>
      <c r="T76" s="17"/>
      <c r="U76" s="13">
        <v>8.7605627288549105E-10</v>
      </c>
    </row>
    <row r="77" spans="1:21" x14ac:dyDescent="0.15">
      <c r="A77" s="5" t="s">
        <v>96</v>
      </c>
      <c r="B77" t="s">
        <v>3590</v>
      </c>
      <c r="C77" s="17">
        <v>1.8365443135175199E-7</v>
      </c>
      <c r="D77" s="17"/>
      <c r="E77" s="17"/>
      <c r="F77" s="17">
        <v>1.7605248670822901E-7</v>
      </c>
      <c r="G77" s="17"/>
      <c r="H77" s="17"/>
      <c r="I77" s="17">
        <v>1.2150948936477901E-7</v>
      </c>
      <c r="J77" s="17"/>
      <c r="K77" s="17"/>
      <c r="L77" s="17">
        <v>7.3074916650170404E-8</v>
      </c>
      <c r="M77" s="17"/>
      <c r="N77" s="17"/>
      <c r="O77" s="17">
        <v>5.0907338333238704E-9</v>
      </c>
      <c r="P77" s="17"/>
      <c r="Q77" s="17"/>
      <c r="R77" s="17">
        <v>1.10808010907051E-8</v>
      </c>
      <c r="S77" s="17"/>
      <c r="T77" s="17"/>
      <c r="U77" s="13">
        <v>2.1530013891835E-9</v>
      </c>
    </row>
    <row r="78" spans="1:21" x14ac:dyDescent="0.15">
      <c r="A78" s="5" t="s">
        <v>96</v>
      </c>
      <c r="B78" t="s">
        <v>3590</v>
      </c>
      <c r="C78" s="17">
        <v>5.0384413066021903E-8</v>
      </c>
      <c r="D78" s="17"/>
      <c r="E78" s="17"/>
      <c r="F78" s="17">
        <v>4.8298868403662603E-8</v>
      </c>
      <c r="G78" s="17"/>
      <c r="H78" s="17"/>
      <c r="I78" s="17">
        <v>3.3335347579338602E-8</v>
      </c>
      <c r="J78" s="17"/>
      <c r="K78" s="17"/>
      <c r="L78" s="17">
        <v>2.0047633798802799E-8</v>
      </c>
      <c r="M78" s="17"/>
      <c r="N78" s="17"/>
      <c r="O78" s="17">
        <v>7.2724769047483901E-9</v>
      </c>
      <c r="P78" s="17"/>
      <c r="Q78" s="17"/>
      <c r="R78" s="17">
        <v>3.0399465732858098E-9</v>
      </c>
      <c r="S78" s="17"/>
      <c r="T78" s="17"/>
      <c r="U78" s="13">
        <v>5.9066209579541205E-10</v>
      </c>
    </row>
    <row r="79" spans="1:21" x14ac:dyDescent="0.15">
      <c r="A79" s="5" t="s">
        <v>96</v>
      </c>
      <c r="B79" t="s">
        <v>3590</v>
      </c>
      <c r="C79" s="17">
        <v>1.8848804209853199E-7</v>
      </c>
      <c r="D79" s="17"/>
      <c r="E79" s="17"/>
      <c r="F79" s="17">
        <v>1.80686021469611E-7</v>
      </c>
      <c r="G79" s="17"/>
      <c r="H79" s="17"/>
      <c r="I79" s="17">
        <v>1.2470750407809899E-7</v>
      </c>
      <c r="J79" s="17"/>
      <c r="K79" s="17"/>
      <c r="L79" s="17">
        <v>7.4998179268123894E-8</v>
      </c>
      <c r="M79" s="17"/>
      <c r="N79" s="17"/>
      <c r="O79" s="17">
        <v>8.9542371889381697E-9</v>
      </c>
      <c r="P79" s="17"/>
      <c r="Q79" s="17"/>
      <c r="R79" s="17">
        <v>1.13724372839662E-8</v>
      </c>
      <c r="S79" s="17"/>
      <c r="T79" s="17"/>
      <c r="U79" s="13">
        <v>2.20966634725717E-9</v>
      </c>
    </row>
    <row r="80" spans="1:21" x14ac:dyDescent="0.15">
      <c r="A80" s="5" t="s">
        <v>96</v>
      </c>
      <c r="B80" t="s">
        <v>3590</v>
      </c>
      <c r="C80" s="17">
        <v>7.7441895506519604E-8</v>
      </c>
      <c r="D80" s="17"/>
      <c r="E80" s="17"/>
      <c r="F80" s="17">
        <v>7.4236369789568702E-8</v>
      </c>
      <c r="G80" s="17"/>
      <c r="H80" s="17"/>
      <c r="I80" s="17">
        <v>5.1237125666818397E-8</v>
      </c>
      <c r="J80" s="17"/>
      <c r="K80" s="17"/>
      <c r="L80" s="17">
        <v>3.0813631981094803E-8</v>
      </c>
      <c r="M80" s="17"/>
      <c r="N80" s="17"/>
      <c r="O80" s="17">
        <v>9.0095712523666108E-9</v>
      </c>
      <c r="P80" s="17"/>
      <c r="Q80" s="17"/>
      <c r="R80" s="17">
        <v>4.6724613932748904E-9</v>
      </c>
      <c r="S80" s="17"/>
      <c r="T80" s="17"/>
      <c r="U80" s="13">
        <v>9.0785998126665797E-10</v>
      </c>
    </row>
    <row r="81" spans="1:21" x14ac:dyDescent="0.15">
      <c r="A81" s="5" t="s">
        <v>96</v>
      </c>
      <c r="B81" t="s">
        <v>3590</v>
      </c>
      <c r="C81" s="17">
        <v>4.4503059026862102E-8</v>
      </c>
      <c r="D81" s="17"/>
      <c r="E81" s="17"/>
      <c r="F81" s="17">
        <v>4.2660959227257098E-8</v>
      </c>
      <c r="G81" s="17"/>
      <c r="H81" s="17"/>
      <c r="I81" s="17">
        <v>2.9444124695078101E-8</v>
      </c>
      <c r="J81" s="17"/>
      <c r="K81" s="17"/>
      <c r="L81" s="17">
        <v>1.7707480865718499E-8</v>
      </c>
      <c r="M81" s="17"/>
      <c r="N81" s="17"/>
      <c r="O81" s="17">
        <v>9.0405319783316095E-9</v>
      </c>
      <c r="P81" s="17"/>
      <c r="Q81" s="17"/>
      <c r="R81" s="17">
        <v>2.68509472586632E-9</v>
      </c>
      <c r="S81" s="17"/>
      <c r="T81" s="17"/>
      <c r="U81" s="13">
        <v>5.2171432620776495E-10</v>
      </c>
    </row>
    <row r="82" spans="1:21" x14ac:dyDescent="0.15">
      <c r="A82" s="5" t="s">
        <v>96</v>
      </c>
      <c r="B82" t="s">
        <v>3590</v>
      </c>
      <c r="C82" s="17">
        <v>2.1777441943049601E-7</v>
      </c>
      <c r="D82" s="17"/>
      <c r="E82" s="17"/>
      <c r="F82" s="17">
        <v>2.08760157868164E-7</v>
      </c>
      <c r="G82" s="17"/>
      <c r="H82" s="17"/>
      <c r="I82" s="17">
        <v>1.44083964143664E-7</v>
      </c>
      <c r="J82" s="17"/>
      <c r="K82" s="17"/>
      <c r="L82" s="17">
        <v>8.6651040387602104E-8</v>
      </c>
      <c r="M82" s="17"/>
      <c r="N82" s="17"/>
      <c r="O82" s="17">
        <v>9.5434790903587008E-9</v>
      </c>
      <c r="P82" s="17"/>
      <c r="Q82" s="17"/>
      <c r="R82" s="17">
        <v>1.3139432610429599E-8</v>
      </c>
      <c r="S82" s="17"/>
      <c r="T82" s="17"/>
      <c r="U82" s="13">
        <v>2.5529938162203499E-9</v>
      </c>
    </row>
    <row r="83" spans="1:21" x14ac:dyDescent="0.15">
      <c r="A83" s="5" t="s">
        <v>96</v>
      </c>
      <c r="B83" t="s">
        <v>3590</v>
      </c>
      <c r="C83" s="17">
        <v>4.7140313493641002E-8</v>
      </c>
      <c r="D83" s="17"/>
      <c r="E83" s="17"/>
      <c r="F83" s="17">
        <v>4.5189050727916601E-8</v>
      </c>
      <c r="G83" s="17"/>
      <c r="H83" s="17"/>
      <c r="I83" s="17">
        <v>3.1188985634314202E-8</v>
      </c>
      <c r="J83" s="17"/>
      <c r="K83" s="17"/>
      <c r="L83" s="17">
        <v>1.8756827450642699E-8</v>
      </c>
      <c r="M83" s="17"/>
      <c r="N83" s="17"/>
      <c r="O83" s="17">
        <v>9.9092438368475904E-9</v>
      </c>
      <c r="P83" s="17"/>
      <c r="Q83" s="17"/>
      <c r="R83" s="17">
        <v>2.84421363172044E-9</v>
      </c>
      <c r="S83" s="17"/>
      <c r="T83" s="17"/>
      <c r="U83" s="13">
        <v>5.5263115456204701E-10</v>
      </c>
    </row>
    <row r="84" spans="1:21" x14ac:dyDescent="0.15">
      <c r="A84" s="5" t="s">
        <v>96</v>
      </c>
      <c r="B84" t="s">
        <v>3590</v>
      </c>
      <c r="C84" s="17">
        <v>2.1870014292953301E-8</v>
      </c>
      <c r="D84" s="17"/>
      <c r="E84" s="17"/>
      <c r="F84" s="17">
        <v>2.09647563213139E-8</v>
      </c>
      <c r="G84" s="17"/>
      <c r="H84" s="17"/>
      <c r="I84" s="17">
        <v>1.44696441549371E-8</v>
      </c>
      <c r="J84" s="17"/>
      <c r="K84" s="17"/>
      <c r="L84" s="17">
        <v>8.7019379812005595E-9</v>
      </c>
      <c r="M84" s="17"/>
      <c r="N84" s="17"/>
      <c r="O84" s="17">
        <v>1.0200241723900201E-8</v>
      </c>
      <c r="P84" s="17"/>
      <c r="Q84" s="17"/>
      <c r="R84" s="17">
        <v>1.3195286193064799E-9</v>
      </c>
      <c r="S84" s="17"/>
      <c r="T84" s="17"/>
      <c r="U84" s="13">
        <v>2.5638461760831598E-10</v>
      </c>
    </row>
    <row r="85" spans="1:21" x14ac:dyDescent="0.15">
      <c r="A85" s="5" t="s">
        <v>96</v>
      </c>
      <c r="B85" t="s">
        <v>3590</v>
      </c>
      <c r="C85" s="17">
        <v>2.5145839011478601E-8</v>
      </c>
      <c r="D85" s="17"/>
      <c r="E85" s="17"/>
      <c r="F85" s="17">
        <v>2.4104985955153101E-8</v>
      </c>
      <c r="G85" s="17"/>
      <c r="H85" s="17"/>
      <c r="I85" s="17">
        <v>1.66369960988396E-8</v>
      </c>
      <c r="J85" s="17"/>
      <c r="K85" s="17"/>
      <c r="L85" s="17">
        <v>1.00053675609002E-8</v>
      </c>
      <c r="M85" s="17"/>
      <c r="N85" s="17"/>
      <c r="O85" s="17">
        <v>1.1823703619829401E-8</v>
      </c>
      <c r="P85" s="17"/>
      <c r="Q85" s="17"/>
      <c r="R85" s="17">
        <v>1.5171756994603501E-9</v>
      </c>
      <c r="S85" s="17"/>
      <c r="T85" s="17"/>
      <c r="U85" s="13">
        <v>2.9478747626952702E-10</v>
      </c>
    </row>
    <row r="86" spans="1:21" x14ac:dyDescent="0.15">
      <c r="A86" s="5" t="s">
        <v>96</v>
      </c>
      <c r="B86" t="s">
        <v>3590</v>
      </c>
      <c r="C86" s="17">
        <v>4.42297346896685E-8</v>
      </c>
      <c r="D86" s="17"/>
      <c r="E86" s="17"/>
      <c r="F86" s="17">
        <v>4.2398948510245598E-8</v>
      </c>
      <c r="G86" s="17"/>
      <c r="H86" s="17"/>
      <c r="I86" s="17">
        <v>2.9263287780886001E-8</v>
      </c>
      <c r="J86" s="17"/>
      <c r="K86" s="17"/>
      <c r="L86" s="17">
        <v>1.7598726870446599E-8</v>
      </c>
      <c r="M86" s="17"/>
      <c r="N86" s="17"/>
      <c r="O86" s="17">
        <v>1.1842477677091199E-8</v>
      </c>
      <c r="P86" s="17"/>
      <c r="Q86" s="17"/>
      <c r="R86" s="17">
        <v>2.6686036856480202E-9</v>
      </c>
      <c r="S86" s="17"/>
      <c r="T86" s="17"/>
      <c r="U86" s="13">
        <v>5.18510114507866E-10</v>
      </c>
    </row>
    <row r="87" spans="1:21" x14ac:dyDescent="0.15">
      <c r="A87" s="5" t="s">
        <v>96</v>
      </c>
      <c r="B87" t="s">
        <v>3590</v>
      </c>
      <c r="C87" s="17">
        <v>4.8947019900304303E-8</v>
      </c>
      <c r="D87" s="17"/>
      <c r="E87" s="17"/>
      <c r="F87" s="17">
        <v>4.6920972758349701E-8</v>
      </c>
      <c r="G87" s="17"/>
      <c r="H87" s="17"/>
      <c r="I87" s="17">
        <v>3.2384339164800298E-8</v>
      </c>
      <c r="J87" s="17"/>
      <c r="K87" s="17"/>
      <c r="L87" s="17">
        <v>1.9475704305976402E-8</v>
      </c>
      <c r="M87" s="17"/>
      <c r="N87" s="17"/>
      <c r="O87" s="17">
        <v>1.3501676155664899E-8</v>
      </c>
      <c r="P87" s="17"/>
      <c r="Q87" s="17"/>
      <c r="R87" s="17">
        <v>2.9532213707343399E-9</v>
      </c>
      <c r="S87" s="17"/>
      <c r="T87" s="17"/>
      <c r="U87" s="13">
        <v>5.7381137534279505E-10</v>
      </c>
    </row>
    <row r="88" spans="1:21" x14ac:dyDescent="0.15">
      <c r="A88" s="5" t="s">
        <v>96</v>
      </c>
      <c r="B88" t="s">
        <v>3590</v>
      </c>
      <c r="C88" s="17">
        <v>1.01752305665989E-7</v>
      </c>
      <c r="D88" s="17"/>
      <c r="E88" s="17"/>
      <c r="F88" s="17">
        <v>9.7540507511540599E-8</v>
      </c>
      <c r="G88" s="17"/>
      <c r="H88" s="17"/>
      <c r="I88" s="17">
        <v>6.7321385126193197E-8</v>
      </c>
      <c r="J88" s="17"/>
      <c r="K88" s="17"/>
      <c r="L88" s="17">
        <v>4.0486587776711903E-8</v>
      </c>
      <c r="M88" s="17"/>
      <c r="N88" s="17"/>
      <c r="O88" s="17">
        <v>1.51206915644507E-8</v>
      </c>
      <c r="P88" s="17"/>
      <c r="Q88" s="17"/>
      <c r="R88" s="17">
        <v>6.13923144302447E-9</v>
      </c>
      <c r="S88" s="17"/>
      <c r="T88" s="17"/>
      <c r="U88" s="13">
        <v>1.1928536318947301E-9</v>
      </c>
    </row>
    <row r="89" spans="1:21" x14ac:dyDescent="0.15">
      <c r="A89" s="5" t="s">
        <v>96</v>
      </c>
      <c r="B89" t="s">
        <v>3590</v>
      </c>
      <c r="C89" s="17">
        <v>1.6654237553366699E-7</v>
      </c>
      <c r="D89" s="17"/>
      <c r="E89" s="17"/>
      <c r="F89" s="17">
        <v>1.5964874432482999E-7</v>
      </c>
      <c r="G89" s="17"/>
      <c r="H89" s="17"/>
      <c r="I89" s="17">
        <v>1.10187806848692E-7</v>
      </c>
      <c r="J89" s="17"/>
      <c r="K89" s="17"/>
      <c r="L89" s="17">
        <v>6.6266139734656604E-8</v>
      </c>
      <c r="M89" s="17"/>
      <c r="N89" s="17"/>
      <c r="O89" s="17">
        <v>1.5128761115333699E-8</v>
      </c>
      <c r="P89" s="17"/>
      <c r="Q89" s="17"/>
      <c r="R89" s="17">
        <v>1.0048344180312999E-8</v>
      </c>
      <c r="S89" s="17"/>
      <c r="T89" s="17"/>
      <c r="U89" s="13">
        <v>1.9523948496246499E-9</v>
      </c>
    </row>
    <row r="90" spans="1:21" x14ac:dyDescent="0.15">
      <c r="A90" s="5" t="s">
        <v>96</v>
      </c>
      <c r="B90" t="s">
        <v>3590</v>
      </c>
      <c r="C90" s="17">
        <v>4.4655990501239803E-8</v>
      </c>
      <c r="D90" s="17"/>
      <c r="E90" s="17"/>
      <c r="F90" s="17">
        <v>4.2807560461771202E-8</v>
      </c>
      <c r="G90" s="17"/>
      <c r="H90" s="17"/>
      <c r="I90" s="17">
        <v>2.9545307254206399E-8</v>
      </c>
      <c r="J90" s="17"/>
      <c r="K90" s="17"/>
      <c r="L90" s="17">
        <v>1.77683313154521E-8</v>
      </c>
      <c r="M90" s="17"/>
      <c r="N90" s="17"/>
      <c r="O90" s="17">
        <v>1.56779846316446E-8</v>
      </c>
      <c r="P90" s="17"/>
      <c r="Q90" s="17"/>
      <c r="R90" s="17">
        <v>2.6943218555120099E-9</v>
      </c>
      <c r="S90" s="17"/>
      <c r="T90" s="17"/>
      <c r="U90" s="13">
        <v>5.2350715894455998E-10</v>
      </c>
    </row>
    <row r="91" spans="1:21" x14ac:dyDescent="0.15">
      <c r="A91" s="5" t="s">
        <v>96</v>
      </c>
      <c r="B91" t="s">
        <v>3590</v>
      </c>
      <c r="C91" s="17">
        <v>8.6398148337579606E-8</v>
      </c>
      <c r="D91" s="17"/>
      <c r="E91" s="17"/>
      <c r="F91" s="17">
        <v>8.2821899530888993E-8</v>
      </c>
      <c r="G91" s="17"/>
      <c r="H91" s="17"/>
      <c r="I91" s="17">
        <v>5.7162763834729603E-8</v>
      </c>
      <c r="J91" s="17"/>
      <c r="K91" s="17"/>
      <c r="L91" s="17">
        <v>3.4377267360379703E-8</v>
      </c>
      <c r="M91" s="17"/>
      <c r="N91" s="17"/>
      <c r="O91" s="17">
        <v>1.6020199464195401E-8</v>
      </c>
      <c r="P91" s="17"/>
      <c r="Q91" s="17"/>
      <c r="R91" s="17">
        <v>5.2128374430580898E-9</v>
      </c>
      <c r="S91" s="17"/>
      <c r="T91" s="17"/>
      <c r="U91" s="13">
        <v>1.01285513246025E-9</v>
      </c>
    </row>
    <row r="92" spans="1:21" x14ac:dyDescent="0.15">
      <c r="A92" s="5" t="s">
        <v>96</v>
      </c>
      <c r="B92" t="s">
        <v>3590</v>
      </c>
      <c r="C92" s="17">
        <v>1.7565562716569999E-7</v>
      </c>
      <c r="D92" s="17"/>
      <c r="E92" s="17"/>
      <c r="F92" s="17">
        <v>1.6838477426980999E-7</v>
      </c>
      <c r="G92" s="17"/>
      <c r="H92" s="17"/>
      <c r="I92" s="17">
        <v>1.1621731860133799E-7</v>
      </c>
      <c r="J92" s="17"/>
      <c r="K92" s="17"/>
      <c r="L92" s="17">
        <v>6.9892243926759403E-8</v>
      </c>
      <c r="M92" s="17"/>
      <c r="N92" s="17"/>
      <c r="O92" s="17">
        <v>1.74911633164388E-8</v>
      </c>
      <c r="P92" s="17"/>
      <c r="Q92" s="17"/>
      <c r="R92" s="17">
        <v>1.05981927621351E-8</v>
      </c>
      <c r="S92" s="17"/>
      <c r="T92" s="17"/>
      <c r="U92" s="13">
        <v>2.0592305152785101E-9</v>
      </c>
    </row>
    <row r="93" spans="1:21" x14ac:dyDescent="0.15">
      <c r="A93" s="5" t="s">
        <v>96</v>
      </c>
      <c r="B93" t="s">
        <v>3590</v>
      </c>
      <c r="C93" s="17">
        <v>2.4782545413434799E-7</v>
      </c>
      <c r="D93" s="17"/>
      <c r="E93" s="17"/>
      <c r="F93" s="17">
        <v>2.3756730043928799E-7</v>
      </c>
      <c r="G93" s="17"/>
      <c r="H93" s="17"/>
      <c r="I93" s="17">
        <v>1.6396633700486999E-7</v>
      </c>
      <c r="J93" s="17"/>
      <c r="K93" s="17"/>
      <c r="L93" s="17">
        <v>9.8608153755748595E-8</v>
      </c>
      <c r="M93" s="17"/>
      <c r="N93" s="17"/>
      <c r="O93" s="17">
        <v>1.7597714325390699E-8</v>
      </c>
      <c r="P93" s="17"/>
      <c r="Q93" s="17"/>
      <c r="R93" s="17">
        <v>1.4952563585121299E-8</v>
      </c>
      <c r="S93" s="17"/>
      <c r="T93" s="17"/>
      <c r="U93" s="13">
        <v>2.9052854488675201E-9</v>
      </c>
    </row>
    <row r="94" spans="1:21" x14ac:dyDescent="0.15">
      <c r="A94" s="5" t="s">
        <v>96</v>
      </c>
      <c r="B94" t="s">
        <v>3590</v>
      </c>
      <c r="C94" s="17">
        <v>1.3620662797895001E-8</v>
      </c>
      <c r="D94" s="17"/>
      <c r="E94" s="17"/>
      <c r="F94" s="17">
        <v>1.3056867392384901E-8</v>
      </c>
      <c r="G94" s="17"/>
      <c r="H94" s="17"/>
      <c r="I94" s="17">
        <v>9.0117062202119603E-9</v>
      </c>
      <c r="J94" s="17"/>
      <c r="K94" s="17"/>
      <c r="L94" s="17">
        <v>5.41957409549193E-9</v>
      </c>
      <c r="M94" s="17"/>
      <c r="N94" s="17"/>
      <c r="O94" s="17">
        <v>2.0599587265157801E-8</v>
      </c>
      <c r="P94" s="17"/>
      <c r="Q94" s="17"/>
      <c r="R94" s="17">
        <v>8.2180350387500903E-10</v>
      </c>
      <c r="S94" s="17"/>
      <c r="T94" s="17"/>
      <c r="U94" s="13">
        <v>1.5967654964612001E-10</v>
      </c>
    </row>
    <row r="95" spans="1:21" x14ac:dyDescent="0.15">
      <c r="A95" s="5" t="s">
        <v>96</v>
      </c>
      <c r="B95" t="s">
        <v>3590</v>
      </c>
      <c r="C95" s="17">
        <v>7.4689128968591799E-8</v>
      </c>
      <c r="D95" s="17"/>
      <c r="E95" s="17"/>
      <c r="F95" s="17">
        <v>7.1597547569149801E-8</v>
      </c>
      <c r="G95" s="17"/>
      <c r="H95" s="17"/>
      <c r="I95" s="17">
        <v>4.9415839603083702E-8</v>
      </c>
      <c r="J95" s="17"/>
      <c r="K95" s="17"/>
      <c r="L95" s="17">
        <v>2.9718323886234901E-8</v>
      </c>
      <c r="M95" s="17"/>
      <c r="N95" s="17"/>
      <c r="O95" s="17">
        <v>2.7644799266673301E-8</v>
      </c>
      <c r="P95" s="17"/>
      <c r="Q95" s="17"/>
      <c r="R95" s="17">
        <v>4.5063730597050501E-9</v>
      </c>
      <c r="S95" s="17"/>
      <c r="T95" s="17"/>
      <c r="U95" s="13">
        <v>8.7558899201453802E-10</v>
      </c>
    </row>
    <row r="96" spans="1:21" x14ac:dyDescent="0.15">
      <c r="A96" s="5" t="s">
        <v>96</v>
      </c>
      <c r="B96" t="s">
        <v>3590</v>
      </c>
      <c r="C96" s="17">
        <v>8.6924460379288905E-8</v>
      </c>
      <c r="D96" s="17"/>
      <c r="E96" s="17"/>
      <c r="F96" s="17">
        <v>8.3326426119468503E-8</v>
      </c>
      <c r="G96" s="17"/>
      <c r="H96" s="17"/>
      <c r="I96" s="17">
        <v>5.7510982535274502E-8</v>
      </c>
      <c r="J96" s="17"/>
      <c r="K96" s="17"/>
      <c r="L96" s="17">
        <v>3.4586683535621501E-8</v>
      </c>
      <c r="M96" s="17"/>
      <c r="N96" s="17"/>
      <c r="O96" s="17">
        <v>3.3716230563010997E-8</v>
      </c>
      <c r="P96" s="17"/>
      <c r="Q96" s="17"/>
      <c r="R96" s="17">
        <v>5.2445925115467597E-9</v>
      </c>
      <c r="S96" s="17"/>
      <c r="T96" s="17"/>
      <c r="U96" s="13">
        <v>1.0190251472461901E-9</v>
      </c>
    </row>
    <row r="97" spans="1:21" x14ac:dyDescent="0.15">
      <c r="A97" s="5" t="s">
        <v>96</v>
      </c>
      <c r="B97" t="s">
        <v>3590</v>
      </c>
      <c r="C97" s="17">
        <v>5.8403553884007098E-8</v>
      </c>
      <c r="D97" s="17"/>
      <c r="E97" s="17"/>
      <c r="F97" s="17">
        <v>5.5986075686811401E-8</v>
      </c>
      <c r="G97" s="17"/>
      <c r="H97" s="17"/>
      <c r="I97" s="17">
        <v>3.8640973470125702E-8</v>
      </c>
      <c r="J97" s="17"/>
      <c r="K97" s="17"/>
      <c r="L97" s="17">
        <v>2.32383983372195E-8</v>
      </c>
      <c r="M97" s="17"/>
      <c r="N97" s="17"/>
      <c r="O97" s="17">
        <v>3.5561193397363202E-8</v>
      </c>
      <c r="P97" s="17"/>
      <c r="Q97" s="17"/>
      <c r="R97" s="17">
        <v>3.5237819137588001E-9</v>
      </c>
      <c r="S97" s="17"/>
      <c r="T97" s="17"/>
      <c r="U97" s="13">
        <v>6.8467137830552095E-10</v>
      </c>
    </row>
    <row r="98" spans="1:21" x14ac:dyDescent="0.15">
      <c r="A98" s="5" t="s">
        <v>96</v>
      </c>
      <c r="B98" t="s">
        <v>3590</v>
      </c>
      <c r="C98" s="17">
        <v>8.9806567897952706E-9</v>
      </c>
      <c r="D98" s="17"/>
      <c r="E98" s="17"/>
      <c r="F98" s="17">
        <v>8.6089235553940704E-9</v>
      </c>
      <c r="G98" s="17"/>
      <c r="H98" s="17"/>
      <c r="I98" s="17">
        <v>5.94178432100191E-9</v>
      </c>
      <c r="J98" s="17"/>
      <c r="K98" s="17"/>
      <c r="L98" s="17">
        <v>3.5733455574569998E-9</v>
      </c>
      <c r="M98" s="17"/>
      <c r="N98" s="17"/>
      <c r="O98" s="17">
        <v>3.71805381755383E-8</v>
      </c>
      <c r="P98" s="17"/>
      <c r="Q98" s="17"/>
      <c r="R98" s="17">
        <v>5.4184846409186501E-10</v>
      </c>
      <c r="S98" s="17"/>
      <c r="T98" s="17"/>
      <c r="U98" s="13">
        <v>1.0528124152461401E-10</v>
      </c>
    </row>
    <row r="99" spans="1:21" x14ac:dyDescent="0.15">
      <c r="A99" s="5" t="s">
        <v>96</v>
      </c>
      <c r="B99" t="s">
        <v>3590</v>
      </c>
      <c r="C99" s="17">
        <v>2.2914020882920699E-7</v>
      </c>
      <c r="D99" s="17"/>
      <c r="E99" s="17"/>
      <c r="F99" s="17">
        <v>2.1965548705961001E-7</v>
      </c>
      <c r="G99" s="17"/>
      <c r="H99" s="17"/>
      <c r="I99" s="17">
        <v>1.5160380047922099E-7</v>
      </c>
      <c r="J99" s="17"/>
      <c r="K99" s="17"/>
      <c r="L99" s="17">
        <v>9.1173414864825706E-8</v>
      </c>
      <c r="M99" s="17"/>
      <c r="N99" s="17"/>
      <c r="O99" s="17">
        <v>3.8159094737302603E-8</v>
      </c>
      <c r="P99" s="17"/>
      <c r="Q99" s="17"/>
      <c r="R99" s="17">
        <v>1.38251881930147E-8</v>
      </c>
      <c r="S99" s="17"/>
      <c r="T99" s="17"/>
      <c r="U99" s="13">
        <v>2.6862362334301099E-9</v>
      </c>
    </row>
    <row r="100" spans="1:21" x14ac:dyDescent="0.15">
      <c r="A100" s="5" t="s">
        <v>96</v>
      </c>
      <c r="B100" t="s">
        <v>3590</v>
      </c>
      <c r="C100" s="17">
        <v>7.9132276376628004E-8</v>
      </c>
      <c r="D100" s="17"/>
      <c r="E100" s="17"/>
      <c r="F100" s="17">
        <v>7.5856781306329798E-8</v>
      </c>
      <c r="G100" s="17"/>
      <c r="H100" s="17"/>
      <c r="I100" s="17">
        <v>5.2355515867626902E-8</v>
      </c>
      <c r="J100" s="17"/>
      <c r="K100" s="17"/>
      <c r="L100" s="17">
        <v>3.1486223653841398E-8</v>
      </c>
      <c r="M100" s="17"/>
      <c r="N100" s="17"/>
      <c r="O100" s="17">
        <v>4.4088073757301199E-8</v>
      </c>
      <c r="P100" s="17"/>
      <c r="Q100" s="17"/>
      <c r="R100" s="17">
        <v>4.7744506240891902E-9</v>
      </c>
      <c r="S100" s="17"/>
      <c r="T100" s="17"/>
      <c r="U100" s="13">
        <v>9.2767650480385396E-10</v>
      </c>
    </row>
    <row r="101" spans="1:21" x14ac:dyDescent="0.15">
      <c r="A101" s="5" t="s">
        <v>96</v>
      </c>
      <c r="B101" t="s">
        <v>3590</v>
      </c>
      <c r="C101" s="17">
        <v>1.3655235072671699E-7</v>
      </c>
      <c r="D101" s="17"/>
      <c r="E101" s="17"/>
      <c r="F101" s="17">
        <v>1.3090008628895299E-7</v>
      </c>
      <c r="G101" s="17"/>
      <c r="H101" s="17"/>
      <c r="I101" s="17">
        <v>9.0345799370255299E-8</v>
      </c>
      <c r="J101" s="17"/>
      <c r="K101" s="17"/>
      <c r="L101" s="17">
        <v>5.4333301811965903E-8</v>
      </c>
      <c r="M101" s="17"/>
      <c r="N101" s="17"/>
      <c r="O101" s="17">
        <v>4.6389059165186699E-8</v>
      </c>
      <c r="P101" s="17"/>
      <c r="Q101" s="17"/>
      <c r="R101" s="17">
        <v>8.2388942413968406E-9</v>
      </c>
      <c r="S101" s="17"/>
      <c r="T101" s="17"/>
      <c r="U101" s="13">
        <v>1.60081844280579E-9</v>
      </c>
    </row>
    <row r="102" spans="1:21" x14ac:dyDescent="0.15">
      <c r="A102" s="5" t="s">
        <v>96</v>
      </c>
      <c r="B102" t="s">
        <v>3590</v>
      </c>
      <c r="C102" s="17">
        <v>3.5922627159255098E-8</v>
      </c>
      <c r="D102" s="17"/>
      <c r="E102" s="17"/>
      <c r="F102" s="17">
        <v>3.44356942216473E-8</v>
      </c>
      <c r="G102" s="17"/>
      <c r="H102" s="17"/>
      <c r="I102" s="17">
        <v>2.3767137284056599E-8</v>
      </c>
      <c r="J102" s="17"/>
      <c r="K102" s="17"/>
      <c r="L102" s="17">
        <v>1.42933822298575E-8</v>
      </c>
      <c r="M102" s="17"/>
      <c r="N102" s="17"/>
      <c r="O102" s="17">
        <v>5.01718564071247E-8</v>
      </c>
      <c r="P102" s="17"/>
      <c r="Q102" s="17"/>
      <c r="R102" s="17">
        <v>2.1673938563719301E-9</v>
      </c>
      <c r="S102" s="17"/>
      <c r="T102" s="17"/>
      <c r="U102" s="13">
        <v>4.21124966099324E-10</v>
      </c>
    </row>
    <row r="103" spans="1:21" x14ac:dyDescent="0.15">
      <c r="A103" s="5" t="s">
        <v>96</v>
      </c>
      <c r="B103" t="s">
        <v>3590</v>
      </c>
      <c r="C103" s="17">
        <v>6.6691951712940995E-8</v>
      </c>
      <c r="D103" s="17"/>
      <c r="E103" s="17"/>
      <c r="F103" s="17">
        <v>6.3931394718161799E-8</v>
      </c>
      <c r="G103" s="17"/>
      <c r="H103" s="17"/>
      <c r="I103" s="17">
        <v>4.4124745249729402E-8</v>
      </c>
      <c r="J103" s="17"/>
      <c r="K103" s="17"/>
      <c r="L103" s="17">
        <v>2.6536298507963299E-8</v>
      </c>
      <c r="M103" s="17"/>
      <c r="N103" s="17"/>
      <c r="O103" s="17">
        <v>6.1688423038155898E-8</v>
      </c>
      <c r="P103" s="17"/>
      <c r="Q103" s="17"/>
      <c r="R103" s="17">
        <v>4.0238628920780403E-9</v>
      </c>
      <c r="S103" s="17"/>
      <c r="T103" s="17"/>
      <c r="U103" s="13">
        <v>7.8183719079616501E-10</v>
      </c>
    </row>
    <row r="104" spans="1:21" x14ac:dyDescent="0.15">
      <c r="A104" s="5" t="s">
        <v>96</v>
      </c>
      <c r="B104" t="s">
        <v>3589</v>
      </c>
      <c r="C104" s="17">
        <v>6.8657715936221303E-3</v>
      </c>
      <c r="D104" s="17"/>
      <c r="E104" s="17"/>
      <c r="F104" s="17">
        <v>7.2286682402409701E-3</v>
      </c>
      <c r="G104" s="17"/>
      <c r="H104" s="17"/>
      <c r="I104" s="17">
        <v>8.5362367909028198E-3</v>
      </c>
      <c r="J104" s="17"/>
      <c r="K104" s="17"/>
      <c r="L104" s="17">
        <v>8.3449736675363009E-3</v>
      </c>
      <c r="M104" s="17"/>
      <c r="N104" s="17"/>
      <c r="O104" s="17">
        <v>6.3226599642148803E-3</v>
      </c>
      <c r="P104" s="17"/>
      <c r="Q104" s="17"/>
      <c r="R104" s="17">
        <v>3.8105697844198101E-3</v>
      </c>
      <c r="S104" s="17"/>
      <c r="T104" s="17"/>
      <c r="U104">
        <v>9.4349392986742796E-4</v>
      </c>
    </row>
    <row r="105" spans="1:21" x14ac:dyDescent="0.15">
      <c r="A105" s="5" t="s">
        <v>96</v>
      </c>
      <c r="B105" t="s">
        <v>3598</v>
      </c>
      <c r="C105" s="17">
        <v>1.33568451204566E-2</v>
      </c>
      <c r="D105" s="17"/>
      <c r="E105" s="17"/>
      <c r="F105" s="17">
        <v>1.6811600038292199E-2</v>
      </c>
      <c r="G105" s="17"/>
      <c r="H105" s="17"/>
      <c r="I105" s="17">
        <v>1.9336286656101501E-2</v>
      </c>
      <c r="J105" s="17"/>
      <c r="K105" s="17"/>
      <c r="L105" s="17">
        <v>1.9678018902560102E-2</v>
      </c>
      <c r="M105" s="17"/>
      <c r="N105" s="17"/>
      <c r="O105" s="17">
        <v>2.0723891294615999E-2</v>
      </c>
      <c r="P105" s="17"/>
      <c r="Q105" s="17"/>
      <c r="R105" s="17">
        <v>2.1594319606378701E-2</v>
      </c>
      <c r="S105" s="17"/>
      <c r="T105" s="17"/>
      <c r="U105">
        <v>2.2027663481025299E-2</v>
      </c>
    </row>
    <row r="106" spans="1:21" x14ac:dyDescent="0.15">
      <c r="A106" s="5" t="s">
        <v>96</v>
      </c>
      <c r="B106" t="s">
        <v>3597</v>
      </c>
      <c r="C106" s="17">
        <v>1.32445330583551E-2</v>
      </c>
      <c r="D106" s="17"/>
      <c r="E106" s="17"/>
      <c r="F106" s="17">
        <v>1.6670238403078401E-2</v>
      </c>
      <c r="G106" s="17"/>
      <c r="H106" s="17"/>
      <c r="I106" s="17">
        <v>1.9173695998790902E-2</v>
      </c>
      <c r="J106" s="17"/>
      <c r="K106" s="17"/>
      <c r="L106" s="17">
        <v>1.9512554763305202E-2</v>
      </c>
      <c r="M106" s="17"/>
      <c r="N106" s="17"/>
      <c r="O106" s="17">
        <v>1.2158186687942499E-2</v>
      </c>
      <c r="P106" s="17"/>
      <c r="Q106" s="17"/>
      <c r="R106" s="17">
        <v>2.1412742104895501E-2</v>
      </c>
      <c r="S106" s="17"/>
      <c r="T106" s="17"/>
      <c r="U106">
        <v>2.1842442174158299E-2</v>
      </c>
    </row>
    <row r="107" spans="1:21" x14ac:dyDescent="0.15">
      <c r="A107" s="5" t="s">
        <v>96</v>
      </c>
      <c r="B107" t="s">
        <v>3597</v>
      </c>
      <c r="C107" s="17">
        <v>8.4935462567435598E-3</v>
      </c>
      <c r="D107" s="17"/>
      <c r="E107" s="17"/>
      <c r="F107" s="17">
        <v>1.06904064011656E-2</v>
      </c>
      <c r="G107" s="17"/>
      <c r="H107" s="17"/>
      <c r="I107" s="17">
        <v>1.2295841096167199E-2</v>
      </c>
      <c r="J107" s="17"/>
      <c r="K107" s="17"/>
      <c r="L107" s="17">
        <v>1.2513146800960599E-2</v>
      </c>
      <c r="M107" s="17"/>
      <c r="N107" s="17"/>
      <c r="O107" s="17">
        <v>1.31782114521163E-2</v>
      </c>
      <c r="P107" s="17"/>
      <c r="Q107" s="17"/>
      <c r="R107" s="17">
        <v>1.3731712152503499E-2</v>
      </c>
      <c r="S107" s="17"/>
      <c r="T107" s="17"/>
      <c r="U107">
        <v>1.4007273200879401E-2</v>
      </c>
    </row>
    <row r="108" spans="1:21" x14ac:dyDescent="0.15">
      <c r="A108" s="5" t="s">
        <v>96</v>
      </c>
      <c r="B108" t="s">
        <v>3597</v>
      </c>
      <c r="C108" s="17">
        <v>7.8361256690550104E-3</v>
      </c>
      <c r="D108" s="17"/>
      <c r="E108" s="17"/>
      <c r="F108" s="17">
        <v>9.8629436375050703E-3</v>
      </c>
      <c r="G108" s="17"/>
      <c r="H108" s="17"/>
      <c r="I108" s="17">
        <v>1.1344113886446201E-2</v>
      </c>
      <c r="J108" s="17"/>
      <c r="K108" s="17"/>
      <c r="L108" s="17">
        <v>1.1544599615244301E-2</v>
      </c>
      <c r="M108" s="17"/>
      <c r="N108" s="17"/>
      <c r="O108" s="17">
        <v>2.05496328567084E-2</v>
      </c>
      <c r="P108" s="17"/>
      <c r="Q108" s="17"/>
      <c r="R108" s="17">
        <v>1.26688451237755E-2</v>
      </c>
      <c r="S108" s="17"/>
      <c r="T108" s="17"/>
      <c r="U108">
        <v>1.2923077094650501E-2</v>
      </c>
    </row>
    <row r="109" spans="1:21" x14ac:dyDescent="0.15">
      <c r="A109" s="5" t="s">
        <v>96</v>
      </c>
      <c r="B109" t="s">
        <v>3597</v>
      </c>
      <c r="C109" s="17">
        <v>2.4851487195657E-2</v>
      </c>
      <c r="D109" s="17"/>
      <c r="E109" s="17"/>
      <c r="F109" s="17">
        <v>3.1279337247854901E-2</v>
      </c>
      <c r="G109" s="17"/>
      <c r="H109" s="17"/>
      <c r="I109" s="17">
        <v>3.5976720244341301E-2</v>
      </c>
      <c r="J109" s="17"/>
      <c r="K109" s="17"/>
      <c r="L109" s="17">
        <v>3.6612540639847903E-2</v>
      </c>
      <c r="M109" s="17"/>
      <c r="N109" s="17"/>
      <c r="O109" s="17">
        <v>3.85584705450812E-2</v>
      </c>
      <c r="P109" s="17"/>
      <c r="Q109" s="17"/>
      <c r="R109" s="17">
        <v>4.0177972594362302E-2</v>
      </c>
      <c r="S109" s="17"/>
      <c r="T109" s="17"/>
      <c r="U109">
        <v>4.09842438099806E-2</v>
      </c>
    </row>
    <row r="110" spans="1:21" x14ac:dyDescent="0.15">
      <c r="A110" s="5" t="s">
        <v>96</v>
      </c>
      <c r="B110" t="s">
        <v>3657</v>
      </c>
      <c r="C110" s="17">
        <v>4.8960040085168702E-3</v>
      </c>
      <c r="D110" s="17"/>
      <c r="E110" s="17"/>
      <c r="F110" s="17">
        <v>6.1623579845962503E-3</v>
      </c>
      <c r="G110" s="17"/>
      <c r="H110" s="17"/>
      <c r="I110" s="17">
        <v>7.0877917745046197E-3</v>
      </c>
      <c r="J110" s="17"/>
      <c r="K110" s="17"/>
      <c r="L110" s="17">
        <v>7.2130550708453403E-3</v>
      </c>
      <c r="M110" s="17"/>
      <c r="N110" s="17"/>
      <c r="O110" s="17">
        <v>7.5964237015154704E-3</v>
      </c>
      <c r="P110" s="17"/>
      <c r="Q110" s="17"/>
      <c r="R110" s="17">
        <v>7.9154826158836598E-3</v>
      </c>
      <c r="S110" s="17"/>
      <c r="T110" s="17"/>
      <c r="U110">
        <v>8.0743265141397392E-3</v>
      </c>
    </row>
    <row r="111" spans="1:21" x14ac:dyDescent="0.15">
      <c r="A111" s="5" t="s">
        <v>96</v>
      </c>
      <c r="B111" t="s">
        <v>3607</v>
      </c>
      <c r="C111" s="17">
        <v>1.93329031855165E-5</v>
      </c>
      <c r="D111" s="17"/>
      <c r="E111" s="17"/>
      <c r="F111" s="17">
        <v>1.5101720876193E-5</v>
      </c>
      <c r="G111" s="17"/>
      <c r="H111" s="17"/>
      <c r="I111" s="17">
        <v>4.6335106339323399E-6</v>
      </c>
      <c r="J111" s="17"/>
      <c r="K111" s="17"/>
      <c r="L111" s="17">
        <v>7.6811028725060296E-11</v>
      </c>
      <c r="M111" s="17"/>
      <c r="N111" s="17"/>
      <c r="O111" s="17">
        <v>2.9168140093803697E-11</v>
      </c>
      <c r="P111" s="17"/>
      <c r="Q111" s="17"/>
      <c r="R111" s="17">
        <v>6.9883985084676206E-11</v>
      </c>
      <c r="S111" s="17"/>
      <c r="T111" s="17"/>
      <c r="U111" s="13">
        <v>7.0438309278138399E-11</v>
      </c>
    </row>
    <row r="112" spans="1:21" x14ac:dyDescent="0.15">
      <c r="A112" s="5" t="s">
        <v>96</v>
      </c>
      <c r="B112" t="s">
        <v>3607</v>
      </c>
      <c r="C112" s="17">
        <v>7.6375214704782002E-5</v>
      </c>
      <c r="D112" s="17"/>
      <c r="E112" s="17"/>
      <c r="F112" s="17">
        <v>5.9659801906783001E-5</v>
      </c>
      <c r="G112" s="17"/>
      <c r="H112" s="17"/>
      <c r="I112" s="17">
        <v>1.83048229284358E-5</v>
      </c>
      <c r="J112" s="17"/>
      <c r="K112" s="17"/>
      <c r="L112" s="17">
        <v>3.0344427602402598E-10</v>
      </c>
      <c r="M112" s="17"/>
      <c r="N112" s="17"/>
      <c r="O112" s="17">
        <v>4.42383458090027E-11</v>
      </c>
      <c r="P112" s="17"/>
      <c r="Q112" s="17"/>
      <c r="R112" s="17">
        <v>2.7607878206655001E-10</v>
      </c>
      <c r="S112" s="17"/>
      <c r="T112" s="17"/>
      <c r="U112" s="13">
        <v>2.7826865644213999E-10</v>
      </c>
    </row>
    <row r="113" spans="1:21" x14ac:dyDescent="0.15">
      <c r="A113" s="5" t="s">
        <v>96</v>
      </c>
      <c r="B113" t="s">
        <v>3607</v>
      </c>
      <c r="C113" s="17">
        <v>7.9388228070606708E-6</v>
      </c>
      <c r="D113" s="17"/>
      <c r="E113" s="17"/>
      <c r="F113" s="17">
        <v>6.2013389798383901E-6</v>
      </c>
      <c r="G113" s="17"/>
      <c r="H113" s="17"/>
      <c r="I113" s="17">
        <v>1.9026950864253901E-6</v>
      </c>
      <c r="J113" s="17"/>
      <c r="K113" s="17"/>
      <c r="L113" s="17">
        <v>3.1541519699593302E-11</v>
      </c>
      <c r="M113" s="17"/>
      <c r="N113" s="17"/>
      <c r="O113" s="17">
        <v>7.1031290436859499E-11</v>
      </c>
      <c r="P113" s="17"/>
      <c r="Q113" s="17"/>
      <c r="R113" s="17">
        <v>2.8697013030828501E-11</v>
      </c>
      <c r="S113" s="17"/>
      <c r="T113" s="17"/>
      <c r="U113" s="13">
        <v>2.8924639554756899E-11</v>
      </c>
    </row>
    <row r="114" spans="1:21" x14ac:dyDescent="0.15">
      <c r="A114" s="5" t="s">
        <v>96</v>
      </c>
      <c r="B114" t="s">
        <v>3607</v>
      </c>
      <c r="C114" s="17">
        <v>2.6936267583209503E-4</v>
      </c>
      <c r="D114" s="17"/>
      <c r="E114" s="17"/>
      <c r="F114" s="17">
        <v>2.10410195812092E-4</v>
      </c>
      <c r="G114" s="17"/>
      <c r="H114" s="17"/>
      <c r="I114" s="17">
        <v>6.4558065122237194E-5</v>
      </c>
      <c r="J114" s="17"/>
      <c r="K114" s="17"/>
      <c r="L114" s="17">
        <v>1.07019747796069E-9</v>
      </c>
      <c r="M114" s="17"/>
      <c r="N114" s="17"/>
      <c r="O114" s="17">
        <v>8.1670792262817E-11</v>
      </c>
      <c r="P114" s="17"/>
      <c r="Q114" s="17"/>
      <c r="R114" s="17">
        <v>9.7368393352949305E-10</v>
      </c>
      <c r="S114" s="17"/>
      <c r="T114" s="17"/>
      <c r="U114" s="13">
        <v>9.8140725612603404E-10</v>
      </c>
    </row>
    <row r="115" spans="1:21" x14ac:dyDescent="0.15">
      <c r="A115" s="5" t="s">
        <v>96</v>
      </c>
      <c r="B115" t="s">
        <v>3607</v>
      </c>
      <c r="C115" s="17">
        <v>1.20711095154808E-4</v>
      </c>
      <c r="D115" s="17"/>
      <c r="E115" s="17"/>
      <c r="F115" s="17">
        <v>9.4292370276450205E-5</v>
      </c>
      <c r="G115" s="17"/>
      <c r="H115" s="17"/>
      <c r="I115" s="17">
        <v>2.8930789011163099E-5</v>
      </c>
      <c r="J115" s="17"/>
      <c r="K115" s="17"/>
      <c r="L115" s="17">
        <v>4.7959394967206095E-10</v>
      </c>
      <c r="M115" s="17"/>
      <c r="N115" s="17"/>
      <c r="O115" s="17">
        <v>1.16672560375353E-10</v>
      </c>
      <c r="P115" s="17"/>
      <c r="Q115" s="17"/>
      <c r="R115" s="17">
        <v>4.36342761995172E-10</v>
      </c>
      <c r="S115" s="17"/>
      <c r="T115" s="17"/>
      <c r="U115" s="13">
        <v>4.3980386040452699E-10</v>
      </c>
    </row>
    <row r="116" spans="1:21" x14ac:dyDescent="0.15">
      <c r="A116" s="5" t="s">
        <v>96</v>
      </c>
      <c r="B116" t="s">
        <v>3607</v>
      </c>
      <c r="C116" s="17">
        <v>5.1628235711476597E-5</v>
      </c>
      <c r="D116" s="17"/>
      <c r="E116" s="17"/>
      <c r="F116" s="17">
        <v>4.0328925126419797E-5</v>
      </c>
      <c r="G116" s="17"/>
      <c r="H116" s="17"/>
      <c r="I116" s="17">
        <v>1.2373722502241999E-5</v>
      </c>
      <c r="J116" s="17"/>
      <c r="K116" s="17"/>
      <c r="L116" s="17">
        <v>2.05122730828616E-10</v>
      </c>
      <c r="M116" s="17"/>
      <c r="N116" s="17"/>
      <c r="O116" s="17">
        <v>1.43653089962271E-10</v>
      </c>
      <c r="P116" s="17"/>
      <c r="Q116" s="17"/>
      <c r="R116" s="17">
        <v>1.8662416191645399E-10</v>
      </c>
      <c r="S116" s="17"/>
      <c r="T116" s="17"/>
      <c r="U116" s="13">
        <v>1.8810447658239E-10</v>
      </c>
    </row>
    <row r="117" spans="1:21" x14ac:dyDescent="0.15">
      <c r="A117" s="5" t="s">
        <v>96</v>
      </c>
      <c r="B117" t="s">
        <v>3607</v>
      </c>
      <c r="C117" s="17">
        <v>4.4539384694042201E-5</v>
      </c>
      <c r="D117" s="17"/>
      <c r="E117" s="17"/>
      <c r="F117" s="17">
        <v>3.4791533852541701E-5</v>
      </c>
      <c r="G117" s="17"/>
      <c r="H117" s="17"/>
      <c r="I117" s="17">
        <v>1.06747398788639E-5</v>
      </c>
      <c r="J117" s="17"/>
      <c r="K117" s="17"/>
      <c r="L117" s="17">
        <v>1.76958210792342E-10</v>
      </c>
      <c r="M117" s="17"/>
      <c r="N117" s="17"/>
      <c r="O117" s="17">
        <v>1.44540815964717E-10</v>
      </c>
      <c r="P117" s="17"/>
      <c r="Q117" s="17"/>
      <c r="R117" s="17">
        <v>1.6099960082409801E-10</v>
      </c>
      <c r="S117" s="17"/>
      <c r="T117" s="17"/>
      <c r="U117" s="13">
        <v>1.6227665984937299E-10</v>
      </c>
    </row>
    <row r="118" spans="1:21" x14ac:dyDescent="0.15">
      <c r="A118" s="5" t="s">
        <v>96</v>
      </c>
      <c r="B118" t="s">
        <v>3607</v>
      </c>
      <c r="C118" s="17">
        <v>2.19075554661822E-4</v>
      </c>
      <c r="D118" s="17"/>
      <c r="E118" s="17"/>
      <c r="F118" s="17">
        <v>1.7112887006947501E-4</v>
      </c>
      <c r="G118" s="17"/>
      <c r="H118" s="17"/>
      <c r="I118" s="17">
        <v>5.2505767106962302E-5</v>
      </c>
      <c r="J118" s="17"/>
      <c r="K118" s="17"/>
      <c r="L118" s="17">
        <v>8.7040309262471297E-10</v>
      </c>
      <c r="M118" s="17"/>
      <c r="N118" s="17"/>
      <c r="O118" s="17">
        <v>1.4503751980021299E-10</v>
      </c>
      <c r="P118" s="17"/>
      <c r="Q118" s="17"/>
      <c r="R118" s="17">
        <v>7.91907591296145E-10</v>
      </c>
      <c r="S118" s="17"/>
      <c r="T118" s="17"/>
      <c r="U118" s="13">
        <v>7.9818905243935203E-10</v>
      </c>
    </row>
    <row r="119" spans="1:21" x14ac:dyDescent="0.15">
      <c r="A119" s="5" t="s">
        <v>96</v>
      </c>
      <c r="B119" t="s">
        <v>3607</v>
      </c>
      <c r="C119" s="17">
        <v>4.3268741587424803E-5</v>
      </c>
      <c r="D119" s="17"/>
      <c r="E119" s="17"/>
      <c r="F119" s="17">
        <v>3.3798982586688803E-5</v>
      </c>
      <c r="G119" s="17"/>
      <c r="H119" s="17"/>
      <c r="I119" s="17">
        <v>1.03702052577597E-5</v>
      </c>
      <c r="J119" s="17"/>
      <c r="K119" s="17"/>
      <c r="L119" s="17">
        <v>1.7190985342846701E-10</v>
      </c>
      <c r="M119" s="17"/>
      <c r="N119" s="17"/>
      <c r="O119" s="17">
        <v>1.53106315076422E-10</v>
      </c>
      <c r="P119" s="17"/>
      <c r="Q119" s="17"/>
      <c r="R119" s="17">
        <v>1.56406519119881E-10</v>
      </c>
      <c r="S119" s="17"/>
      <c r="T119" s="17"/>
      <c r="U119" s="13">
        <v>1.57647145530328E-10</v>
      </c>
    </row>
    <row r="120" spans="1:21" x14ac:dyDescent="0.15">
      <c r="A120" s="5" t="s">
        <v>96</v>
      </c>
      <c r="B120" t="s">
        <v>3607</v>
      </c>
      <c r="C120" s="17">
        <v>6.8457964785772403E-5</v>
      </c>
      <c r="D120" s="17"/>
      <c r="E120" s="17"/>
      <c r="F120" s="17">
        <v>5.34753143915547E-5</v>
      </c>
      <c r="G120" s="17"/>
      <c r="H120" s="17"/>
      <c r="I120" s="17">
        <v>1.6407298209090299E-5</v>
      </c>
      <c r="J120" s="17"/>
      <c r="K120" s="17"/>
      <c r="L120" s="17">
        <v>2.71988466975744E-10</v>
      </c>
      <c r="M120" s="17"/>
      <c r="N120" s="17"/>
      <c r="O120" s="17">
        <v>1.5897428963676199E-10</v>
      </c>
      <c r="P120" s="17"/>
      <c r="Q120" s="17"/>
      <c r="R120" s="17">
        <v>2.4745975004935002E-10</v>
      </c>
      <c r="S120" s="17"/>
      <c r="T120" s="17"/>
      <c r="U120" s="13">
        <v>2.4942261645134801E-10</v>
      </c>
    </row>
    <row r="121" spans="1:21" x14ac:dyDescent="0.15">
      <c r="A121" s="5" t="s">
        <v>96</v>
      </c>
      <c r="B121" t="s">
        <v>3607</v>
      </c>
      <c r="C121" s="17">
        <v>1.66621796433508E-4</v>
      </c>
      <c r="D121" s="17"/>
      <c r="E121" s="17"/>
      <c r="F121" s="17">
        <v>1.3015509556339101E-4</v>
      </c>
      <c r="G121" s="17"/>
      <c r="H121" s="17"/>
      <c r="I121" s="17">
        <v>3.9934191890949698E-5</v>
      </c>
      <c r="J121" s="17"/>
      <c r="K121" s="17"/>
      <c r="L121" s="17">
        <v>6.6200050086959403E-10</v>
      </c>
      <c r="M121" s="17"/>
      <c r="N121" s="17"/>
      <c r="O121" s="17">
        <v>1.6364277727577099E-10</v>
      </c>
      <c r="P121" s="17"/>
      <c r="Q121" s="17"/>
      <c r="R121" s="17">
        <v>6.0229935592211603E-10</v>
      </c>
      <c r="S121" s="17"/>
      <c r="T121" s="17"/>
      <c r="U121" s="13">
        <v>6.0707683253982403E-10</v>
      </c>
    </row>
    <row r="122" spans="1:21" x14ac:dyDescent="0.15">
      <c r="A122" s="5" t="s">
        <v>96</v>
      </c>
      <c r="B122" t="s">
        <v>3607</v>
      </c>
      <c r="C122" s="17">
        <v>6.9952246832122596E-5</v>
      </c>
      <c r="D122" s="17"/>
      <c r="E122" s="17"/>
      <c r="F122" s="17">
        <v>5.4642559174076098E-5</v>
      </c>
      <c r="G122" s="17"/>
      <c r="H122" s="17"/>
      <c r="I122" s="17">
        <v>1.6765432302320799E-5</v>
      </c>
      <c r="J122" s="17"/>
      <c r="K122" s="17"/>
      <c r="L122" s="17">
        <v>2.7792535809262098E-10</v>
      </c>
      <c r="M122" s="17"/>
      <c r="N122" s="17"/>
      <c r="O122" s="17">
        <v>1.8968802410968799E-10</v>
      </c>
      <c r="P122" s="17"/>
      <c r="Q122" s="17"/>
      <c r="R122" s="17">
        <v>2.5286123492916202E-10</v>
      </c>
      <c r="S122" s="17"/>
      <c r="T122" s="17"/>
      <c r="U122" s="13">
        <v>2.5486694625114899E-10</v>
      </c>
    </row>
    <row r="123" spans="1:21" x14ac:dyDescent="0.15">
      <c r="A123" s="5" t="s">
        <v>96</v>
      </c>
      <c r="B123" t="s">
        <v>3607</v>
      </c>
      <c r="C123" s="17">
        <v>2.2228703859815201E-5</v>
      </c>
      <c r="D123" s="17"/>
      <c r="E123" s="17"/>
      <c r="F123" s="17">
        <v>1.7363749143582901E-5</v>
      </c>
      <c r="G123" s="17"/>
      <c r="H123" s="17"/>
      <c r="I123" s="17">
        <v>5.3275462420019804E-6</v>
      </c>
      <c r="J123" s="17"/>
      <c r="K123" s="17"/>
      <c r="L123" s="17">
        <v>8.8316255159041501E-11</v>
      </c>
      <c r="M123" s="17"/>
      <c r="N123" s="17"/>
      <c r="O123" s="17">
        <v>1.8998921686080299E-10</v>
      </c>
      <c r="P123" s="17"/>
      <c r="Q123" s="17"/>
      <c r="R123" s="17">
        <v>8.0351636486483905E-11</v>
      </c>
      <c r="S123" s="17"/>
      <c r="T123" s="17"/>
      <c r="U123" s="13">
        <v>8.0988990753484696E-11</v>
      </c>
    </row>
    <row r="124" spans="1:21" x14ac:dyDescent="0.15">
      <c r="A124" s="5" t="s">
        <v>96</v>
      </c>
      <c r="B124" t="s">
        <v>3607</v>
      </c>
      <c r="C124" s="17">
        <v>4.1671628774572801E-5</v>
      </c>
      <c r="D124" s="17"/>
      <c r="E124" s="17"/>
      <c r="F124" s="17">
        <v>3.2551412489428398E-5</v>
      </c>
      <c r="G124" s="17"/>
      <c r="H124" s="17"/>
      <c r="I124" s="17">
        <v>9.98742574808511E-6</v>
      </c>
      <c r="J124" s="17"/>
      <c r="K124" s="17"/>
      <c r="L124" s="17">
        <v>1.65564408206508E-10</v>
      </c>
      <c r="M124" s="17"/>
      <c r="N124" s="17"/>
      <c r="O124" s="17">
        <v>2.1660778673881499E-10</v>
      </c>
      <c r="P124" s="17"/>
      <c r="Q124" s="17"/>
      <c r="R124" s="17">
        <v>1.5063332474132E-10</v>
      </c>
      <c r="S124" s="17"/>
      <c r="T124" s="17"/>
      <c r="U124" s="13">
        <v>1.51828157808503E-10</v>
      </c>
    </row>
    <row r="125" spans="1:21" x14ac:dyDescent="0.15">
      <c r="A125" s="5" t="s">
        <v>96</v>
      </c>
      <c r="B125" t="s">
        <v>3607</v>
      </c>
      <c r="C125" s="17">
        <v>3.9098702324852203E-5</v>
      </c>
      <c r="D125" s="17"/>
      <c r="E125" s="17"/>
      <c r="F125" s="17">
        <v>3.0541594475765297E-5</v>
      </c>
      <c r="G125" s="17"/>
      <c r="H125" s="17"/>
      <c r="I125" s="17">
        <v>9.3707733006638801E-6</v>
      </c>
      <c r="J125" s="17"/>
      <c r="K125" s="17"/>
      <c r="L125" s="17">
        <v>1.55341984520808E-10</v>
      </c>
      <c r="M125" s="17"/>
      <c r="N125" s="17"/>
      <c r="O125" s="17">
        <v>2.42581698446479E-10</v>
      </c>
      <c r="P125" s="17"/>
      <c r="Q125" s="17"/>
      <c r="R125" s="17">
        <v>1.4133278917711399E-10</v>
      </c>
      <c r="S125" s="17"/>
      <c r="T125" s="17"/>
      <c r="U125" s="13">
        <v>1.4245384980746301E-10</v>
      </c>
    </row>
    <row r="126" spans="1:21" x14ac:dyDescent="0.15">
      <c r="A126" s="5" t="s">
        <v>96</v>
      </c>
      <c r="B126" t="s">
        <v>3607</v>
      </c>
      <c r="C126" s="17">
        <v>3.93403186710428E-5</v>
      </c>
      <c r="D126" s="17"/>
      <c r="E126" s="17"/>
      <c r="F126" s="17">
        <v>3.0730330879412599E-5</v>
      </c>
      <c r="G126" s="17"/>
      <c r="H126" s="17"/>
      <c r="I126" s="17">
        <v>9.4286814119632099E-6</v>
      </c>
      <c r="J126" s="17"/>
      <c r="K126" s="17"/>
      <c r="L126" s="17">
        <v>1.5630194381557101E-10</v>
      </c>
      <c r="M126" s="17"/>
      <c r="N126" s="17"/>
      <c r="O126" s="17">
        <v>2.4271115848901898E-10</v>
      </c>
      <c r="P126" s="17"/>
      <c r="Q126" s="17"/>
      <c r="R126" s="17">
        <v>1.42206176529824E-10</v>
      </c>
      <c r="S126" s="17"/>
      <c r="T126" s="17"/>
      <c r="U126" s="13">
        <v>1.4333416492394199E-10</v>
      </c>
    </row>
    <row r="127" spans="1:21" x14ac:dyDescent="0.15">
      <c r="A127" s="5" t="s">
        <v>96</v>
      </c>
      <c r="B127" t="s">
        <v>3607</v>
      </c>
      <c r="C127" s="17">
        <v>2.02567261619913E-4</v>
      </c>
      <c r="D127" s="17"/>
      <c r="E127" s="17"/>
      <c r="F127" s="17">
        <v>1.58233567627363E-4</v>
      </c>
      <c r="G127" s="17"/>
      <c r="H127" s="17"/>
      <c r="I127" s="17">
        <v>4.85492298697065E-5</v>
      </c>
      <c r="J127" s="17"/>
      <c r="K127" s="17"/>
      <c r="L127" s="17">
        <v>8.0481444518381699E-10</v>
      </c>
      <c r="M127" s="17"/>
      <c r="N127" s="17"/>
      <c r="O127" s="17">
        <v>2.5152236747646901E-10</v>
      </c>
      <c r="P127" s="17"/>
      <c r="Q127" s="17"/>
      <c r="R127" s="17">
        <v>7.3223392026785696E-10</v>
      </c>
      <c r="S127" s="17"/>
      <c r="T127" s="17"/>
      <c r="U127" s="13">
        <v>7.3804204607502603E-10</v>
      </c>
    </row>
    <row r="128" spans="1:21" x14ac:dyDescent="0.15">
      <c r="A128" s="5" t="s">
        <v>96</v>
      </c>
      <c r="B128" t="s">
        <v>3607</v>
      </c>
      <c r="C128" s="17">
        <v>5.1710212686154602E-5</v>
      </c>
      <c r="D128" s="17"/>
      <c r="E128" s="17"/>
      <c r="F128" s="17">
        <v>4.03929606920037E-5</v>
      </c>
      <c r="G128" s="17"/>
      <c r="H128" s="17"/>
      <c r="I128" s="17">
        <v>1.2393369897165699E-5</v>
      </c>
      <c r="J128" s="17"/>
      <c r="K128" s="17"/>
      <c r="L128" s="17">
        <v>2.0544843130393299E-10</v>
      </c>
      <c r="M128" s="17"/>
      <c r="N128" s="17"/>
      <c r="O128" s="17">
        <v>2.5701253007700397E-10</v>
      </c>
      <c r="P128" s="17"/>
      <c r="Q128" s="17"/>
      <c r="R128" s="17">
        <v>1.86920489768547E-10</v>
      </c>
      <c r="S128" s="17"/>
      <c r="T128" s="17"/>
      <c r="U128" s="13">
        <v>1.8840315492576401E-10</v>
      </c>
    </row>
    <row r="129" spans="1:21" x14ac:dyDescent="0.15">
      <c r="A129" s="5" t="s">
        <v>96</v>
      </c>
      <c r="B129" t="s">
        <v>3607</v>
      </c>
      <c r="C129" s="17">
        <v>1.6234892640467599E-4</v>
      </c>
      <c r="D129" s="17"/>
      <c r="E129" s="17"/>
      <c r="F129" s="17">
        <v>1.26817382137918E-4</v>
      </c>
      <c r="G129" s="17"/>
      <c r="H129" s="17"/>
      <c r="I129" s="17">
        <v>3.89101145174678E-5</v>
      </c>
      <c r="J129" s="17"/>
      <c r="K129" s="17"/>
      <c r="L129" s="17">
        <v>6.4502407785781696E-10</v>
      </c>
      <c r="M129" s="17"/>
      <c r="N129" s="17"/>
      <c r="O129" s="17">
        <v>2.8061124632006098E-10</v>
      </c>
      <c r="P129" s="17"/>
      <c r="Q129" s="17"/>
      <c r="R129" s="17">
        <v>5.8685391648147599E-10</v>
      </c>
      <c r="S129" s="17"/>
      <c r="T129" s="17"/>
      <c r="U129" s="13">
        <v>5.9150887889581897E-10</v>
      </c>
    </row>
    <row r="130" spans="1:21" x14ac:dyDescent="0.15">
      <c r="A130" s="5" t="s">
        <v>96</v>
      </c>
      <c r="B130" t="s">
        <v>3607</v>
      </c>
      <c r="C130" s="17">
        <v>5.8955107594067899E-5</v>
      </c>
      <c r="D130" s="17"/>
      <c r="E130" s="17"/>
      <c r="F130" s="17">
        <v>4.6052244226751099E-5</v>
      </c>
      <c r="G130" s="17"/>
      <c r="H130" s="17"/>
      <c r="I130" s="17">
        <v>1.4129751509146699E-5</v>
      </c>
      <c r="J130" s="17"/>
      <c r="K130" s="17"/>
      <c r="L130" s="17">
        <v>2.3423292505232598E-10</v>
      </c>
      <c r="M130" s="17"/>
      <c r="N130" s="17"/>
      <c r="O130" s="17">
        <v>2.8232064728341398E-10</v>
      </c>
      <c r="P130" s="17"/>
      <c r="Q130" s="17"/>
      <c r="R130" s="17">
        <v>2.1310911352703001E-10</v>
      </c>
      <c r="S130" s="17"/>
      <c r="T130" s="17"/>
      <c r="U130" s="13">
        <v>2.1479950850568099E-10</v>
      </c>
    </row>
    <row r="131" spans="1:21" x14ac:dyDescent="0.15">
      <c r="A131" s="5" t="s">
        <v>96</v>
      </c>
      <c r="B131" t="s">
        <v>3607</v>
      </c>
      <c r="C131" s="17">
        <v>6.6059778729260301E-5</v>
      </c>
      <c r="D131" s="17"/>
      <c r="E131" s="17"/>
      <c r="F131" s="17">
        <v>5.1601993241229202E-5</v>
      </c>
      <c r="G131" s="17"/>
      <c r="H131" s="17"/>
      <c r="I131" s="17">
        <v>1.5832525735015001E-5</v>
      </c>
      <c r="J131" s="17"/>
      <c r="K131" s="17"/>
      <c r="L131" s="17">
        <v>2.6246029956564801E-10</v>
      </c>
      <c r="M131" s="17"/>
      <c r="N131" s="17"/>
      <c r="O131" s="17">
        <v>3.3047978293834301E-10</v>
      </c>
      <c r="P131" s="17"/>
      <c r="Q131" s="17"/>
      <c r="R131" s="17">
        <v>2.3879086069551901E-10</v>
      </c>
      <c r="S131" s="17"/>
      <c r="T131" s="17"/>
      <c r="U131" s="13">
        <v>2.4068496491840802E-10</v>
      </c>
    </row>
    <row r="132" spans="1:21" x14ac:dyDescent="0.15">
      <c r="A132" s="5" t="s">
        <v>96</v>
      </c>
      <c r="B132" t="s">
        <v>3607</v>
      </c>
      <c r="C132" s="17">
        <v>8.9948156777426097E-5</v>
      </c>
      <c r="D132" s="17"/>
      <c r="E132" s="17"/>
      <c r="F132" s="17">
        <v>7.0262181729559297E-5</v>
      </c>
      <c r="G132" s="17"/>
      <c r="H132" s="17"/>
      <c r="I132" s="17">
        <v>2.1557845551259402E-5</v>
      </c>
      <c r="J132" s="17"/>
      <c r="K132" s="17"/>
      <c r="L132" s="17">
        <v>3.5737056083604901E-10</v>
      </c>
      <c r="M132" s="17"/>
      <c r="N132" s="17"/>
      <c r="O132" s="17">
        <v>4.4350632580191399E-10</v>
      </c>
      <c r="P132" s="17"/>
      <c r="Q132" s="17"/>
      <c r="R132" s="17">
        <v>3.2514183650063098E-10</v>
      </c>
      <c r="S132" s="17"/>
      <c r="T132" s="17"/>
      <c r="U132" s="13">
        <v>3.2772088212976402E-10</v>
      </c>
    </row>
    <row r="133" spans="1:21" x14ac:dyDescent="0.15">
      <c r="A133" s="5" t="s">
        <v>96</v>
      </c>
      <c r="B133" t="s">
        <v>3607</v>
      </c>
      <c r="C133" s="17">
        <v>1.92510700301158E-4</v>
      </c>
      <c r="D133" s="17"/>
      <c r="E133" s="17"/>
      <c r="F133" s="17">
        <v>1.5037797653725E-4</v>
      </c>
      <c r="G133" s="17"/>
      <c r="H133" s="17"/>
      <c r="I133" s="17">
        <v>4.6138977081281502E-5</v>
      </c>
      <c r="J133" s="17"/>
      <c r="K133" s="17"/>
      <c r="L133" s="17">
        <v>7.6485899654179099E-10</v>
      </c>
      <c r="M133" s="17"/>
      <c r="N133" s="17"/>
      <c r="O133" s="17">
        <v>5.4091047624066296E-10</v>
      </c>
      <c r="P133" s="17"/>
      <c r="Q133" s="17"/>
      <c r="R133" s="17">
        <v>6.9588177106092997E-10</v>
      </c>
      <c r="S133" s="17"/>
      <c r="T133" s="17"/>
      <c r="U133" s="13">
        <v>7.0140154931943897E-10</v>
      </c>
    </row>
    <row r="134" spans="1:21" x14ac:dyDescent="0.15">
      <c r="A134" s="5" t="s">
        <v>96</v>
      </c>
      <c r="B134" t="s">
        <v>3607</v>
      </c>
      <c r="C134" s="17">
        <v>6.6024543011967006E-5</v>
      </c>
      <c r="D134" s="17"/>
      <c r="E134" s="17"/>
      <c r="F134" s="17">
        <v>5.1574469182254203E-5</v>
      </c>
      <c r="G134" s="17"/>
      <c r="H134" s="17"/>
      <c r="I134" s="17">
        <v>1.5824080802083499E-5</v>
      </c>
      <c r="J134" s="17"/>
      <c r="K134" s="17"/>
      <c r="L134" s="17">
        <v>2.6232030550127E-10</v>
      </c>
      <c r="M134" s="17"/>
      <c r="N134" s="17"/>
      <c r="O134" s="17">
        <v>5.7050926912670002E-10</v>
      </c>
      <c r="P134" s="17"/>
      <c r="Q134" s="17"/>
      <c r="R134" s="17">
        <v>2.3866349170607399E-10</v>
      </c>
      <c r="S134" s="17"/>
      <c r="T134" s="17"/>
      <c r="U134" s="13">
        <v>2.4055658563007602E-10</v>
      </c>
    </row>
    <row r="135" spans="1:21" x14ac:dyDescent="0.15">
      <c r="A135" s="5" t="s">
        <v>96</v>
      </c>
      <c r="B135" t="s">
        <v>3607</v>
      </c>
      <c r="C135" s="17">
        <v>1.5527805279379799E-4</v>
      </c>
      <c r="D135" s="17"/>
      <c r="E135" s="17"/>
      <c r="F135" s="17">
        <v>1.21294033751095E-4</v>
      </c>
      <c r="G135" s="17"/>
      <c r="H135" s="17"/>
      <c r="I135" s="17">
        <v>3.7215440533286298E-5</v>
      </c>
      <c r="J135" s="17"/>
      <c r="K135" s="17"/>
      <c r="L135" s="17">
        <v>6.1693098336369696E-10</v>
      </c>
      <c r="M135" s="17"/>
      <c r="N135" s="17"/>
      <c r="O135" s="17">
        <v>5.9648846491933403E-10</v>
      </c>
      <c r="P135" s="17"/>
      <c r="Q135" s="17"/>
      <c r="R135" s="17">
        <v>5.6129433956659203E-10</v>
      </c>
      <c r="S135" s="17"/>
      <c r="T135" s="17"/>
      <c r="U135" s="13">
        <v>5.6574656179888303E-10</v>
      </c>
    </row>
    <row r="136" spans="1:21" x14ac:dyDescent="0.15">
      <c r="A136" s="5" t="s">
        <v>96</v>
      </c>
      <c r="B136" t="s">
        <v>3607</v>
      </c>
      <c r="C136" s="17">
        <v>3.9475508769722699E-5</v>
      </c>
      <c r="D136" s="17"/>
      <c r="E136" s="17"/>
      <c r="F136" s="17">
        <v>3.0835933391146003E-5</v>
      </c>
      <c r="G136" s="17"/>
      <c r="H136" s="17"/>
      <c r="I136" s="17">
        <v>9.4610823790515204E-6</v>
      </c>
      <c r="J136" s="17"/>
      <c r="K136" s="17"/>
      <c r="L136" s="17">
        <v>1.56839063898023E-10</v>
      </c>
      <c r="M136" s="17"/>
      <c r="N136" s="17"/>
      <c r="O136" s="17">
        <v>6.1218747655273904E-10</v>
      </c>
      <c r="P136" s="17"/>
      <c r="Q136" s="17"/>
      <c r="R136" s="17">
        <v>1.42694857549383E-10</v>
      </c>
      <c r="S136" s="17"/>
      <c r="T136" s="17"/>
      <c r="U136" s="13">
        <v>1.4382672219228301E-10</v>
      </c>
    </row>
    <row r="137" spans="1:21" x14ac:dyDescent="0.15">
      <c r="A137" s="5" t="s">
        <v>96</v>
      </c>
      <c r="B137" t="s">
        <v>3607</v>
      </c>
      <c r="C137" s="17">
        <v>7.6840469990536794E-5</v>
      </c>
      <c r="D137" s="17"/>
      <c r="E137" s="17"/>
      <c r="F137" s="17">
        <v>6.0023231826967302E-5</v>
      </c>
      <c r="G137" s="17"/>
      <c r="H137" s="17"/>
      <c r="I137" s="17">
        <v>1.8416330511821099E-5</v>
      </c>
      <c r="J137" s="17"/>
      <c r="K137" s="17"/>
      <c r="L137" s="17">
        <v>3.0529276907112102E-10</v>
      </c>
      <c r="M137" s="17"/>
      <c r="N137" s="17"/>
      <c r="O137" s="17">
        <v>7.0730626094166003E-10</v>
      </c>
      <c r="P137" s="17"/>
      <c r="Q137" s="17"/>
      <c r="R137" s="17">
        <v>2.7776057259424497E-10</v>
      </c>
      <c r="S137" s="17"/>
      <c r="T137" s="17"/>
      <c r="U137" s="13">
        <v>2.7996378703876099E-10</v>
      </c>
    </row>
    <row r="138" spans="1:21" x14ac:dyDescent="0.15">
      <c r="A138" s="5" t="s">
        <v>96</v>
      </c>
      <c r="B138" t="s">
        <v>3607</v>
      </c>
      <c r="C138" s="17">
        <v>3.1755291228280502E-5</v>
      </c>
      <c r="D138" s="17"/>
      <c r="E138" s="17"/>
      <c r="F138" s="17">
        <v>2.4805355919383E-5</v>
      </c>
      <c r="G138" s="17"/>
      <c r="H138" s="17"/>
      <c r="I138" s="17">
        <v>7.6107803457106498E-6</v>
      </c>
      <c r="J138" s="17"/>
      <c r="K138" s="17"/>
      <c r="L138" s="17">
        <v>1.26166078798523E-10</v>
      </c>
      <c r="M138" s="17"/>
      <c r="N138" s="17"/>
      <c r="O138" s="17">
        <v>7.4425521376958803E-10</v>
      </c>
      <c r="P138" s="17"/>
      <c r="Q138" s="17"/>
      <c r="R138" s="17">
        <v>1.1478805212345E-10</v>
      </c>
      <c r="S138" s="17"/>
      <c r="T138" s="17"/>
      <c r="U138" s="13">
        <v>1.15698558219165E-10</v>
      </c>
    </row>
    <row r="139" spans="1:21" x14ac:dyDescent="0.15">
      <c r="A139" s="5" t="s">
        <v>96</v>
      </c>
      <c r="B139" t="s">
        <v>3607</v>
      </c>
      <c r="C139" s="17">
        <v>2.1746984684037898E-3</v>
      </c>
      <c r="D139" s="17"/>
      <c r="E139" s="17"/>
      <c r="F139" s="17">
        <v>1.6987458605969799E-3</v>
      </c>
      <c r="G139" s="17"/>
      <c r="H139" s="17"/>
      <c r="I139" s="17">
        <v>5.2120927634367203E-4</v>
      </c>
      <c r="J139" s="17"/>
      <c r="K139" s="17"/>
      <c r="L139" s="17">
        <v>8.6402349880926594E-9</v>
      </c>
      <c r="M139" s="17"/>
      <c r="N139" s="17"/>
      <c r="O139" s="17">
        <v>8.0490856450664196E-10</v>
      </c>
      <c r="P139" s="17"/>
      <c r="Q139" s="17"/>
      <c r="R139" s="17">
        <v>7.8610332794431894E-9</v>
      </c>
      <c r="S139" s="17"/>
      <c r="T139" s="17"/>
      <c r="U139" s="13">
        <v>7.9233874930319897E-9</v>
      </c>
    </row>
    <row r="140" spans="1:21" x14ac:dyDescent="0.15">
      <c r="A140" s="5" t="s">
        <v>96</v>
      </c>
      <c r="B140" t="s">
        <v>3607</v>
      </c>
      <c r="C140" s="17">
        <v>1.20405479240602E-5</v>
      </c>
      <c r="D140" s="17"/>
      <c r="E140" s="17"/>
      <c r="F140" s="17">
        <v>9.4053641194358295E-6</v>
      </c>
      <c r="G140" s="17"/>
      <c r="H140" s="17"/>
      <c r="I140" s="17">
        <v>2.88575421441623E-6</v>
      </c>
      <c r="J140" s="17"/>
      <c r="K140" s="17"/>
      <c r="L140" s="17">
        <v>4.7837971544455803E-11</v>
      </c>
      <c r="M140" s="17"/>
      <c r="N140" s="17"/>
      <c r="O140" s="17">
        <v>9.8966918089224191E-10</v>
      </c>
      <c r="P140" s="17"/>
      <c r="Q140" s="17"/>
      <c r="R140" s="17">
        <v>4.3523803096822699E-11</v>
      </c>
      <c r="S140" s="17"/>
      <c r="T140" s="17"/>
      <c r="U140" s="13">
        <v>4.3869036658114601E-11</v>
      </c>
    </row>
    <row r="141" spans="1:21" x14ac:dyDescent="0.15">
      <c r="A141" s="5" t="s">
        <v>96</v>
      </c>
      <c r="B141" t="s">
        <v>3607</v>
      </c>
      <c r="C141" s="17">
        <v>1.4722201729515299E-4</v>
      </c>
      <c r="D141" s="17"/>
      <c r="E141" s="17"/>
      <c r="F141" s="17">
        <v>1.15001135147E-4</v>
      </c>
      <c r="G141" s="17"/>
      <c r="H141" s="17"/>
      <c r="I141" s="17">
        <v>3.5284653119098398E-5</v>
      </c>
      <c r="J141" s="17"/>
      <c r="K141" s="17"/>
      <c r="L141" s="17">
        <v>5.8492376912594495E-10</v>
      </c>
      <c r="M141" s="17"/>
      <c r="N141" s="17"/>
      <c r="O141" s="17">
        <v>7.9900901090482505E-9</v>
      </c>
      <c r="P141" s="17"/>
      <c r="Q141" s="17"/>
      <c r="R141" s="17">
        <v>5.3217362969562398E-10</v>
      </c>
      <c r="S141" s="17"/>
      <c r="T141" s="17"/>
      <c r="U141" s="13">
        <v>5.3639486461383105E-10</v>
      </c>
    </row>
    <row r="142" spans="1:21" x14ac:dyDescent="0.15">
      <c r="A142" s="5" t="s">
        <v>96</v>
      </c>
      <c r="B142" t="s">
        <v>3609</v>
      </c>
      <c r="C142" s="17">
        <v>9.6468558721848396E-2</v>
      </c>
      <c r="D142" s="17"/>
      <c r="E142" s="17"/>
      <c r="F142" s="17">
        <v>0.19748009523593099</v>
      </c>
      <c r="G142" s="17"/>
      <c r="H142" s="17"/>
      <c r="I142" s="17">
        <v>0.38198294189010901</v>
      </c>
      <c r="J142" s="17"/>
      <c r="K142" s="17"/>
      <c r="L142" s="17">
        <v>0.43079148711707999</v>
      </c>
      <c r="M142" s="17"/>
      <c r="N142" s="17"/>
      <c r="O142" s="17">
        <v>0.43532041195487797</v>
      </c>
      <c r="P142" s="17"/>
      <c r="Q142" s="17"/>
      <c r="R142" s="17">
        <v>0.43558905234494</v>
      </c>
      <c r="S142" s="17"/>
      <c r="T142" s="17"/>
      <c r="U142">
        <v>0.43183936590292599</v>
      </c>
    </row>
    <row r="143" spans="1:21" x14ac:dyDescent="0.15">
      <c r="A143" s="5" t="s">
        <v>96</v>
      </c>
      <c r="B143" t="s">
        <v>3596</v>
      </c>
      <c r="C143" s="17">
        <v>4.6813138197384797E-5</v>
      </c>
      <c r="D143" s="17"/>
      <c r="E143" s="17"/>
      <c r="F143" s="17">
        <v>9.2399997780962895E-5</v>
      </c>
      <c r="G143" s="17"/>
      <c r="H143" s="17"/>
      <c r="I143" s="17">
        <v>1.0994731821189901E-4</v>
      </c>
      <c r="J143" s="17"/>
      <c r="K143" s="17"/>
      <c r="L143" s="17">
        <v>9.2399718646428303E-5</v>
      </c>
      <c r="M143" s="17"/>
      <c r="N143" s="17"/>
      <c r="O143" s="17">
        <v>9.23992629134048E-5</v>
      </c>
      <c r="P143" s="17"/>
      <c r="Q143" s="17"/>
      <c r="R143" s="17">
        <v>9.2400167940055196E-5</v>
      </c>
      <c r="S143" s="17"/>
      <c r="T143" s="17"/>
      <c r="U143" s="13">
        <v>9.23997924777693E-5</v>
      </c>
    </row>
    <row r="144" spans="1:21" x14ac:dyDescent="0.15">
      <c r="A144" s="5" t="s">
        <v>96</v>
      </c>
      <c r="B144" t="s">
        <v>3595</v>
      </c>
      <c r="C144" s="17">
        <v>3.8504882636756402E-6</v>
      </c>
      <c r="D144" s="17"/>
      <c r="E144" s="17"/>
      <c r="F144" s="17">
        <v>7.6001122915345999E-6</v>
      </c>
      <c r="G144" s="17"/>
      <c r="H144" s="17"/>
      <c r="I144" s="17">
        <v>9.0434197470909699E-6</v>
      </c>
      <c r="J144" s="17"/>
      <c r="K144" s="17"/>
      <c r="L144" s="17">
        <v>7.6000893320772597E-6</v>
      </c>
      <c r="M144" s="17"/>
      <c r="N144" s="17"/>
      <c r="O144" s="17">
        <v>7.6000518469881202E-6</v>
      </c>
      <c r="P144" s="17"/>
      <c r="Q144" s="17"/>
      <c r="R144" s="17">
        <v>7.6001262875112196E-6</v>
      </c>
      <c r="S144" s="17"/>
      <c r="T144" s="17"/>
      <c r="U144" s="13">
        <v>7.6000954048748302E-6</v>
      </c>
    </row>
    <row r="145" spans="1:21" x14ac:dyDescent="0.15">
      <c r="A145" s="5" t="s">
        <v>96</v>
      </c>
      <c r="B145" t="s">
        <v>3583</v>
      </c>
      <c r="C145" s="17">
        <v>1.7599559443309701E-4</v>
      </c>
      <c r="D145" s="17"/>
      <c r="E145" s="17"/>
      <c r="F145" s="17">
        <v>2.7437142873266101E-4</v>
      </c>
      <c r="G145" s="17"/>
      <c r="H145" s="17"/>
      <c r="I145" s="17">
        <v>1.8496809713913201E-3</v>
      </c>
      <c r="J145" s="17"/>
      <c r="K145" s="17"/>
      <c r="L145" s="17">
        <v>1.85739736869916E-3</v>
      </c>
      <c r="M145" s="17"/>
      <c r="N145" s="17"/>
      <c r="O145" s="17">
        <v>8.3639193632187596E-4</v>
      </c>
      <c r="P145" s="17"/>
      <c r="Q145" s="17"/>
      <c r="R145" s="17">
        <v>3.1618010003812299E-3</v>
      </c>
      <c r="S145" s="17"/>
      <c r="T145" s="17"/>
      <c r="U145">
        <v>3.90106775582708E-3</v>
      </c>
    </row>
    <row r="146" spans="1:21" x14ac:dyDescent="0.15">
      <c r="A146" s="5" t="s">
        <v>96</v>
      </c>
      <c r="B146" t="s">
        <v>3583</v>
      </c>
      <c r="C146" s="17">
        <v>6.9547861506604998E-4</v>
      </c>
      <c r="D146" s="17"/>
      <c r="E146" s="17"/>
      <c r="F146" s="17">
        <v>1.08422862449106E-3</v>
      </c>
      <c r="G146" s="17"/>
      <c r="H146" s="17"/>
      <c r="I146" s="17">
        <v>7.3093509212031997E-3</v>
      </c>
      <c r="J146" s="17"/>
      <c r="K146" s="17"/>
      <c r="L146" s="17">
        <v>7.3398436692190799E-3</v>
      </c>
      <c r="M146" s="17"/>
      <c r="N146" s="17"/>
      <c r="O146" s="17">
        <v>1.1239016644312601E-3</v>
      </c>
      <c r="P146" s="17"/>
      <c r="Q146" s="17"/>
      <c r="R146" s="17">
        <v>1.24944319654291E-2</v>
      </c>
      <c r="S146" s="17"/>
      <c r="T146" s="17"/>
      <c r="U146">
        <v>1.54157790644742E-2</v>
      </c>
    </row>
    <row r="147" spans="1:21" x14ac:dyDescent="0.15">
      <c r="A147" s="5" t="s">
        <v>96</v>
      </c>
      <c r="B147" t="s">
        <v>3583</v>
      </c>
      <c r="C147" s="17">
        <v>3.3347666761703401E-4</v>
      </c>
      <c r="D147" s="17"/>
      <c r="E147" s="17"/>
      <c r="F147" s="17">
        <v>5.1987931878530002E-4</v>
      </c>
      <c r="G147" s="17"/>
      <c r="H147" s="17"/>
      <c r="I147" s="17">
        <v>3.5047777671997201E-3</v>
      </c>
      <c r="J147" s="17"/>
      <c r="K147" s="17"/>
      <c r="L147" s="17">
        <v>3.5193988062576201E-3</v>
      </c>
      <c r="M147" s="17"/>
      <c r="N147" s="17"/>
      <c r="O147" s="17">
        <v>2.84896003309655E-3</v>
      </c>
      <c r="P147" s="17"/>
      <c r="Q147" s="17"/>
      <c r="R147" s="17">
        <v>5.9909844031701201E-3</v>
      </c>
      <c r="S147" s="17"/>
      <c r="T147" s="17"/>
      <c r="U147">
        <v>7.3917479556910399E-3</v>
      </c>
    </row>
    <row r="148" spans="1:21" x14ac:dyDescent="0.15">
      <c r="A148" s="5" t="s">
        <v>96</v>
      </c>
      <c r="B148" t="s">
        <v>3583</v>
      </c>
      <c r="C148" s="17">
        <v>5.1668431393199897E-5</v>
      </c>
      <c r="D148" s="17"/>
      <c r="E148" s="17"/>
      <c r="F148" s="17">
        <v>8.0549410270134506E-5</v>
      </c>
      <c r="G148" s="17"/>
      <c r="H148" s="17"/>
      <c r="I148" s="17">
        <v>5.4302560627999099E-4</v>
      </c>
      <c r="J148" s="17"/>
      <c r="K148" s="17"/>
      <c r="L148" s="17">
        <v>5.4529097062724495E-4</v>
      </c>
      <c r="M148" s="17"/>
      <c r="N148" s="17"/>
      <c r="O148" s="17">
        <v>5.3982129556788896E-3</v>
      </c>
      <c r="P148" s="17"/>
      <c r="Q148" s="17"/>
      <c r="R148" s="17">
        <v>9.2823515607517201E-4</v>
      </c>
      <c r="S148" s="17"/>
      <c r="T148" s="17"/>
      <c r="U148">
        <v>1.1452675980409099E-3</v>
      </c>
    </row>
    <row r="149" spans="1:21" x14ac:dyDescent="0.15">
      <c r="A149" s="5" t="s">
        <v>96</v>
      </c>
      <c r="B149" t="s">
        <v>3583</v>
      </c>
      <c r="C149" s="17">
        <v>6.9429454684534695E-5</v>
      </c>
      <c r="D149" s="17"/>
      <c r="E149" s="17"/>
      <c r="F149" s="17">
        <v>1.08238270050372E-4</v>
      </c>
      <c r="G149" s="17"/>
      <c r="H149" s="17"/>
      <c r="I149" s="17">
        <v>7.2969065843792198E-4</v>
      </c>
      <c r="J149" s="17"/>
      <c r="K149" s="17"/>
      <c r="L149" s="17">
        <v>7.3273474177954097E-4</v>
      </c>
      <c r="M149" s="17"/>
      <c r="N149" s="17"/>
      <c r="O149" s="17">
        <v>1.1258183959540599E-2</v>
      </c>
      <c r="P149" s="17"/>
      <c r="Q149" s="17"/>
      <c r="R149" s="17">
        <v>1.24731599097461E-3</v>
      </c>
      <c r="S149" s="17"/>
      <c r="T149" s="17"/>
      <c r="U149">
        <v>1.53895333486575E-3</v>
      </c>
    </row>
    <row r="150" spans="1:21" x14ac:dyDescent="0.15">
      <c r="A150" s="5" t="s">
        <v>96</v>
      </c>
      <c r="B150" t="s">
        <v>3599</v>
      </c>
      <c r="C150" s="17">
        <v>1.27338464761202E-3</v>
      </c>
      <c r="D150" s="17"/>
      <c r="E150" s="17"/>
      <c r="F150" s="17">
        <v>2.1748949158599601E-3</v>
      </c>
      <c r="G150" s="17"/>
      <c r="H150" s="17"/>
      <c r="I150" s="17">
        <v>3.1624186504551201E-3</v>
      </c>
      <c r="J150" s="17"/>
      <c r="K150" s="17"/>
      <c r="L150" s="17">
        <v>3.7709866895877298E-3</v>
      </c>
      <c r="M150" s="17"/>
      <c r="N150" s="17"/>
      <c r="O150" s="17">
        <v>3.0700576641150902E-4</v>
      </c>
      <c r="P150" s="17"/>
      <c r="Q150" s="17"/>
      <c r="R150" s="17">
        <v>3.9042889108787302E-3</v>
      </c>
      <c r="S150" s="17"/>
      <c r="T150" s="17"/>
      <c r="U150">
        <v>3.8497707516678102E-3</v>
      </c>
    </row>
    <row r="151" spans="1:21" x14ac:dyDescent="0.15">
      <c r="A151" s="5" t="s">
        <v>96</v>
      </c>
      <c r="B151" t="s">
        <v>3599</v>
      </c>
      <c r="C151" s="17">
        <v>1.8136084375080201E-4</v>
      </c>
      <c r="D151" s="17"/>
      <c r="E151" s="17"/>
      <c r="F151" s="17">
        <v>3.0975776074368899E-4</v>
      </c>
      <c r="G151" s="17"/>
      <c r="H151" s="17"/>
      <c r="I151" s="17">
        <v>4.5040508051936398E-4</v>
      </c>
      <c r="J151" s="17"/>
      <c r="K151" s="17"/>
      <c r="L151" s="17">
        <v>5.3707992245643197E-4</v>
      </c>
      <c r="M151" s="17"/>
      <c r="N151" s="17"/>
      <c r="O151" s="17">
        <v>3.1881368050425802E-4</v>
      </c>
      <c r="P151" s="17"/>
      <c r="Q151" s="17"/>
      <c r="R151" s="17">
        <v>5.5606539033727098E-4</v>
      </c>
      <c r="S151" s="17"/>
      <c r="T151" s="17"/>
      <c r="U151">
        <v>5.4830068281329196E-4</v>
      </c>
    </row>
    <row r="152" spans="1:21" x14ac:dyDescent="0.15">
      <c r="A152" s="5" t="s">
        <v>96</v>
      </c>
      <c r="B152" t="s">
        <v>3599</v>
      </c>
      <c r="C152" s="17">
        <v>1.6978461968160199E-3</v>
      </c>
      <c r="D152" s="17"/>
      <c r="E152" s="17"/>
      <c r="F152" s="17">
        <v>2.8998598878132698E-3</v>
      </c>
      <c r="G152" s="17"/>
      <c r="H152" s="17"/>
      <c r="I152" s="17">
        <v>4.2165582006068198E-3</v>
      </c>
      <c r="J152" s="17"/>
      <c r="K152" s="17"/>
      <c r="L152" s="17">
        <v>5.0279822527836303E-3</v>
      </c>
      <c r="M152" s="17"/>
      <c r="N152" s="17"/>
      <c r="O152" s="17">
        <v>3.6604533687526001E-4</v>
      </c>
      <c r="P152" s="17"/>
      <c r="Q152" s="17"/>
      <c r="R152" s="17">
        <v>5.2057185478382997E-3</v>
      </c>
      <c r="S152" s="17"/>
      <c r="T152" s="17"/>
      <c r="U152">
        <v>5.1330276688904102E-3</v>
      </c>
    </row>
    <row r="153" spans="1:21" x14ac:dyDescent="0.15">
      <c r="A153" s="5" t="s">
        <v>96</v>
      </c>
      <c r="B153" t="s">
        <v>3599</v>
      </c>
      <c r="C153" s="17">
        <v>1.7750210239440199E-4</v>
      </c>
      <c r="D153" s="17"/>
      <c r="E153" s="17"/>
      <c r="F153" s="17">
        <v>3.0316717008956902E-4</v>
      </c>
      <c r="G153" s="17"/>
      <c r="H153" s="17"/>
      <c r="I153" s="17">
        <v>4.4082199369980298E-4</v>
      </c>
      <c r="J153" s="17"/>
      <c r="K153" s="17"/>
      <c r="L153" s="17">
        <v>5.2565269006374295E-4</v>
      </c>
      <c r="M153" s="17"/>
      <c r="N153" s="17"/>
      <c r="O153" s="17">
        <v>3.7785325096800998E-4</v>
      </c>
      <c r="P153" s="17"/>
      <c r="Q153" s="17"/>
      <c r="R153" s="17">
        <v>5.4423421181945704E-4</v>
      </c>
      <c r="S153" s="17"/>
      <c r="T153" s="17"/>
      <c r="U153">
        <v>5.3663471083854105E-4</v>
      </c>
    </row>
    <row r="154" spans="1:21" x14ac:dyDescent="0.15">
      <c r="A154" s="5" t="s">
        <v>96</v>
      </c>
      <c r="B154" t="s">
        <v>3599</v>
      </c>
      <c r="C154" s="17">
        <v>1.19620982048401E-4</v>
      </c>
      <c r="D154" s="17"/>
      <c r="E154" s="17"/>
      <c r="F154" s="17">
        <v>2.04308310277752E-4</v>
      </c>
      <c r="G154" s="17"/>
      <c r="H154" s="17"/>
      <c r="I154" s="17">
        <v>2.9707569140638901E-4</v>
      </c>
      <c r="J154" s="17"/>
      <c r="K154" s="17"/>
      <c r="L154" s="17">
        <v>3.5424420417339101E-4</v>
      </c>
      <c r="M154" s="17"/>
      <c r="N154" s="17"/>
      <c r="O154" s="17">
        <v>3.8966116506076299E-4</v>
      </c>
      <c r="P154" s="17"/>
      <c r="Q154" s="17"/>
      <c r="R154" s="17">
        <v>3.66766534052243E-4</v>
      </c>
      <c r="S154" s="17"/>
      <c r="T154" s="17"/>
      <c r="U154">
        <v>3.6164513121727799E-4</v>
      </c>
    </row>
    <row r="155" spans="1:21" x14ac:dyDescent="0.15">
      <c r="A155" s="5" t="s">
        <v>96</v>
      </c>
      <c r="B155" t="s">
        <v>3599</v>
      </c>
      <c r="C155" s="17">
        <v>1.04186016622801E-4</v>
      </c>
      <c r="D155" s="17"/>
      <c r="E155" s="17"/>
      <c r="F155" s="17">
        <v>1.77945947661268E-4</v>
      </c>
      <c r="G155" s="17"/>
      <c r="H155" s="17"/>
      <c r="I155" s="17">
        <v>2.5874334412814501E-4</v>
      </c>
      <c r="J155" s="17"/>
      <c r="K155" s="17"/>
      <c r="L155" s="17">
        <v>3.0853527460263103E-4</v>
      </c>
      <c r="M155" s="17"/>
      <c r="N155" s="17"/>
      <c r="O155" s="17">
        <v>5.4316404826651595E-4</v>
      </c>
      <c r="P155" s="17"/>
      <c r="Q155" s="17"/>
      <c r="R155" s="17">
        <v>3.1944181998098497E-4</v>
      </c>
      <c r="S155" s="17"/>
      <c r="T155" s="17"/>
      <c r="U155">
        <v>3.1498124331827301E-4</v>
      </c>
    </row>
    <row r="156" spans="1:21" x14ac:dyDescent="0.15">
      <c r="A156" s="5" t="s">
        <v>96</v>
      </c>
      <c r="B156" t="s">
        <v>3599</v>
      </c>
      <c r="C156" s="17">
        <v>1.89078326463602E-4</v>
      </c>
      <c r="D156" s="17"/>
      <c r="E156" s="17"/>
      <c r="F156" s="17">
        <v>3.22938942051932E-4</v>
      </c>
      <c r="G156" s="17"/>
      <c r="H156" s="17"/>
      <c r="I156" s="17">
        <v>4.6957125415848702E-4</v>
      </c>
      <c r="J156" s="17"/>
      <c r="K156" s="17"/>
      <c r="L156" s="17">
        <v>5.5993438724181402E-4</v>
      </c>
      <c r="M156" s="17"/>
      <c r="N156" s="17"/>
      <c r="O156" s="17">
        <v>5.5497196235926598E-4</v>
      </c>
      <c r="P156" s="17"/>
      <c r="Q156" s="17"/>
      <c r="R156" s="17">
        <v>5.7972774737290102E-4</v>
      </c>
      <c r="S156" s="17"/>
      <c r="T156" s="17"/>
      <c r="U156">
        <v>5.7163262676279496E-4</v>
      </c>
    </row>
    <row r="157" spans="1:21" x14ac:dyDescent="0.15">
      <c r="A157" s="5" t="s">
        <v>96</v>
      </c>
      <c r="B157" t="s">
        <v>3599</v>
      </c>
      <c r="C157" s="17">
        <v>1.0285457439509699E-3</v>
      </c>
      <c r="D157" s="17"/>
      <c r="E157" s="17"/>
      <c r="F157" s="17">
        <v>1.75671892498733E-3</v>
      </c>
      <c r="G157" s="17"/>
      <c r="H157" s="17"/>
      <c r="I157" s="17">
        <v>2.5543674094206902E-3</v>
      </c>
      <c r="J157" s="17"/>
      <c r="K157" s="17"/>
      <c r="L157" s="17">
        <v>3.0459235686128498E-3</v>
      </c>
      <c r="M157" s="17"/>
      <c r="N157" s="17"/>
      <c r="O157" s="17">
        <v>5.5497196235926598E-4</v>
      </c>
      <c r="P157" s="17"/>
      <c r="Q157" s="17"/>
      <c r="R157" s="17">
        <v>3.1535952235406698E-3</v>
      </c>
      <c r="S157" s="17"/>
      <c r="T157" s="17"/>
      <c r="U157">
        <v>3.10955949503587E-3</v>
      </c>
    </row>
    <row r="158" spans="1:21" x14ac:dyDescent="0.15">
      <c r="A158" s="5" t="s">
        <v>96</v>
      </c>
      <c r="B158" t="s">
        <v>3599</v>
      </c>
      <c r="C158" s="17">
        <v>3.00855477852301E-3</v>
      </c>
      <c r="D158" s="17"/>
      <c r="E158" s="17"/>
      <c r="F158" s="17">
        <v>5.1385027329852997E-3</v>
      </c>
      <c r="G158" s="17"/>
      <c r="H158" s="17"/>
      <c r="I158" s="17">
        <v>7.4716698998682496E-3</v>
      </c>
      <c r="J158" s="17"/>
      <c r="K158" s="17"/>
      <c r="L158" s="17">
        <v>8.9094996126909201E-3</v>
      </c>
      <c r="M158" s="17"/>
      <c r="N158" s="17"/>
      <c r="O158" s="17">
        <v>5.7858779054476798E-4</v>
      </c>
      <c r="P158" s="17"/>
      <c r="Q158" s="17"/>
      <c r="R158" s="17">
        <v>9.2244453249741998E-3</v>
      </c>
      <c r="S158" s="17"/>
      <c r="T158" s="17"/>
      <c r="U158">
        <v>9.09563831546778E-3</v>
      </c>
    </row>
    <row r="159" spans="1:21" x14ac:dyDescent="0.15">
      <c r="A159" s="5" t="s">
        <v>96</v>
      </c>
      <c r="B159" t="s">
        <v>3599</v>
      </c>
      <c r="C159" s="17">
        <v>1.0958825452176101E-2</v>
      </c>
      <c r="D159" s="17"/>
      <c r="E159" s="17"/>
      <c r="F159" s="17">
        <v>1.8717277457703799E-2</v>
      </c>
      <c r="G159" s="17"/>
      <c r="H159" s="17"/>
      <c r="I159" s="17">
        <v>2.7215966567553099E-2</v>
      </c>
      <c r="J159" s="17"/>
      <c r="K159" s="17"/>
      <c r="L159" s="17">
        <v>3.2453339995239798E-2</v>
      </c>
      <c r="M159" s="17"/>
      <c r="N159" s="17"/>
      <c r="O159" s="17">
        <v>9.2101729923452897E-4</v>
      </c>
      <c r="P159" s="17"/>
      <c r="Q159" s="17"/>
      <c r="R159" s="17">
        <v>3.3600546990592603E-2</v>
      </c>
      <c r="S159" s="17"/>
      <c r="T159" s="17"/>
      <c r="U159">
        <v>3.3131360408292503E-2</v>
      </c>
    </row>
    <row r="160" spans="1:21" x14ac:dyDescent="0.15">
      <c r="A160" s="5" t="s">
        <v>96</v>
      </c>
      <c r="B160" t="s">
        <v>3599</v>
      </c>
      <c r="C160" s="17">
        <v>3.62721687501605E-3</v>
      </c>
      <c r="D160" s="17"/>
      <c r="E160" s="17"/>
      <c r="F160" s="17">
        <v>6.1951552148738097E-3</v>
      </c>
      <c r="G160" s="17"/>
      <c r="H160" s="17"/>
      <c r="I160" s="17">
        <v>9.0081016103873094E-3</v>
      </c>
      <c r="J160" s="17"/>
      <c r="K160" s="17"/>
      <c r="L160" s="17">
        <v>1.07415984491286E-2</v>
      </c>
      <c r="M160" s="17"/>
      <c r="N160" s="17"/>
      <c r="O160" s="17">
        <v>2.7431492856712001E-3</v>
      </c>
      <c r="P160" s="17"/>
      <c r="Q160" s="17"/>
      <c r="R160" s="17">
        <v>1.11213078067454E-2</v>
      </c>
      <c r="S160" s="17"/>
      <c r="T160" s="17"/>
      <c r="U160">
        <v>1.0966013656265801E-2</v>
      </c>
    </row>
    <row r="161" spans="1:21" x14ac:dyDescent="0.15">
      <c r="A161" s="5" t="s">
        <v>96</v>
      </c>
      <c r="B161" t="s">
        <v>3599</v>
      </c>
      <c r="C161" s="17">
        <v>1.08044757979201E-3</v>
      </c>
      <c r="D161" s="17"/>
      <c r="E161" s="17"/>
      <c r="F161" s="17">
        <v>1.8453653831539E-3</v>
      </c>
      <c r="G161" s="17"/>
      <c r="H161" s="17"/>
      <c r="I161" s="17">
        <v>2.6832643094770701E-3</v>
      </c>
      <c r="J161" s="17"/>
      <c r="K161" s="17"/>
      <c r="L161" s="17">
        <v>3.1996250699532301E-3</v>
      </c>
      <c r="M161" s="17"/>
      <c r="N161" s="17"/>
      <c r="O161" s="17">
        <v>3.1473941016786698E-3</v>
      </c>
      <c r="P161" s="17"/>
      <c r="Q161" s="17"/>
      <c r="R161" s="17">
        <v>3.3127299849880099E-3</v>
      </c>
      <c r="S161" s="17"/>
      <c r="T161" s="17"/>
      <c r="U161">
        <v>3.2664721529302599E-3</v>
      </c>
    </row>
    <row r="162" spans="1:21" x14ac:dyDescent="0.15">
      <c r="A162" s="5" t="s">
        <v>96</v>
      </c>
      <c r="B162" t="s">
        <v>3599</v>
      </c>
      <c r="C162" s="17">
        <v>3.00981825799204E-4</v>
      </c>
      <c r="D162" s="17"/>
      <c r="E162" s="17"/>
      <c r="F162" s="17">
        <v>5.1406607102144402E-4</v>
      </c>
      <c r="G162" s="17"/>
      <c r="H162" s="17"/>
      <c r="I162" s="17">
        <v>7.47480771925755E-4</v>
      </c>
      <c r="J162" s="17"/>
      <c r="K162" s="17"/>
      <c r="L162" s="17">
        <v>8.9132412662982596E-4</v>
      </c>
      <c r="M162" s="17"/>
      <c r="N162" s="17"/>
      <c r="O162" s="17">
        <v>3.1529283800637601E-3</v>
      </c>
      <c r="P162" s="17"/>
      <c r="Q162" s="17"/>
      <c r="R162" s="17">
        <v>9.2283192438951604E-4</v>
      </c>
      <c r="S162" s="17"/>
      <c r="T162" s="17"/>
      <c r="U162">
        <v>9.0994581403057201E-4</v>
      </c>
    </row>
    <row r="163" spans="1:21" x14ac:dyDescent="0.15">
      <c r="A163" s="5" t="s">
        <v>96</v>
      </c>
      <c r="B163" t="s">
        <v>3599</v>
      </c>
      <c r="C163" s="17">
        <v>4.8620141090640603E-3</v>
      </c>
      <c r="D163" s="17"/>
      <c r="E163" s="17"/>
      <c r="F163" s="17">
        <v>8.3041442241925494E-3</v>
      </c>
      <c r="G163" s="17"/>
      <c r="H163" s="17"/>
      <c r="I163" s="17">
        <v>1.20746893926468E-2</v>
      </c>
      <c r="J163" s="17"/>
      <c r="K163" s="17"/>
      <c r="L163" s="17">
        <v>1.4398312814789401E-2</v>
      </c>
      <c r="M163" s="17"/>
      <c r="N163" s="17"/>
      <c r="O163" s="17">
        <v>3.3062159459701099E-3</v>
      </c>
      <c r="P163" s="17"/>
      <c r="Q163" s="17"/>
      <c r="R163" s="17">
        <v>1.4907284932446E-2</v>
      </c>
      <c r="S163" s="17"/>
      <c r="T163" s="17"/>
      <c r="U163">
        <v>1.4699124688186099E-2</v>
      </c>
    </row>
    <row r="164" spans="1:21" x14ac:dyDescent="0.15">
      <c r="A164" s="5" t="s">
        <v>96</v>
      </c>
      <c r="B164" t="s">
        <v>3599</v>
      </c>
      <c r="C164" s="17">
        <v>2.3299896745268998E-3</v>
      </c>
      <c r="D164" s="17"/>
      <c r="E164" s="17"/>
      <c r="F164" s="17">
        <v>3.9795380811586002E-3</v>
      </c>
      <c r="G164" s="17"/>
      <c r="H164" s="17"/>
      <c r="I164" s="17">
        <v>5.7864705813044899E-3</v>
      </c>
      <c r="J164" s="17"/>
      <c r="K164" s="17"/>
      <c r="L164" s="17">
        <v>6.9000046969270997E-3</v>
      </c>
      <c r="M164" s="17"/>
      <c r="N164" s="17"/>
      <c r="O164" s="17">
        <v>3.3062159459701099E-3</v>
      </c>
      <c r="P164" s="17"/>
      <c r="Q164" s="17"/>
      <c r="R164" s="17">
        <v>7.1439159139988504E-3</v>
      </c>
      <c r="S164" s="17"/>
      <c r="T164" s="17"/>
      <c r="U164">
        <v>7.0441607078450203E-3</v>
      </c>
    </row>
    <row r="165" spans="1:21" x14ac:dyDescent="0.15">
      <c r="A165" s="5" t="s">
        <v>96</v>
      </c>
      <c r="B165" t="s">
        <v>3599</v>
      </c>
      <c r="C165" s="17">
        <v>1.23479723404801E-4</v>
      </c>
      <c r="D165" s="17"/>
      <c r="E165" s="17"/>
      <c r="F165" s="17">
        <v>2.1089890093187299E-4</v>
      </c>
      <c r="G165" s="17"/>
      <c r="H165" s="17"/>
      <c r="I165" s="17">
        <v>3.0665877822595001E-4</v>
      </c>
      <c r="J165" s="17"/>
      <c r="K165" s="17"/>
      <c r="L165" s="17">
        <v>3.65671436566081E-4</v>
      </c>
      <c r="M165" s="17"/>
      <c r="N165" s="17"/>
      <c r="O165" s="17">
        <v>3.8966116506076302E-3</v>
      </c>
      <c r="P165" s="17"/>
      <c r="Q165" s="17"/>
      <c r="R165" s="17">
        <v>3.7859771257005601E-4</v>
      </c>
      <c r="S165" s="17"/>
      <c r="T165" s="17"/>
      <c r="U165">
        <v>3.7331110319202798E-4</v>
      </c>
    </row>
    <row r="166" spans="1:21" x14ac:dyDescent="0.15">
      <c r="A166" s="5" t="s">
        <v>96</v>
      </c>
      <c r="B166" t="s">
        <v>3599</v>
      </c>
      <c r="C166" s="17">
        <v>1.27338464761202E-4</v>
      </c>
      <c r="D166" s="17"/>
      <c r="E166" s="17"/>
      <c r="F166" s="17">
        <v>2.1748949158599599E-4</v>
      </c>
      <c r="G166" s="17"/>
      <c r="H166" s="17"/>
      <c r="I166" s="17">
        <v>3.1624186504551198E-4</v>
      </c>
      <c r="J166" s="17"/>
      <c r="K166" s="17"/>
      <c r="L166" s="17">
        <v>3.7709866895877301E-4</v>
      </c>
      <c r="M166" s="17"/>
      <c r="N166" s="17"/>
      <c r="O166" s="17">
        <v>4.2508490733901196E-3</v>
      </c>
      <c r="P166" s="17"/>
      <c r="Q166" s="17"/>
      <c r="R166" s="17">
        <v>3.9042889108787299E-4</v>
      </c>
      <c r="S166" s="17"/>
      <c r="T166" s="17"/>
      <c r="U166">
        <v>3.84977075166781E-4</v>
      </c>
    </row>
    <row r="167" spans="1:21" x14ac:dyDescent="0.15">
      <c r="A167" s="5" t="s">
        <v>96</v>
      </c>
      <c r="B167" t="s">
        <v>3599</v>
      </c>
      <c r="C167" s="17">
        <v>1.08044757979201E-3</v>
      </c>
      <c r="D167" s="17"/>
      <c r="E167" s="17"/>
      <c r="F167" s="17">
        <v>1.8453653831539E-3</v>
      </c>
      <c r="G167" s="17"/>
      <c r="H167" s="17"/>
      <c r="I167" s="17">
        <v>2.6832643094770701E-3</v>
      </c>
      <c r="J167" s="17"/>
      <c r="K167" s="17"/>
      <c r="L167" s="17">
        <v>3.1996250699532301E-3</v>
      </c>
      <c r="M167" s="17"/>
      <c r="N167" s="17"/>
      <c r="O167" s="17">
        <v>5.1954822008101597E-3</v>
      </c>
      <c r="P167" s="17"/>
      <c r="Q167" s="17"/>
      <c r="R167" s="17">
        <v>3.3127299849880099E-3</v>
      </c>
      <c r="S167" s="17"/>
      <c r="T167" s="17"/>
      <c r="U167">
        <v>3.2664721529302599E-3</v>
      </c>
    </row>
    <row r="168" spans="1:21" x14ac:dyDescent="0.15">
      <c r="A168" s="5" t="s">
        <v>96</v>
      </c>
      <c r="B168" t="s">
        <v>3599</v>
      </c>
      <c r="C168" s="17">
        <v>1.38914688830401E-3</v>
      </c>
      <c r="D168" s="17"/>
      <c r="E168" s="17"/>
      <c r="F168" s="17">
        <v>2.3726126354835799E-3</v>
      </c>
      <c r="G168" s="17"/>
      <c r="H168" s="17"/>
      <c r="I168" s="17">
        <v>3.4499112550419402E-3</v>
      </c>
      <c r="J168" s="17"/>
      <c r="K168" s="17"/>
      <c r="L168" s="17">
        <v>4.1138036613684202E-3</v>
      </c>
      <c r="M168" s="17"/>
      <c r="N168" s="17"/>
      <c r="O168" s="17">
        <v>5.7858779054476804E-3</v>
      </c>
      <c r="P168" s="17"/>
      <c r="Q168" s="17"/>
      <c r="R168" s="17">
        <v>4.2592242664131396E-3</v>
      </c>
      <c r="S168" s="17"/>
      <c r="T168" s="17"/>
      <c r="U168">
        <v>4.1997499109103203E-3</v>
      </c>
    </row>
    <row r="169" spans="1:21" x14ac:dyDescent="0.15">
      <c r="A169" s="5" t="s">
        <v>96</v>
      </c>
      <c r="B169" t="s">
        <v>3599</v>
      </c>
      <c r="C169" s="17">
        <v>1.00327275266401E-4</v>
      </c>
      <c r="D169" s="17"/>
      <c r="E169" s="17"/>
      <c r="F169" s="17">
        <v>1.71355357007147E-4</v>
      </c>
      <c r="G169" s="17"/>
      <c r="H169" s="17"/>
      <c r="I169" s="17">
        <v>2.4916025730858401E-4</v>
      </c>
      <c r="J169" s="17"/>
      <c r="K169" s="17"/>
      <c r="L169" s="17">
        <v>2.9710804220994098E-4</v>
      </c>
      <c r="M169" s="17"/>
      <c r="N169" s="17"/>
      <c r="O169" s="17">
        <v>6.02203618730268E-3</v>
      </c>
      <c r="P169" s="17"/>
      <c r="Q169" s="17"/>
      <c r="R169" s="17">
        <v>3.0761064146317098E-4</v>
      </c>
      <c r="S169" s="17"/>
      <c r="T169" s="17"/>
      <c r="U169">
        <v>3.0331527134352297E-4</v>
      </c>
    </row>
    <row r="170" spans="1:21" x14ac:dyDescent="0.15">
      <c r="A170" s="5" t="s">
        <v>96</v>
      </c>
      <c r="B170" t="s">
        <v>3599</v>
      </c>
      <c r="C170" s="17">
        <v>1.9679580917640201E-3</v>
      </c>
      <c r="D170" s="17"/>
      <c r="E170" s="17"/>
      <c r="F170" s="17">
        <v>3.3612012336017398E-3</v>
      </c>
      <c r="G170" s="17"/>
      <c r="H170" s="17"/>
      <c r="I170" s="17">
        <v>4.8873742779760804E-3</v>
      </c>
      <c r="J170" s="17"/>
      <c r="K170" s="17"/>
      <c r="L170" s="17">
        <v>5.8278885202719304E-3</v>
      </c>
      <c r="M170" s="17"/>
      <c r="N170" s="17"/>
      <c r="O170" s="17">
        <v>7.1298683619148298E-3</v>
      </c>
      <c r="P170" s="17"/>
      <c r="Q170" s="17"/>
      <c r="R170" s="17">
        <v>6.0339010440852896E-3</v>
      </c>
      <c r="S170" s="17"/>
      <c r="T170" s="17"/>
      <c r="U170">
        <v>5.9496457071229599E-3</v>
      </c>
    </row>
    <row r="171" spans="1:21" x14ac:dyDescent="0.15">
      <c r="A171" s="5" t="s">
        <v>96</v>
      </c>
      <c r="B171" t="s">
        <v>3599</v>
      </c>
      <c r="C171" s="17">
        <v>1.0303543063028501E-3</v>
      </c>
      <c r="D171" s="17"/>
      <c r="E171" s="17"/>
      <c r="F171" s="17">
        <v>1.7598078840630499E-3</v>
      </c>
      <c r="G171" s="17"/>
      <c r="H171" s="17"/>
      <c r="I171" s="17">
        <v>2.5588589283995198E-3</v>
      </c>
      <c r="J171" s="17"/>
      <c r="K171" s="17"/>
      <c r="L171" s="17">
        <v>3.0512794244173199E-3</v>
      </c>
      <c r="M171" s="17"/>
      <c r="N171" s="17"/>
      <c r="O171" s="17">
        <v>9.2063066909660908E-3</v>
      </c>
      <c r="P171" s="17"/>
      <c r="Q171" s="17"/>
      <c r="R171" s="17">
        <v>3.1591404057826002E-3</v>
      </c>
      <c r="S171" s="17"/>
      <c r="T171" s="17"/>
      <c r="U171">
        <v>3.1150272462435601E-3</v>
      </c>
    </row>
    <row r="172" spans="1:21" x14ac:dyDescent="0.15">
      <c r="A172" s="5" t="s">
        <v>96</v>
      </c>
      <c r="B172" t="s">
        <v>3599</v>
      </c>
      <c r="C172" s="17">
        <v>1.8136084375080201E-4</v>
      </c>
      <c r="D172" s="17"/>
      <c r="E172" s="17"/>
      <c r="F172" s="17">
        <v>3.0975776074368899E-4</v>
      </c>
      <c r="G172" s="17"/>
      <c r="H172" s="17"/>
      <c r="I172" s="17">
        <v>4.5040508051936398E-4</v>
      </c>
      <c r="J172" s="17"/>
      <c r="K172" s="17"/>
      <c r="L172" s="17">
        <v>5.3707992245643197E-4</v>
      </c>
      <c r="M172" s="17"/>
      <c r="N172" s="17"/>
      <c r="O172" s="17">
        <v>1.1099439247185299E-2</v>
      </c>
      <c r="P172" s="17"/>
      <c r="Q172" s="17"/>
      <c r="R172" s="17">
        <v>5.5606539033727098E-4</v>
      </c>
      <c r="S172" s="17"/>
      <c r="T172" s="17"/>
      <c r="U172">
        <v>5.4830068281329196E-4</v>
      </c>
    </row>
    <row r="173" spans="1:21" x14ac:dyDescent="0.15">
      <c r="A173" s="5" t="s">
        <v>96</v>
      </c>
      <c r="B173" t="s">
        <v>3599</v>
      </c>
      <c r="C173" s="17">
        <v>8.9644144700354897E-4</v>
      </c>
      <c r="D173" s="17"/>
      <c r="E173" s="17"/>
      <c r="F173" s="17">
        <v>1.5310895644221601E-3</v>
      </c>
      <c r="G173" s="17"/>
      <c r="H173" s="17"/>
      <c r="I173" s="17">
        <v>2.2262897203616599E-3</v>
      </c>
      <c r="J173" s="17"/>
      <c r="K173" s="17"/>
      <c r="L173" s="17">
        <v>2.6547114188823799E-3</v>
      </c>
      <c r="M173" s="17"/>
      <c r="N173" s="17"/>
      <c r="O173" s="17">
        <v>1.48779717568654E-2</v>
      </c>
      <c r="P173" s="17"/>
      <c r="Q173" s="17"/>
      <c r="R173" s="17">
        <v>2.7485539482131499E-3</v>
      </c>
      <c r="S173" s="17"/>
      <c r="T173" s="17"/>
      <c r="U173">
        <v>2.7101740779809699E-3</v>
      </c>
    </row>
    <row r="174" spans="1:21" x14ac:dyDescent="0.15">
      <c r="A174" s="5" t="s">
        <v>96</v>
      </c>
      <c r="B174" t="s">
        <v>3599</v>
      </c>
      <c r="C174" s="17">
        <v>1.89078326463602E-3</v>
      </c>
      <c r="D174" s="17"/>
      <c r="E174" s="17"/>
      <c r="F174" s="17">
        <v>3.2293894205193199E-3</v>
      </c>
      <c r="G174" s="17"/>
      <c r="H174" s="17"/>
      <c r="I174" s="17">
        <v>4.6957125415848702E-3</v>
      </c>
      <c r="J174" s="17"/>
      <c r="K174" s="17"/>
      <c r="L174" s="17">
        <v>5.59934387241814E-3</v>
      </c>
      <c r="M174" s="17"/>
      <c r="N174" s="17"/>
      <c r="O174" s="17">
        <v>3.3534476023411003E-2</v>
      </c>
      <c r="P174" s="17"/>
      <c r="Q174" s="17"/>
      <c r="R174" s="17">
        <v>5.79727747372901E-3</v>
      </c>
      <c r="S174" s="17"/>
      <c r="T174" s="17"/>
      <c r="U174">
        <v>5.7163262676279501E-3</v>
      </c>
    </row>
    <row r="175" spans="1:21" x14ac:dyDescent="0.15">
      <c r="A175" s="5" t="s">
        <v>96</v>
      </c>
      <c r="B175" t="s">
        <v>3600</v>
      </c>
      <c r="C175" s="17">
        <v>6.65274651383745E-4</v>
      </c>
      <c r="D175" s="17"/>
      <c r="E175" s="17"/>
      <c r="F175" s="17">
        <v>1.1362650395215499E-3</v>
      </c>
      <c r="G175" s="17"/>
      <c r="H175" s="17"/>
      <c r="I175" s="17">
        <v>1.6521928147605501E-3</v>
      </c>
      <c r="J175" s="17"/>
      <c r="K175" s="17"/>
      <c r="L175" s="17">
        <v>1.9701367218403799E-3</v>
      </c>
      <c r="M175" s="17"/>
      <c r="N175" s="17"/>
      <c r="O175" s="17">
        <v>3.1135290188899099E-4</v>
      </c>
      <c r="P175" s="17"/>
      <c r="Q175" s="17"/>
      <c r="R175" s="17">
        <v>2.0397799274219398E-3</v>
      </c>
      <c r="S175" s="17"/>
      <c r="T175" s="17"/>
      <c r="U175">
        <v>2.0112971359644298E-3</v>
      </c>
    </row>
    <row r="176" spans="1:21" x14ac:dyDescent="0.15">
      <c r="A176" s="5" t="s">
        <v>96</v>
      </c>
      <c r="B176" t="s">
        <v>3600</v>
      </c>
      <c r="C176" s="17">
        <v>8.0281387489034299E-4</v>
      </c>
      <c r="D176" s="17"/>
      <c r="E176" s="17"/>
      <c r="F176" s="17">
        <v>1.3711770580516901E-3</v>
      </c>
      <c r="G176" s="17"/>
      <c r="H176" s="17"/>
      <c r="I176" s="17">
        <v>1.99376800683002E-3</v>
      </c>
      <c r="J176" s="17"/>
      <c r="K176" s="17"/>
      <c r="L176" s="17">
        <v>2.37744380074404E-3</v>
      </c>
      <c r="M176" s="17"/>
      <c r="N176" s="17"/>
      <c r="O176" s="17">
        <v>9.4826028242046704E-4</v>
      </c>
      <c r="P176" s="17"/>
      <c r="Q176" s="17"/>
      <c r="R176" s="17">
        <v>2.4614850784575801E-3</v>
      </c>
      <c r="S176" s="17"/>
      <c r="T176" s="17"/>
      <c r="U176">
        <v>2.4271137400484902E-3</v>
      </c>
    </row>
    <row r="177" spans="1:21" x14ac:dyDescent="0.15">
      <c r="A177" s="5" t="s">
        <v>96</v>
      </c>
      <c r="B177" t="s">
        <v>3600</v>
      </c>
      <c r="C177" s="17">
        <v>3.0988463666533597E-4</v>
      </c>
      <c r="D177" s="17"/>
      <c r="E177" s="17"/>
      <c r="F177" s="17">
        <v>5.2927174993859104E-4</v>
      </c>
      <c r="G177" s="17"/>
      <c r="H177" s="17"/>
      <c r="I177" s="17">
        <v>7.6959067813306501E-4</v>
      </c>
      <c r="J177" s="17"/>
      <c r="K177" s="17"/>
      <c r="L177" s="17">
        <v>9.1768880861264901E-4</v>
      </c>
      <c r="M177" s="17"/>
      <c r="N177" s="17"/>
      <c r="O177" s="17">
        <v>1.0892597688588E-3</v>
      </c>
      <c r="P177" s="17"/>
      <c r="Q177" s="17"/>
      <c r="R177" s="17">
        <v>9.5012858279157298E-4</v>
      </c>
      <c r="S177" s="17"/>
      <c r="T177" s="17"/>
      <c r="U177">
        <v>9.3686131120131199E-4</v>
      </c>
    </row>
    <row r="178" spans="1:21" x14ac:dyDescent="0.15">
      <c r="A178" s="5" t="s">
        <v>96</v>
      </c>
      <c r="B178" t="s">
        <v>3600</v>
      </c>
      <c r="C178" s="17">
        <v>4.69605636270878E-4</v>
      </c>
      <c r="D178" s="17"/>
      <c r="E178" s="17"/>
      <c r="F178" s="17">
        <v>8.0206943966227402E-4</v>
      </c>
      <c r="G178" s="17"/>
      <c r="H178" s="17"/>
      <c r="I178" s="17">
        <v>1.1662537515956799E-3</v>
      </c>
      <c r="J178" s="17"/>
      <c r="K178" s="17"/>
      <c r="L178" s="17">
        <v>1.3906847448285E-3</v>
      </c>
      <c r="M178" s="17"/>
      <c r="N178" s="17"/>
      <c r="O178" s="17">
        <v>1.11767708370406E-3</v>
      </c>
      <c r="P178" s="17"/>
      <c r="Q178" s="17"/>
      <c r="R178" s="17">
        <v>1.43984465465078E-3</v>
      </c>
      <c r="S178" s="17"/>
      <c r="T178" s="17"/>
      <c r="U178">
        <v>1.4197391547984199E-3</v>
      </c>
    </row>
    <row r="179" spans="1:21" x14ac:dyDescent="0.15">
      <c r="A179" s="5" t="s">
        <v>96</v>
      </c>
      <c r="B179" t="s">
        <v>3600</v>
      </c>
      <c r="C179" s="17">
        <v>1.0400376531218901E-3</v>
      </c>
      <c r="D179" s="17"/>
      <c r="E179" s="17"/>
      <c r="F179" s="17">
        <v>1.77634669015337E-3</v>
      </c>
      <c r="G179" s="17"/>
      <c r="H179" s="17"/>
      <c r="I179" s="17">
        <v>2.5829072759563899E-3</v>
      </c>
      <c r="J179" s="17"/>
      <c r="K179" s="17"/>
      <c r="L179" s="17">
        <v>3.0799555766182702E-3</v>
      </c>
      <c r="M179" s="17"/>
      <c r="N179" s="17"/>
      <c r="O179" s="17">
        <v>1.11767708370406E-3</v>
      </c>
      <c r="P179" s="17"/>
      <c r="Q179" s="17"/>
      <c r="R179" s="17">
        <v>3.18883024355211E-3</v>
      </c>
      <c r="S179" s="17"/>
      <c r="T179" s="17"/>
      <c r="U179">
        <v>3.1443025052409999E-3</v>
      </c>
    </row>
    <row r="180" spans="1:21" x14ac:dyDescent="0.15">
      <c r="A180" s="5" t="s">
        <v>96</v>
      </c>
      <c r="B180" t="s">
        <v>3600</v>
      </c>
      <c r="C180" s="17">
        <v>5.7396244433107401E-4</v>
      </c>
      <c r="D180" s="17"/>
      <c r="E180" s="17"/>
      <c r="F180" s="17">
        <v>9.8030709292055702E-4</v>
      </c>
      <c r="G180" s="17"/>
      <c r="H180" s="17"/>
      <c r="I180" s="17">
        <v>1.4254212519502799E-3</v>
      </c>
      <c r="J180" s="17"/>
      <c r="K180" s="17"/>
      <c r="L180" s="17">
        <v>1.69972579923484E-3</v>
      </c>
      <c r="M180" s="17"/>
      <c r="N180" s="17"/>
      <c r="O180" s="17">
        <v>1.31726227722265E-3</v>
      </c>
      <c r="P180" s="17"/>
      <c r="Q180" s="17"/>
      <c r="R180" s="17">
        <v>1.7598101334620701E-3</v>
      </c>
      <c r="S180" s="17"/>
      <c r="T180" s="17"/>
      <c r="U180">
        <v>1.7352367447536301E-3</v>
      </c>
    </row>
    <row r="181" spans="1:21" x14ac:dyDescent="0.15">
      <c r="A181" s="5" t="s">
        <v>96</v>
      </c>
      <c r="B181" t="s">
        <v>3600</v>
      </c>
      <c r="C181" s="17">
        <v>3.5596225420871103E-4</v>
      </c>
      <c r="D181" s="17"/>
      <c r="E181" s="17"/>
      <c r="F181" s="17">
        <v>6.0797065393272795E-4</v>
      </c>
      <c r="G181" s="17"/>
      <c r="H181" s="17"/>
      <c r="I181" s="17">
        <v>8.8402327896657602E-4</v>
      </c>
      <c r="J181" s="17"/>
      <c r="K181" s="17"/>
      <c r="L181" s="17">
        <v>1.0541425366906701E-3</v>
      </c>
      <c r="M181" s="17"/>
      <c r="N181" s="17"/>
      <c r="O181" s="17">
        <v>1.4370133933338E-3</v>
      </c>
      <c r="P181" s="17"/>
      <c r="Q181" s="17"/>
      <c r="R181" s="17">
        <v>1.09140587206286E-3</v>
      </c>
      <c r="S181" s="17"/>
      <c r="T181" s="17"/>
      <c r="U181">
        <v>1.0761658525727401E-3</v>
      </c>
    </row>
    <row r="182" spans="1:21" x14ac:dyDescent="0.15">
      <c r="A182" s="5" t="s">
        <v>96</v>
      </c>
      <c r="B182" t="s">
        <v>3600</v>
      </c>
      <c r="C182" s="17">
        <v>1.0174788785869E-4</v>
      </c>
      <c r="D182" s="17"/>
      <c r="E182" s="17"/>
      <c r="F182" s="17">
        <v>1.73781711926826E-4</v>
      </c>
      <c r="G182" s="17"/>
      <c r="H182" s="17"/>
      <c r="I182" s="17">
        <v>2.5268831284573298E-4</v>
      </c>
      <c r="J182" s="17"/>
      <c r="K182" s="17"/>
      <c r="L182" s="17">
        <v>3.01315028046177E-4</v>
      </c>
      <c r="M182" s="17"/>
      <c r="N182" s="17"/>
      <c r="O182" s="17">
        <v>1.75634970296353E-3</v>
      </c>
      <c r="P182" s="17"/>
      <c r="Q182" s="17"/>
      <c r="R182" s="17">
        <v>3.1196634184100402E-4</v>
      </c>
      <c r="S182" s="17"/>
      <c r="T182" s="17"/>
      <c r="U182">
        <v>3.0761015020632599E-4</v>
      </c>
    </row>
    <row r="183" spans="1:21" x14ac:dyDescent="0.15">
      <c r="A183" s="5" t="s">
        <v>96</v>
      </c>
      <c r="B183" t="s">
        <v>3600</v>
      </c>
      <c r="C183" s="17">
        <v>4.3047183324830502E-4</v>
      </c>
      <c r="D183" s="17"/>
      <c r="E183" s="17"/>
      <c r="F183" s="17">
        <v>7.3523031969041804E-4</v>
      </c>
      <c r="G183" s="17"/>
      <c r="H183" s="17"/>
      <c r="I183" s="17">
        <v>1.06906593896271E-3</v>
      </c>
      <c r="J183" s="17"/>
      <c r="K183" s="17"/>
      <c r="L183" s="17">
        <v>1.2747943494261301E-3</v>
      </c>
      <c r="M183" s="17"/>
      <c r="N183" s="17"/>
      <c r="O183" s="17">
        <v>1.9559348964821098E-3</v>
      </c>
      <c r="P183" s="17"/>
      <c r="Q183" s="17"/>
      <c r="R183" s="17">
        <v>1.3198576000965499E-3</v>
      </c>
      <c r="S183" s="17"/>
      <c r="T183" s="17"/>
      <c r="U183">
        <v>1.3014275585652201E-3</v>
      </c>
    </row>
    <row r="184" spans="1:21" x14ac:dyDescent="0.15">
      <c r="A184" s="5" t="s">
        <v>96</v>
      </c>
      <c r="B184" t="s">
        <v>3600</v>
      </c>
      <c r="C184" s="17">
        <v>3.7046666861369299E-3</v>
      </c>
      <c r="D184" s="17"/>
      <c r="E184" s="17"/>
      <c r="F184" s="17">
        <v>6.3274366906690502E-3</v>
      </c>
      <c r="G184" s="17"/>
      <c r="H184" s="17"/>
      <c r="I184" s="17">
        <v>9.2004462625882091E-3</v>
      </c>
      <c r="J184" s="17"/>
      <c r="K184" s="17"/>
      <c r="L184" s="17">
        <v>1.0970957431424899E-2</v>
      </c>
      <c r="M184" s="17"/>
      <c r="N184" s="17"/>
      <c r="O184" s="17">
        <v>2.03576897388955E-3</v>
      </c>
      <c r="P184" s="17"/>
      <c r="Q184" s="17"/>
      <c r="R184" s="17">
        <v>1.13587744978006E-2</v>
      </c>
      <c r="S184" s="17"/>
      <c r="T184" s="17"/>
      <c r="U184">
        <v>1.12001644434098E-2</v>
      </c>
    </row>
    <row r="185" spans="1:21" x14ac:dyDescent="0.15">
      <c r="A185" s="5" t="s">
        <v>96</v>
      </c>
      <c r="B185" t="s">
        <v>3600</v>
      </c>
      <c r="C185" s="17">
        <v>3.6524882821068302E-4</v>
      </c>
      <c r="D185" s="17"/>
      <c r="E185" s="17"/>
      <c r="F185" s="17">
        <v>6.2383178640399101E-4</v>
      </c>
      <c r="G185" s="17"/>
      <c r="H185" s="17"/>
      <c r="I185" s="17">
        <v>9.0708625124109096E-4</v>
      </c>
      <c r="J185" s="17"/>
      <c r="K185" s="17"/>
      <c r="L185" s="17">
        <v>1.0816436904221699E-3</v>
      </c>
      <c r="M185" s="17"/>
      <c r="N185" s="17"/>
      <c r="O185" s="17">
        <v>2.4566448983294898E-3</v>
      </c>
      <c r="P185" s="17"/>
      <c r="Q185" s="17"/>
      <c r="R185" s="17">
        <v>1.1198791758394999E-3</v>
      </c>
      <c r="S185" s="17"/>
      <c r="T185" s="17"/>
      <c r="U185">
        <v>1.1042415648432201E-3</v>
      </c>
    </row>
    <row r="186" spans="1:21" x14ac:dyDescent="0.15">
      <c r="A186" s="5" t="s">
        <v>96</v>
      </c>
      <c r="B186" t="s">
        <v>3600</v>
      </c>
      <c r="C186" s="17">
        <v>1.22619249470729E-3</v>
      </c>
      <c r="D186" s="17"/>
      <c r="E186" s="17"/>
      <c r="F186" s="17">
        <v>2.0942924257848299E-3</v>
      </c>
      <c r="G186" s="17"/>
      <c r="H186" s="17"/>
      <c r="I186" s="17">
        <v>3.0452181291665201E-3</v>
      </c>
      <c r="J186" s="17"/>
      <c r="K186" s="17"/>
      <c r="L186" s="17">
        <v>3.6312323892744398E-3</v>
      </c>
      <c r="M186" s="17"/>
      <c r="N186" s="17"/>
      <c r="O186" s="17">
        <v>3.1825598367510402E-3</v>
      </c>
      <c r="P186" s="17"/>
      <c r="Q186" s="17"/>
      <c r="R186" s="17">
        <v>3.7595943760326102E-3</v>
      </c>
      <c r="S186" s="17"/>
      <c r="T186" s="17"/>
      <c r="U186">
        <v>3.7070966819736698E-3</v>
      </c>
    </row>
    <row r="187" spans="1:21" x14ac:dyDescent="0.15">
      <c r="A187" s="5" t="s">
        <v>96</v>
      </c>
      <c r="B187" t="s">
        <v>3600</v>
      </c>
      <c r="C187" s="17">
        <v>3.6524882821068302E-4</v>
      </c>
      <c r="D187" s="17"/>
      <c r="E187" s="17"/>
      <c r="F187" s="17">
        <v>6.2383178640399101E-4</v>
      </c>
      <c r="G187" s="17"/>
      <c r="H187" s="17"/>
      <c r="I187" s="17">
        <v>9.0708625124109096E-4</v>
      </c>
      <c r="J187" s="17"/>
      <c r="K187" s="17"/>
      <c r="L187" s="17">
        <v>1.0816436904221699E-3</v>
      </c>
      <c r="M187" s="17"/>
      <c r="N187" s="17"/>
      <c r="O187" s="17">
        <v>3.7522016381493699E-3</v>
      </c>
      <c r="P187" s="17"/>
      <c r="Q187" s="17"/>
      <c r="R187" s="17">
        <v>1.1198791758394999E-3</v>
      </c>
      <c r="S187" s="17"/>
      <c r="T187" s="17"/>
      <c r="U187">
        <v>1.1042415648432201E-3</v>
      </c>
    </row>
    <row r="188" spans="1:21" x14ac:dyDescent="0.15">
      <c r="A188" s="5" t="s">
        <v>96</v>
      </c>
      <c r="B188" t="s">
        <v>3600</v>
      </c>
      <c r="C188" s="17">
        <v>1.6436197269480699E-3</v>
      </c>
      <c r="D188" s="17"/>
      <c r="E188" s="17"/>
      <c r="F188" s="17">
        <v>2.8072430388179498E-3</v>
      </c>
      <c r="G188" s="17"/>
      <c r="H188" s="17"/>
      <c r="I188" s="17">
        <v>4.0818881305849002E-3</v>
      </c>
      <c r="J188" s="17"/>
      <c r="K188" s="17"/>
      <c r="L188" s="17">
        <v>4.8673966068997704E-3</v>
      </c>
      <c r="M188" s="17"/>
      <c r="N188" s="17"/>
      <c r="O188" s="17">
        <v>5.0295468766682998E-3</v>
      </c>
      <c r="P188" s="17"/>
      <c r="Q188" s="17"/>
      <c r="R188" s="17">
        <v>5.0394562912777401E-3</v>
      </c>
      <c r="S188" s="17"/>
      <c r="T188" s="17"/>
      <c r="U188">
        <v>4.9690870417944902E-3</v>
      </c>
    </row>
    <row r="189" spans="1:21" x14ac:dyDescent="0.15">
      <c r="A189" s="5" t="s">
        <v>96</v>
      </c>
      <c r="B189" t="s">
        <v>3600</v>
      </c>
      <c r="C189" s="17">
        <v>6.3918544936869602E-4</v>
      </c>
      <c r="D189" s="17"/>
      <c r="E189" s="17"/>
      <c r="F189" s="17">
        <v>1.09170562620698E-3</v>
      </c>
      <c r="G189" s="17"/>
      <c r="H189" s="17"/>
      <c r="I189" s="17">
        <v>1.5874009396719001E-3</v>
      </c>
      <c r="J189" s="17"/>
      <c r="K189" s="17"/>
      <c r="L189" s="17">
        <v>1.8928764582387999E-3</v>
      </c>
      <c r="M189" s="17"/>
      <c r="N189" s="17"/>
      <c r="O189" s="17">
        <v>1.13364389918555E-2</v>
      </c>
      <c r="P189" s="17"/>
      <c r="Q189" s="17"/>
      <c r="R189" s="17">
        <v>1.9597885577191201E-3</v>
      </c>
      <c r="S189" s="17"/>
      <c r="T189" s="17"/>
      <c r="U189">
        <v>1.9324227384756301E-3</v>
      </c>
    </row>
    <row r="190" spans="1:21" x14ac:dyDescent="0.15">
      <c r="A190" s="5" t="s">
        <v>96</v>
      </c>
      <c r="B190" t="s">
        <v>3656</v>
      </c>
      <c r="C190" s="17">
        <v>3.0554271194628002E-3</v>
      </c>
      <c r="D190" s="17"/>
      <c r="E190" s="17"/>
      <c r="F190" s="17">
        <v>5.2185589957929098E-3</v>
      </c>
      <c r="G190" s="17"/>
      <c r="H190" s="17"/>
      <c r="I190" s="17">
        <v>7.58807617620939E-3</v>
      </c>
      <c r="J190" s="17"/>
      <c r="K190" s="17"/>
      <c r="L190" s="17">
        <v>9.0483068255195406E-3</v>
      </c>
      <c r="M190" s="17"/>
      <c r="N190" s="17"/>
      <c r="O190" s="17">
        <v>2.68556306124971E-4</v>
      </c>
      <c r="P190" s="17"/>
      <c r="Q190" s="17"/>
      <c r="R190" s="17">
        <v>9.3681592933350898E-3</v>
      </c>
      <c r="S190" s="17"/>
      <c r="T190" s="17"/>
      <c r="U190">
        <v>9.2373455109727807E-3</v>
      </c>
    </row>
    <row r="191" spans="1:21" x14ac:dyDescent="0.15">
      <c r="A191" s="5" t="s">
        <v>96</v>
      </c>
      <c r="B191" t="s">
        <v>3656</v>
      </c>
      <c r="C191" s="17">
        <v>1.0726499461943799E-4</v>
      </c>
      <c r="D191" s="17"/>
      <c r="E191" s="17"/>
      <c r="F191" s="17">
        <v>1.83204730703368E-4</v>
      </c>
      <c r="G191" s="17"/>
      <c r="H191" s="17"/>
      <c r="I191" s="17">
        <v>2.66389908313733E-4</v>
      </c>
      <c r="J191" s="17"/>
      <c r="K191" s="17"/>
      <c r="L191" s="17">
        <v>3.1765332472568502E-4</v>
      </c>
      <c r="M191" s="17"/>
      <c r="N191" s="17"/>
      <c r="O191" s="17">
        <v>3.0834242555089099E-4</v>
      </c>
      <c r="P191" s="17"/>
      <c r="Q191" s="17"/>
      <c r="R191" s="17">
        <v>3.2888218795750802E-4</v>
      </c>
      <c r="S191" s="17"/>
      <c r="T191" s="17"/>
      <c r="U191">
        <v>3.2428978921500098E-4</v>
      </c>
    </row>
    <row r="192" spans="1:21" x14ac:dyDescent="0.15">
      <c r="A192" s="5" t="s">
        <v>96</v>
      </c>
      <c r="B192" t="s">
        <v>3656</v>
      </c>
      <c r="C192" s="17">
        <v>1.00764085854624E-4</v>
      </c>
      <c r="D192" s="17"/>
      <c r="E192" s="17"/>
      <c r="F192" s="17">
        <v>1.7210141369104301E-4</v>
      </c>
      <c r="G192" s="17"/>
      <c r="H192" s="17"/>
      <c r="I192" s="17">
        <v>2.5024506538562802E-4</v>
      </c>
      <c r="J192" s="17"/>
      <c r="K192" s="17"/>
      <c r="L192" s="17">
        <v>2.9840160807564399E-4</v>
      </c>
      <c r="M192" s="17"/>
      <c r="N192" s="17"/>
      <c r="O192" s="17">
        <v>3.1828895540737101E-4</v>
      </c>
      <c r="P192" s="17"/>
      <c r="Q192" s="17"/>
      <c r="R192" s="17">
        <v>3.08949934141902E-4</v>
      </c>
      <c r="S192" s="17"/>
      <c r="T192" s="17"/>
      <c r="U192">
        <v>3.0463586259591E-4</v>
      </c>
    </row>
    <row r="193" spans="1:21" x14ac:dyDescent="0.15">
      <c r="A193" s="5" t="s">
        <v>96</v>
      </c>
      <c r="B193" t="s">
        <v>3656</v>
      </c>
      <c r="C193" s="17">
        <v>9.2312904460365892E-3</v>
      </c>
      <c r="D193" s="17"/>
      <c r="E193" s="17"/>
      <c r="F193" s="17">
        <v>1.5766710157502001E-2</v>
      </c>
      <c r="G193" s="17"/>
      <c r="H193" s="17"/>
      <c r="I193" s="17">
        <v>2.2925676957909199E-2</v>
      </c>
      <c r="J193" s="17"/>
      <c r="K193" s="17"/>
      <c r="L193" s="17">
        <v>2.7337437643059102E-2</v>
      </c>
      <c r="M193" s="17"/>
      <c r="N193" s="17"/>
      <c r="O193" s="17">
        <v>3.2823548526385098E-4</v>
      </c>
      <c r="P193" s="17"/>
      <c r="Q193" s="17"/>
      <c r="R193" s="17">
        <v>2.8303800418161398E-2</v>
      </c>
      <c r="S193" s="17"/>
      <c r="T193" s="17"/>
      <c r="U193">
        <v>2.7908575799109301E-2</v>
      </c>
    </row>
    <row r="194" spans="1:21" x14ac:dyDescent="0.15">
      <c r="A194" s="5" t="s">
        <v>96</v>
      </c>
      <c r="B194" t="s">
        <v>3656</v>
      </c>
      <c r="C194" s="17">
        <v>4.0955725218331301E-3</v>
      </c>
      <c r="D194" s="17"/>
      <c r="E194" s="17"/>
      <c r="F194" s="17">
        <v>6.9950897177649797E-3</v>
      </c>
      <c r="G194" s="17"/>
      <c r="H194" s="17"/>
      <c r="I194" s="17">
        <v>1.01712510447062E-2</v>
      </c>
      <c r="J194" s="17"/>
      <c r="K194" s="17"/>
      <c r="L194" s="17">
        <v>1.21285814895262E-2</v>
      </c>
      <c r="M194" s="17"/>
      <c r="N194" s="17"/>
      <c r="O194" s="17">
        <v>4.5754037339809802E-4</v>
      </c>
      <c r="P194" s="17"/>
      <c r="Q194" s="17"/>
      <c r="R194" s="17">
        <v>1.25573199038321E-2</v>
      </c>
      <c r="S194" s="17"/>
      <c r="T194" s="17"/>
      <c r="U194">
        <v>1.23819737700273E-2</v>
      </c>
    </row>
    <row r="195" spans="1:21" x14ac:dyDescent="0.15">
      <c r="A195" s="5" t="s">
        <v>96</v>
      </c>
      <c r="B195" t="s">
        <v>3656</v>
      </c>
      <c r="C195" s="17">
        <v>1.04014540237031E-4</v>
      </c>
      <c r="D195" s="17"/>
      <c r="E195" s="17"/>
      <c r="F195" s="17">
        <v>1.77653072197205E-4</v>
      </c>
      <c r="G195" s="17"/>
      <c r="H195" s="17"/>
      <c r="I195" s="17">
        <v>2.58317486849681E-4</v>
      </c>
      <c r="J195" s="17"/>
      <c r="K195" s="17"/>
      <c r="L195" s="17">
        <v>3.0802746640066499E-4</v>
      </c>
      <c r="M195" s="17"/>
      <c r="N195" s="17"/>
      <c r="O195" s="17">
        <v>4.6748690325457799E-4</v>
      </c>
      <c r="P195" s="17"/>
      <c r="Q195" s="17"/>
      <c r="R195" s="17">
        <v>3.1891606104970499E-4</v>
      </c>
      <c r="S195" s="17"/>
      <c r="T195" s="17"/>
      <c r="U195">
        <v>3.14462825905456E-4</v>
      </c>
    </row>
    <row r="196" spans="1:21" x14ac:dyDescent="0.15">
      <c r="A196" s="5" t="s">
        <v>96</v>
      </c>
      <c r="B196" t="s">
        <v>3656</v>
      </c>
      <c r="C196" s="17">
        <v>9.1012722707402998E-4</v>
      </c>
      <c r="D196" s="17"/>
      <c r="E196" s="17"/>
      <c r="F196" s="17">
        <v>1.55446438172555E-3</v>
      </c>
      <c r="G196" s="17"/>
      <c r="H196" s="17"/>
      <c r="I196" s="17">
        <v>2.2602780099347099E-3</v>
      </c>
      <c r="J196" s="17"/>
      <c r="K196" s="17"/>
      <c r="L196" s="17">
        <v>2.6952403310058202E-3</v>
      </c>
      <c r="M196" s="17"/>
      <c r="N196" s="17"/>
      <c r="O196" s="17">
        <v>4.6748690325457799E-4</v>
      </c>
      <c r="P196" s="17"/>
      <c r="Q196" s="17"/>
      <c r="R196" s="17">
        <v>2.7905155341849202E-3</v>
      </c>
      <c r="S196" s="17"/>
      <c r="T196" s="17"/>
      <c r="U196">
        <v>2.75154972667275E-3</v>
      </c>
    </row>
    <row r="197" spans="1:21" x14ac:dyDescent="0.15">
      <c r="A197" s="5" t="s">
        <v>96</v>
      </c>
      <c r="B197" t="s">
        <v>3656</v>
      </c>
      <c r="C197" s="17">
        <v>1.5277135597313999E-4</v>
      </c>
      <c r="D197" s="17"/>
      <c r="E197" s="17"/>
      <c r="F197" s="17">
        <v>2.6092794978964601E-4</v>
      </c>
      <c r="G197" s="17"/>
      <c r="H197" s="17"/>
      <c r="I197" s="17">
        <v>3.7940380881046999E-4</v>
      </c>
      <c r="J197" s="17"/>
      <c r="K197" s="17"/>
      <c r="L197" s="17">
        <v>4.5241534127597797E-4</v>
      </c>
      <c r="M197" s="17"/>
      <c r="N197" s="17"/>
      <c r="O197" s="17">
        <v>4.8737996296753798E-4</v>
      </c>
      <c r="P197" s="17"/>
      <c r="Q197" s="17"/>
      <c r="R197" s="17">
        <v>4.6840796466675598E-4</v>
      </c>
      <c r="S197" s="17"/>
      <c r="T197" s="17"/>
      <c r="U197">
        <v>4.6186727554863998E-4</v>
      </c>
    </row>
    <row r="198" spans="1:21" x14ac:dyDescent="0.15">
      <c r="A198" s="5" t="s">
        <v>96</v>
      </c>
      <c r="B198" t="s">
        <v>3656</v>
      </c>
      <c r="C198" s="17">
        <v>1.07264994619438E-3</v>
      </c>
      <c r="D198" s="17"/>
      <c r="E198" s="17"/>
      <c r="F198" s="17">
        <v>1.83204730703368E-3</v>
      </c>
      <c r="G198" s="17"/>
      <c r="H198" s="17"/>
      <c r="I198" s="17">
        <v>2.6638990831373299E-3</v>
      </c>
      <c r="J198" s="17"/>
      <c r="K198" s="17"/>
      <c r="L198" s="17">
        <v>3.17653324725685E-3</v>
      </c>
      <c r="M198" s="17"/>
      <c r="N198" s="17"/>
      <c r="O198" s="17">
        <v>7.7582932880546995E-4</v>
      </c>
      <c r="P198" s="17"/>
      <c r="Q198" s="17"/>
      <c r="R198" s="17">
        <v>3.2888218795750798E-3</v>
      </c>
      <c r="S198" s="17"/>
      <c r="T198" s="17"/>
      <c r="U198">
        <v>3.2428978921500099E-3</v>
      </c>
    </row>
    <row r="199" spans="1:21" x14ac:dyDescent="0.15">
      <c r="A199" s="5" t="s">
        <v>96</v>
      </c>
      <c r="B199" t="s">
        <v>3656</v>
      </c>
      <c r="C199" s="17">
        <v>1.96269312945235E-3</v>
      </c>
      <c r="D199" s="17"/>
      <c r="E199" s="17"/>
      <c r="F199" s="17">
        <v>3.3522088684233699E-3</v>
      </c>
      <c r="G199" s="17"/>
      <c r="H199" s="17"/>
      <c r="I199" s="17">
        <v>4.87429887688686E-3</v>
      </c>
      <c r="J199" s="17"/>
      <c r="K199" s="17"/>
      <c r="L199" s="17">
        <v>5.8122969212717904E-3</v>
      </c>
      <c r="M199" s="17"/>
      <c r="N199" s="17"/>
      <c r="O199" s="17">
        <v>2.3107227962831001E-3</v>
      </c>
      <c r="P199" s="17"/>
      <c r="Q199" s="17"/>
      <c r="R199" s="17">
        <v>6.0177582909837699E-3</v>
      </c>
      <c r="S199" s="17"/>
      <c r="T199" s="17"/>
      <c r="U199">
        <v>5.9337283659219899E-3</v>
      </c>
    </row>
    <row r="200" spans="1:21" x14ac:dyDescent="0.15">
      <c r="A200" s="5" t="s">
        <v>96</v>
      </c>
      <c r="B200" t="s">
        <v>3656</v>
      </c>
      <c r="C200" s="17">
        <v>1.5277135597313999E-4</v>
      </c>
      <c r="D200" s="17"/>
      <c r="E200" s="17"/>
      <c r="F200" s="17">
        <v>2.6092794978964601E-4</v>
      </c>
      <c r="G200" s="17"/>
      <c r="H200" s="17"/>
      <c r="I200" s="17">
        <v>3.7940380881046999E-4</v>
      </c>
      <c r="J200" s="17"/>
      <c r="K200" s="17"/>
      <c r="L200" s="17">
        <v>4.5241534127597797E-4</v>
      </c>
      <c r="M200" s="17"/>
      <c r="N200" s="17"/>
      <c r="O200" s="17">
        <v>2.6512429847111302E-3</v>
      </c>
      <c r="P200" s="17"/>
      <c r="Q200" s="17"/>
      <c r="R200" s="17">
        <v>4.6840796466675598E-4</v>
      </c>
      <c r="S200" s="17"/>
      <c r="T200" s="17"/>
      <c r="U200">
        <v>4.6186727554863998E-4</v>
      </c>
    </row>
    <row r="201" spans="1:21" x14ac:dyDescent="0.15">
      <c r="A201" s="5" t="s">
        <v>96</v>
      </c>
      <c r="B201" t="s">
        <v>3656</v>
      </c>
      <c r="C201" s="17">
        <v>1.4301999282591801E-3</v>
      </c>
      <c r="D201" s="17"/>
      <c r="E201" s="17"/>
      <c r="F201" s="17">
        <v>2.44272974271157E-3</v>
      </c>
      <c r="G201" s="17"/>
      <c r="H201" s="17"/>
      <c r="I201" s="17">
        <v>3.55186544418311E-3</v>
      </c>
      <c r="J201" s="17"/>
      <c r="K201" s="17"/>
      <c r="L201" s="17">
        <v>4.23537766300914E-3</v>
      </c>
      <c r="M201" s="17"/>
      <c r="N201" s="17"/>
      <c r="O201" s="17">
        <v>2.7850283598145099E-3</v>
      </c>
      <c r="P201" s="17"/>
      <c r="Q201" s="17"/>
      <c r="R201" s="17">
        <v>4.3850958394334397E-3</v>
      </c>
      <c r="S201" s="17"/>
      <c r="T201" s="17"/>
      <c r="U201">
        <v>4.3238638562000196E-3</v>
      </c>
    </row>
    <row r="202" spans="1:21" x14ac:dyDescent="0.15">
      <c r="A202" s="5" t="s">
        <v>96</v>
      </c>
      <c r="B202" t="s">
        <v>3656</v>
      </c>
      <c r="C202" s="17">
        <v>1.17016357766661E-3</v>
      </c>
      <c r="D202" s="17"/>
      <c r="E202" s="17"/>
      <c r="F202" s="17">
        <v>1.9985970622185701E-3</v>
      </c>
      <c r="G202" s="17"/>
      <c r="H202" s="17"/>
      <c r="I202" s="17">
        <v>2.9060717270589201E-3</v>
      </c>
      <c r="J202" s="17"/>
      <c r="K202" s="17"/>
      <c r="L202" s="17">
        <v>3.4653089970074899E-3</v>
      </c>
      <c r="M202" s="17"/>
      <c r="N202" s="17"/>
      <c r="O202" s="17">
        <v>2.7850283598145099E-3</v>
      </c>
      <c r="P202" s="17"/>
      <c r="Q202" s="17"/>
      <c r="R202" s="17">
        <v>3.5878056868091901E-3</v>
      </c>
      <c r="S202" s="17"/>
      <c r="T202" s="17"/>
      <c r="U202">
        <v>3.5377067914363898E-3</v>
      </c>
    </row>
    <row r="203" spans="1:21" x14ac:dyDescent="0.15">
      <c r="A203" s="5" t="s">
        <v>96</v>
      </c>
      <c r="B203" t="s">
        <v>3656</v>
      </c>
      <c r="C203" s="17">
        <v>7.5512758198913101E-4</v>
      </c>
      <c r="D203" s="17"/>
      <c r="E203" s="17"/>
      <c r="F203" s="17">
        <v>1.28973059473713E-3</v>
      </c>
      <c r="G203" s="17"/>
      <c r="H203" s="17"/>
      <c r="I203" s="17">
        <v>1.8753403013251201E-3</v>
      </c>
      <c r="J203" s="17"/>
      <c r="K203" s="17"/>
      <c r="L203" s="17">
        <v>2.23622615991299E-3</v>
      </c>
      <c r="M203" s="17"/>
      <c r="N203" s="17"/>
      <c r="O203" s="17">
        <v>3.2823548526385101E-3</v>
      </c>
      <c r="P203" s="17"/>
      <c r="Q203" s="17"/>
      <c r="R203" s="17">
        <v>2.3152754748438798E-3</v>
      </c>
      <c r="S203" s="17"/>
      <c r="T203" s="17"/>
      <c r="U203">
        <v>2.2829457574905002E-3</v>
      </c>
    </row>
    <row r="204" spans="1:21" x14ac:dyDescent="0.15">
      <c r="A204" s="5" t="s">
        <v>96</v>
      </c>
      <c r="B204" t="s">
        <v>3656</v>
      </c>
      <c r="C204" s="17">
        <v>1.49520901590733E-4</v>
      </c>
      <c r="D204" s="17"/>
      <c r="E204" s="17"/>
      <c r="F204" s="17">
        <v>2.5537629128348402E-4</v>
      </c>
      <c r="G204" s="17"/>
      <c r="H204" s="17"/>
      <c r="I204" s="17">
        <v>3.7133138734641799E-4</v>
      </c>
      <c r="J204" s="17"/>
      <c r="K204" s="17"/>
      <c r="L204" s="17">
        <v>4.4278948295095702E-4</v>
      </c>
      <c r="M204" s="17"/>
      <c r="N204" s="17"/>
      <c r="O204" s="17">
        <v>3.5807507483329401E-3</v>
      </c>
      <c r="P204" s="17"/>
      <c r="Q204" s="17"/>
      <c r="R204" s="17">
        <v>4.58441837758953E-4</v>
      </c>
      <c r="S204" s="17"/>
      <c r="T204" s="17"/>
      <c r="U204">
        <v>4.52040312239095E-4</v>
      </c>
    </row>
    <row r="205" spans="1:21" x14ac:dyDescent="0.15">
      <c r="A205" s="5" t="s">
        <v>96</v>
      </c>
      <c r="B205" t="s">
        <v>3656</v>
      </c>
      <c r="C205" s="17">
        <v>8.7762268324995894E-5</v>
      </c>
      <c r="D205" s="17"/>
      <c r="E205" s="17"/>
      <c r="F205" s="17">
        <v>1.4989477966639199E-4</v>
      </c>
      <c r="G205" s="17"/>
      <c r="H205" s="17"/>
      <c r="I205" s="17">
        <v>2.17955379529419E-4</v>
      </c>
      <c r="J205" s="17"/>
      <c r="K205" s="17"/>
      <c r="L205" s="17">
        <v>2.5989817477556202E-4</v>
      </c>
      <c r="M205" s="17"/>
      <c r="N205" s="17"/>
      <c r="O205" s="17">
        <v>4.3764731368513502E-3</v>
      </c>
      <c r="P205" s="17"/>
      <c r="Q205" s="17"/>
      <c r="R205" s="17">
        <v>2.6908542651069001E-4</v>
      </c>
      <c r="S205" s="17"/>
      <c r="T205" s="17"/>
      <c r="U205">
        <v>2.6532800935772901E-4</v>
      </c>
    </row>
    <row r="206" spans="1:21" x14ac:dyDescent="0.15">
      <c r="A206" s="5" t="s">
        <v>96</v>
      </c>
      <c r="B206" t="s">
        <v>3656</v>
      </c>
      <c r="C206" s="17">
        <v>9.1012722707402998E-4</v>
      </c>
      <c r="D206" s="17"/>
      <c r="E206" s="17"/>
      <c r="F206" s="17">
        <v>1.55446438172555E-3</v>
      </c>
      <c r="G206" s="17"/>
      <c r="H206" s="17"/>
      <c r="I206" s="17">
        <v>2.2602780099347099E-3</v>
      </c>
      <c r="J206" s="17"/>
      <c r="K206" s="17"/>
      <c r="L206" s="17">
        <v>2.6952403310058202E-3</v>
      </c>
      <c r="M206" s="17"/>
      <c r="N206" s="17"/>
      <c r="O206" s="17">
        <v>4.8737996296753803E-3</v>
      </c>
      <c r="P206" s="17"/>
      <c r="Q206" s="17"/>
      <c r="R206" s="17">
        <v>2.7905155341849202E-3</v>
      </c>
      <c r="S206" s="17"/>
      <c r="T206" s="17"/>
      <c r="U206">
        <v>2.75154972667275E-3</v>
      </c>
    </row>
    <row r="207" spans="1:21" x14ac:dyDescent="0.15">
      <c r="A207" s="5" t="s">
        <v>96</v>
      </c>
      <c r="B207" t="s">
        <v>3656</v>
      </c>
      <c r="C207" s="17">
        <v>1.5927226473795499E-4</v>
      </c>
      <c r="D207" s="17"/>
      <c r="E207" s="17"/>
      <c r="F207" s="17">
        <v>2.7203126680197098E-4</v>
      </c>
      <c r="G207" s="17"/>
      <c r="H207" s="17"/>
      <c r="I207" s="17">
        <v>3.9554865173857502E-4</v>
      </c>
      <c r="J207" s="17"/>
      <c r="K207" s="17"/>
      <c r="L207" s="17">
        <v>4.7166705792601901E-4</v>
      </c>
      <c r="M207" s="17"/>
      <c r="N207" s="17"/>
      <c r="O207" s="17">
        <v>5.0727302268049898E-3</v>
      </c>
      <c r="P207" s="17"/>
      <c r="Q207" s="17"/>
      <c r="R207" s="17">
        <v>4.8834021848236195E-4</v>
      </c>
      <c r="S207" s="17"/>
      <c r="T207" s="17"/>
      <c r="U207">
        <v>4.8152120216772999E-4</v>
      </c>
    </row>
    <row r="208" spans="1:21" x14ac:dyDescent="0.15">
      <c r="A208" s="5" t="s">
        <v>96</v>
      </c>
      <c r="B208" t="s">
        <v>3656</v>
      </c>
      <c r="C208" s="17">
        <v>2.53429011207469E-3</v>
      </c>
      <c r="D208" s="17"/>
      <c r="E208" s="17"/>
      <c r="F208" s="17">
        <v>4.3284758383114897E-3</v>
      </c>
      <c r="G208" s="17"/>
      <c r="H208" s="17"/>
      <c r="I208" s="17">
        <v>6.2938455643537098E-3</v>
      </c>
      <c r="J208" s="17"/>
      <c r="K208" s="17"/>
      <c r="L208" s="17">
        <v>7.5050176693344803E-3</v>
      </c>
      <c r="M208" s="17"/>
      <c r="N208" s="17"/>
      <c r="O208" s="17">
        <v>6.00592517675912E-3</v>
      </c>
      <c r="P208" s="17"/>
      <c r="Q208" s="17"/>
      <c r="R208" s="17">
        <v>7.7703157487238397E-3</v>
      </c>
      <c r="S208" s="17"/>
      <c r="T208" s="17"/>
      <c r="U208">
        <v>7.66181370884466E-3</v>
      </c>
    </row>
    <row r="209" spans="1:21" x14ac:dyDescent="0.15">
      <c r="A209" s="5" t="s">
        <v>96</v>
      </c>
      <c r="B209" t="s">
        <v>3656</v>
      </c>
      <c r="C209" s="17">
        <v>1.5927226473795499E-3</v>
      </c>
      <c r="D209" s="17"/>
      <c r="E209" s="17"/>
      <c r="F209" s="17">
        <v>2.7203126680197102E-3</v>
      </c>
      <c r="G209" s="17"/>
      <c r="H209" s="17"/>
      <c r="I209" s="17">
        <v>3.9554865173857499E-3</v>
      </c>
      <c r="J209" s="17"/>
      <c r="K209" s="17"/>
      <c r="L209" s="17">
        <v>4.7166705792601902E-3</v>
      </c>
      <c r="M209" s="17"/>
      <c r="N209" s="17"/>
      <c r="O209" s="17">
        <v>7.7550364654143103E-3</v>
      </c>
      <c r="P209" s="17"/>
      <c r="Q209" s="17"/>
      <c r="R209" s="17">
        <v>4.8834021848236202E-3</v>
      </c>
      <c r="S209" s="17"/>
      <c r="T209" s="17"/>
      <c r="U209">
        <v>4.8152120216772999E-3</v>
      </c>
    </row>
    <row r="210" spans="1:21" x14ac:dyDescent="0.15">
      <c r="A210" s="5" t="s">
        <v>96</v>
      </c>
      <c r="B210" t="s">
        <v>3656</v>
      </c>
      <c r="C210" s="17">
        <v>1.6577317350276899E-3</v>
      </c>
      <c r="D210" s="17"/>
      <c r="E210" s="17"/>
      <c r="F210" s="17">
        <v>2.8313458381429599E-3</v>
      </c>
      <c r="G210" s="17"/>
      <c r="H210" s="17"/>
      <c r="I210" s="17">
        <v>4.1169349466667997E-3</v>
      </c>
      <c r="J210" s="17"/>
      <c r="K210" s="17"/>
      <c r="L210" s="17">
        <v>4.9091877457605997E-3</v>
      </c>
      <c r="M210" s="17"/>
      <c r="N210" s="17"/>
      <c r="O210" s="17">
        <v>9.3497380650915396E-3</v>
      </c>
      <c r="P210" s="17"/>
      <c r="Q210" s="17"/>
      <c r="R210" s="17">
        <v>5.0827247229796799E-3</v>
      </c>
      <c r="S210" s="17"/>
      <c r="T210" s="17"/>
      <c r="U210">
        <v>5.0117512878682102E-3</v>
      </c>
    </row>
    <row r="211" spans="1:21" x14ac:dyDescent="0.15">
      <c r="A211" s="5" t="s">
        <v>96</v>
      </c>
      <c r="B211" t="s">
        <v>3656</v>
      </c>
      <c r="C211" s="17">
        <v>2.5353544182776501E-4</v>
      </c>
      <c r="D211" s="17"/>
      <c r="E211" s="17"/>
      <c r="F211" s="17">
        <v>4.3302936348068899E-4</v>
      </c>
      <c r="G211" s="17"/>
      <c r="H211" s="17"/>
      <c r="I211" s="17">
        <v>6.2964887419609899E-4</v>
      </c>
      <c r="J211" s="17"/>
      <c r="K211" s="17"/>
      <c r="L211" s="17">
        <v>7.5081694935162202E-4</v>
      </c>
      <c r="M211" s="17"/>
      <c r="N211" s="17"/>
      <c r="O211" s="17">
        <v>1.2532627619165199E-2</v>
      </c>
      <c r="P211" s="17"/>
      <c r="Q211" s="17"/>
      <c r="R211" s="17">
        <v>7.7735789880865804E-4</v>
      </c>
      <c r="S211" s="17"/>
      <c r="T211" s="17"/>
      <c r="U211">
        <v>7.66503138144551E-4</v>
      </c>
    </row>
    <row r="212" spans="1:21" x14ac:dyDescent="0.15">
      <c r="A212" s="5" t="s">
        <v>96</v>
      </c>
      <c r="B212" t="s">
        <v>3656</v>
      </c>
      <c r="C212" s="17">
        <v>8.6640712920256502E-4</v>
      </c>
      <c r="D212" s="17"/>
      <c r="E212" s="17"/>
      <c r="F212" s="17">
        <v>1.4797920360522601E-3</v>
      </c>
      <c r="G212" s="17"/>
      <c r="H212" s="17"/>
      <c r="I212" s="17">
        <v>2.1517002497365499E-3</v>
      </c>
      <c r="J212" s="17"/>
      <c r="K212" s="17"/>
      <c r="L212" s="17">
        <v>2.5657681346432102E-3</v>
      </c>
      <c r="M212" s="17"/>
      <c r="N212" s="17"/>
      <c r="O212" s="17">
        <v>2.8248144792404301E-2</v>
      </c>
      <c r="P212" s="17"/>
      <c r="Q212" s="17"/>
      <c r="R212" s="17">
        <v>2.6564665697795501E-3</v>
      </c>
      <c r="S212" s="17"/>
      <c r="T212" s="17"/>
      <c r="U212">
        <v>2.6193725763032499E-3</v>
      </c>
    </row>
    <row r="213" spans="1:21" x14ac:dyDescent="0.15">
      <c r="A213" s="5" t="s">
        <v>96</v>
      </c>
      <c r="B213" t="s">
        <v>3594</v>
      </c>
      <c r="C213" s="17">
        <v>7.7759390718379895E-2</v>
      </c>
      <c r="D213" s="17"/>
      <c r="E213" s="17"/>
      <c r="F213" s="17">
        <v>4.0317554179454998E-2</v>
      </c>
      <c r="G213" s="17"/>
      <c r="H213" s="17"/>
      <c r="I213" s="17">
        <v>2.0927808276401099E-5</v>
      </c>
      <c r="J213" s="17"/>
      <c r="K213" s="17"/>
      <c r="L213" s="17">
        <v>1.39305481172531E-5</v>
      </c>
      <c r="M213" s="17"/>
      <c r="N213" s="17"/>
      <c r="O213" s="17">
        <v>9.8008550712888507E-6</v>
      </c>
      <c r="P213" s="17"/>
      <c r="Q213" s="17"/>
      <c r="R213" s="17">
        <v>6.0066917556046497E-6</v>
      </c>
      <c r="S213" s="17"/>
      <c r="T213" s="17"/>
      <c r="U213" s="13">
        <v>2.2797195685521801E-6</v>
      </c>
    </row>
    <row r="214" spans="1:21" x14ac:dyDescent="0.15">
      <c r="A214" s="5" t="s">
        <v>96</v>
      </c>
      <c r="B214" t="s">
        <v>3606</v>
      </c>
      <c r="C214" s="17">
        <v>3.4380260165443197E-2</v>
      </c>
      <c r="D214" s="17"/>
      <c r="E214" s="17"/>
      <c r="F214" s="17">
        <v>4.8147923172472698E-2</v>
      </c>
      <c r="G214" s="17"/>
      <c r="H214" s="17"/>
      <c r="I214" s="17">
        <v>4.4511097236471599E-2</v>
      </c>
      <c r="J214" s="17"/>
      <c r="K214" s="17"/>
      <c r="L214" s="17">
        <v>1.77846017033466E-2</v>
      </c>
      <c r="M214" s="17"/>
      <c r="N214" s="17"/>
      <c r="O214" s="17">
        <v>4.7064366684496199E-3</v>
      </c>
      <c r="P214" s="17"/>
      <c r="Q214" s="17"/>
      <c r="R214" s="17">
        <v>8.2313924058283507E-6</v>
      </c>
      <c r="S214" s="17"/>
      <c r="T214" s="17"/>
      <c r="U214" s="13">
        <v>7.0194258267956997E-6</v>
      </c>
    </row>
    <row r="215" spans="1:21" x14ac:dyDescent="0.15">
      <c r="A215" s="5" t="s">
        <v>96</v>
      </c>
      <c r="B215" t="s">
        <v>3601</v>
      </c>
      <c r="C215" s="17">
        <v>5.5787595835415796E-4</v>
      </c>
      <c r="D215" s="17"/>
      <c r="E215" s="17"/>
      <c r="F215" s="17">
        <v>5.46883141171129E-4</v>
      </c>
      <c r="G215" s="17"/>
      <c r="H215" s="17"/>
      <c r="I215" s="17">
        <v>4.0711019272514202E-4</v>
      </c>
      <c r="J215" s="17"/>
      <c r="K215" s="17"/>
      <c r="L215" s="17">
        <v>2.8829114704605403E-4</v>
      </c>
      <c r="M215" s="17"/>
      <c r="N215" s="17"/>
      <c r="O215" s="17">
        <v>2.1339084066886399E-4</v>
      </c>
      <c r="P215" s="17"/>
      <c r="Q215" s="17"/>
      <c r="R215" s="17">
        <v>1.3508731320810801E-4</v>
      </c>
      <c r="S215" s="17"/>
      <c r="T215" s="17"/>
      <c r="U215" s="13">
        <v>5.0509967991374198E-5</v>
      </c>
    </row>
    <row r="216" spans="1:21" x14ac:dyDescent="0.15">
      <c r="A216" s="5" t="s">
        <v>94</v>
      </c>
      <c r="B216" t="s">
        <v>3584</v>
      </c>
      <c r="C216">
        <v>1.0804808919086801E-2</v>
      </c>
      <c r="D216" s="17"/>
      <c r="E216" s="17"/>
      <c r="F216" s="17">
        <v>9.9742840315795705E-3</v>
      </c>
      <c r="G216" s="17"/>
      <c r="H216" s="17"/>
      <c r="I216" s="17">
        <v>8.5605602704904409E-3</v>
      </c>
      <c r="J216" s="17"/>
      <c r="K216" s="17"/>
      <c r="L216" s="17">
        <v>7.4846731051103604E-3</v>
      </c>
      <c r="M216" s="17"/>
      <c r="N216" s="17"/>
      <c r="O216" s="17">
        <v>6.85810038274036E-3</v>
      </c>
      <c r="P216" s="17"/>
      <c r="Q216" s="17"/>
      <c r="R216" s="17">
        <v>6.1621371012271203E-3</v>
      </c>
      <c r="S216" s="17"/>
      <c r="T216" s="17"/>
      <c r="U216">
        <v>5.3842964373021496E-3</v>
      </c>
    </row>
    <row r="217" spans="1:21" x14ac:dyDescent="0.15">
      <c r="A217" s="5" t="s">
        <v>94</v>
      </c>
      <c r="B217" t="s">
        <v>3591</v>
      </c>
      <c r="C217" s="17">
        <v>2.9272057744562499E-8</v>
      </c>
      <c r="D217" s="17"/>
      <c r="E217" s="17"/>
      <c r="F217" s="17">
        <v>7.3180144361406304E-8</v>
      </c>
      <c r="G217" s="17"/>
      <c r="H217" s="17"/>
      <c r="I217" s="17">
        <v>1.2759508687462199E-7</v>
      </c>
      <c r="J217" s="17"/>
      <c r="K217" s="17"/>
      <c r="L217" s="17">
        <v>1.15352660479342E-7</v>
      </c>
      <c r="M217" s="17"/>
      <c r="N217" s="17"/>
      <c r="O217" s="17">
        <v>1.1270758646573099E-7</v>
      </c>
      <c r="P217" s="17"/>
      <c r="Q217" s="17"/>
      <c r="R217" s="17">
        <v>1.11083724236958E-7</v>
      </c>
      <c r="S217" s="17"/>
      <c r="T217" s="17"/>
      <c r="U217" s="13">
        <v>1.12920077284483E-7</v>
      </c>
    </row>
    <row r="218" spans="1:21" x14ac:dyDescent="0.15">
      <c r="A218" s="5" t="s">
        <v>94</v>
      </c>
      <c r="B218" s="5" t="s">
        <v>3592</v>
      </c>
      <c r="C218" s="17">
        <v>5.1398749931960501E-4</v>
      </c>
      <c r="D218" s="17"/>
      <c r="E218" s="17"/>
      <c r="F218" s="17">
        <v>1.02912239104386E-3</v>
      </c>
      <c r="G218" s="17"/>
      <c r="H218" s="17"/>
      <c r="I218" s="17">
        <v>2.7745725634187E-3</v>
      </c>
      <c r="J218" s="17"/>
      <c r="K218" s="17"/>
      <c r="L218" s="17">
        <v>4.6669169644622298E-3</v>
      </c>
      <c r="M218" s="17"/>
      <c r="N218" s="17"/>
      <c r="O218" s="17">
        <v>6.05086687541631E-3</v>
      </c>
      <c r="P218" s="17"/>
      <c r="Q218" s="17"/>
      <c r="R218" s="17">
        <v>6.6695481784733697E-3</v>
      </c>
      <c r="S218" s="17"/>
      <c r="T218" s="17"/>
      <c r="U218">
        <v>7.0977071319417396E-3</v>
      </c>
    </row>
    <row r="219" spans="1:21" x14ac:dyDescent="0.15">
      <c r="A219" s="5" t="s">
        <v>94</v>
      </c>
      <c r="B219" t="s">
        <v>3587</v>
      </c>
      <c r="C219" s="17">
        <v>2.70591814620585E-8</v>
      </c>
      <c r="D219" s="17"/>
      <c r="E219" s="17"/>
      <c r="F219" s="17">
        <v>3.6590072180703099E-8</v>
      </c>
      <c r="G219" s="17"/>
      <c r="H219" s="17"/>
      <c r="I219" s="17">
        <v>3.1898771718655697E-8</v>
      </c>
      <c r="J219" s="17"/>
      <c r="K219" s="17"/>
      <c r="L219" s="17">
        <v>2.8838165119835501E-8</v>
      </c>
      <c r="M219" s="17"/>
      <c r="N219" s="17"/>
      <c r="O219" s="17">
        <v>2.8176896616432901E-8</v>
      </c>
      <c r="P219" s="17"/>
      <c r="Q219" s="17"/>
      <c r="R219" s="17">
        <v>2.9708437877326201E-8</v>
      </c>
      <c r="S219" s="17"/>
      <c r="T219" s="17"/>
      <c r="U219" s="13">
        <v>3.0295630490959E-8</v>
      </c>
    </row>
    <row r="220" spans="1:21" x14ac:dyDescent="0.15">
      <c r="A220" s="5" t="s">
        <v>94</v>
      </c>
      <c r="B220" t="s">
        <v>3602</v>
      </c>
      <c r="C220" s="17">
        <v>1.35295907310292E-8</v>
      </c>
      <c r="D220" s="17"/>
      <c r="E220" s="17"/>
      <c r="F220" s="17">
        <v>1.82950360903515E-8</v>
      </c>
      <c r="G220" s="17"/>
      <c r="H220" s="17"/>
      <c r="I220" s="17">
        <v>1.5949385859327799E-8</v>
      </c>
      <c r="J220" s="17"/>
      <c r="K220" s="17"/>
      <c r="L220" s="17">
        <v>1.4419082559917699E-8</v>
      </c>
      <c r="M220" s="17"/>
      <c r="N220" s="17"/>
      <c r="O220" s="17">
        <v>1.4088448308216401E-8</v>
      </c>
      <c r="P220" s="17"/>
      <c r="Q220" s="17"/>
      <c r="R220" s="17">
        <v>1.42083833326342E-8</v>
      </c>
      <c r="S220" s="17"/>
      <c r="T220" s="17"/>
      <c r="U220" s="13">
        <v>1.51478152454795E-8</v>
      </c>
    </row>
    <row r="221" spans="1:21" x14ac:dyDescent="0.15">
      <c r="A221" s="5" t="s">
        <v>94</v>
      </c>
      <c r="B221" t="s">
        <v>3603</v>
      </c>
      <c r="C221" s="17">
        <v>1.35295907310292E-8</v>
      </c>
      <c r="D221" s="17"/>
      <c r="E221" s="17"/>
      <c r="F221" s="17">
        <v>1.82950360903515E-8</v>
      </c>
      <c r="G221" s="17"/>
      <c r="H221" s="17"/>
      <c r="I221" s="17">
        <v>1.5949385859327799E-8</v>
      </c>
      <c r="J221" s="17"/>
      <c r="K221" s="17"/>
      <c r="L221" s="17">
        <v>1.4419082559917699E-8</v>
      </c>
      <c r="M221" s="17"/>
      <c r="N221" s="17"/>
      <c r="O221" s="17">
        <v>1.4088448308216401E-8</v>
      </c>
      <c r="P221" s="17"/>
      <c r="Q221" s="17"/>
      <c r="R221" s="17">
        <v>1.42083833326342E-8</v>
      </c>
      <c r="S221" s="17"/>
      <c r="T221" s="17"/>
      <c r="U221" s="13">
        <v>1.51478152454795E-8</v>
      </c>
    </row>
    <row r="222" spans="1:21" x14ac:dyDescent="0.15">
      <c r="A222" s="5" t="s">
        <v>94</v>
      </c>
      <c r="B222" t="s">
        <v>3593</v>
      </c>
      <c r="C222" s="17">
        <v>5.1398749931960501E-4</v>
      </c>
      <c r="D222" s="17"/>
      <c r="E222" s="17"/>
      <c r="F222" s="17">
        <v>1.02912239104386E-3</v>
      </c>
      <c r="G222" s="17"/>
      <c r="H222" s="17"/>
      <c r="I222" s="17">
        <v>2.7745725634187E-3</v>
      </c>
      <c r="J222" s="17"/>
      <c r="K222" s="17"/>
      <c r="L222" s="17">
        <v>4.6669169644622298E-3</v>
      </c>
      <c r="M222" s="17"/>
      <c r="N222" s="17"/>
      <c r="O222" s="17">
        <v>6.05086687541631E-3</v>
      </c>
      <c r="P222" s="17"/>
      <c r="Q222" s="17"/>
      <c r="R222" s="17">
        <v>6.6695481784733697E-3</v>
      </c>
      <c r="S222" s="17"/>
      <c r="T222" s="17"/>
      <c r="U222">
        <v>7.0977071319417396E-3</v>
      </c>
    </row>
    <row r="223" spans="1:21" x14ac:dyDescent="0.15">
      <c r="A223" s="5" t="s">
        <v>94</v>
      </c>
      <c r="B223" t="s">
        <v>3588</v>
      </c>
      <c r="C223" s="17">
        <v>2.70591814620585E-8</v>
      </c>
      <c r="D223" s="17"/>
      <c r="E223" s="17"/>
      <c r="F223" s="17">
        <v>3.6590072180703099E-8</v>
      </c>
      <c r="G223" s="17"/>
      <c r="H223" s="17"/>
      <c r="I223" s="17">
        <v>3.1898771718655697E-8</v>
      </c>
      <c r="J223" s="17"/>
      <c r="K223" s="17"/>
      <c r="L223" s="17">
        <v>2.8838165119835501E-8</v>
      </c>
      <c r="M223" s="17"/>
      <c r="N223" s="17"/>
      <c r="O223" s="17">
        <v>2.8176896616432901E-8</v>
      </c>
      <c r="P223" s="17"/>
      <c r="Q223" s="17"/>
      <c r="R223" s="17">
        <v>2.9708437877326201E-8</v>
      </c>
      <c r="S223" s="17"/>
      <c r="T223" s="17"/>
      <c r="U223" s="13">
        <v>3.0295630490959E-8</v>
      </c>
    </row>
    <row r="224" spans="1:21" x14ac:dyDescent="0.15">
      <c r="A224" s="5" t="s">
        <v>94</v>
      </c>
      <c r="B224" t="s">
        <v>3604</v>
      </c>
      <c r="C224" s="17">
        <v>1.35295907310292E-8</v>
      </c>
      <c r="D224" s="17"/>
      <c r="E224" s="17"/>
      <c r="F224" s="17">
        <v>1.82950360903515E-8</v>
      </c>
      <c r="G224" s="17"/>
      <c r="H224" s="17"/>
      <c r="I224" s="17">
        <v>1.5949385859327799E-8</v>
      </c>
      <c r="J224" s="17"/>
      <c r="K224" s="17"/>
      <c r="L224" s="17">
        <v>1.4419082559917699E-8</v>
      </c>
      <c r="M224" s="17"/>
      <c r="N224" s="17"/>
      <c r="O224" s="17">
        <v>1.4088448308216401E-8</v>
      </c>
      <c r="P224" s="17"/>
      <c r="Q224" s="17"/>
      <c r="R224" s="17">
        <v>1.42083833326342E-8</v>
      </c>
      <c r="S224" s="17"/>
      <c r="T224" s="17"/>
      <c r="U224" s="13">
        <v>1.51478152454795E-8</v>
      </c>
    </row>
    <row r="225" spans="1:21" x14ac:dyDescent="0.15">
      <c r="A225" s="5" t="s">
        <v>94</v>
      </c>
      <c r="B225" t="s">
        <v>3605</v>
      </c>
      <c r="C225" s="17">
        <v>1.35295907310292E-8</v>
      </c>
      <c r="D225" s="17"/>
      <c r="E225" s="17"/>
      <c r="F225" s="17">
        <v>1.82950360903515E-8</v>
      </c>
      <c r="G225" s="17"/>
      <c r="H225" s="17"/>
      <c r="I225" s="17">
        <v>1.5949385859327799E-8</v>
      </c>
      <c r="J225" s="17"/>
      <c r="K225" s="17"/>
      <c r="L225" s="17">
        <v>1.4419082559917699E-8</v>
      </c>
      <c r="M225" s="17"/>
      <c r="N225" s="17"/>
      <c r="O225" s="17">
        <v>1.4088448308216401E-8</v>
      </c>
      <c r="P225" s="17"/>
      <c r="Q225" s="17"/>
      <c r="R225" s="17">
        <v>1.42083833326342E-8</v>
      </c>
      <c r="S225" s="17"/>
      <c r="T225" s="17"/>
      <c r="U225" s="13">
        <v>1.51478152454795E-8</v>
      </c>
    </row>
    <row r="226" spans="1:21" x14ac:dyDescent="0.15">
      <c r="A226" s="5" t="s">
        <v>94</v>
      </c>
      <c r="B226" t="s">
        <v>3582</v>
      </c>
      <c r="C226" s="17">
        <v>2.5280413506667598E-8</v>
      </c>
      <c r="D226" s="17"/>
      <c r="E226" s="17"/>
      <c r="F226" s="17">
        <v>6.3201033766669094E-8</v>
      </c>
      <c r="G226" s="17"/>
      <c r="H226" s="17"/>
      <c r="I226" s="17">
        <v>1.10195756846265E-7</v>
      </c>
      <c r="J226" s="17"/>
      <c r="K226" s="17"/>
      <c r="L226" s="17">
        <v>9.9622752232159097E-8</v>
      </c>
      <c r="M226" s="17"/>
      <c r="N226" s="17"/>
      <c r="O226" s="17">
        <v>9.4776834073456294E-8</v>
      </c>
      <c r="P226" s="17"/>
      <c r="Q226" s="17"/>
      <c r="R226" s="17">
        <v>9.3000327268151607E-8</v>
      </c>
      <c r="S226" s="17"/>
      <c r="T226" s="17"/>
      <c r="U226" s="13">
        <v>9.08868914728772E-8</v>
      </c>
    </row>
    <row r="227" spans="1:21" x14ac:dyDescent="0.15">
      <c r="A227" s="5" t="s">
        <v>94</v>
      </c>
      <c r="B227" t="s">
        <v>3608</v>
      </c>
      <c r="C227" s="17">
        <v>1.8702218012313299E-5</v>
      </c>
      <c r="D227" s="17"/>
      <c r="E227" s="17"/>
      <c r="F227" s="17">
        <v>2.8959378945927401E-5</v>
      </c>
      <c r="G227" s="17"/>
      <c r="H227" s="17"/>
      <c r="I227" s="17">
        <v>4.3498325070894101E-5</v>
      </c>
      <c r="J227" s="17"/>
      <c r="K227" s="17"/>
      <c r="L227" s="17">
        <v>3.9324770617957499E-5</v>
      </c>
      <c r="M227" s="17"/>
      <c r="N227" s="17"/>
      <c r="O227" s="17">
        <v>3.8252698692863703E-5</v>
      </c>
      <c r="P227" s="17"/>
      <c r="Q227" s="17"/>
      <c r="R227" s="17">
        <v>3.8750136361729803E-5</v>
      </c>
      <c r="S227" s="17"/>
      <c r="T227" s="17"/>
      <c r="U227" s="13">
        <v>3.9007001331223002E-5</v>
      </c>
    </row>
    <row r="228" spans="1:21" x14ac:dyDescent="0.15">
      <c r="A228" s="5" t="s">
        <v>94</v>
      </c>
      <c r="B228" t="s">
        <v>3608</v>
      </c>
      <c r="C228" s="17">
        <v>1.8702218012313299E-5</v>
      </c>
      <c r="D228" s="17"/>
      <c r="E228" s="17"/>
      <c r="F228" s="17">
        <v>2.8959378945927401E-5</v>
      </c>
      <c r="G228" s="17"/>
      <c r="H228" s="17"/>
      <c r="I228" s="17">
        <v>4.3498325070894101E-5</v>
      </c>
      <c r="J228" s="17"/>
      <c r="K228" s="17"/>
      <c r="L228" s="17">
        <v>3.9324770617957499E-5</v>
      </c>
      <c r="M228" s="17"/>
      <c r="N228" s="17"/>
      <c r="O228" s="17">
        <v>3.8252698692863703E-5</v>
      </c>
      <c r="P228" s="17"/>
      <c r="Q228" s="17"/>
      <c r="R228" s="17">
        <v>3.8750136361729803E-5</v>
      </c>
      <c r="S228" s="17"/>
      <c r="T228" s="17"/>
      <c r="U228" s="13">
        <v>3.9007001331223002E-5</v>
      </c>
    </row>
    <row r="229" spans="1:21" x14ac:dyDescent="0.15">
      <c r="A229" s="5" t="s">
        <v>94</v>
      </c>
      <c r="B229" s="17" t="s">
        <v>3658</v>
      </c>
      <c r="C229" s="17">
        <v>0</v>
      </c>
      <c r="D229" s="17"/>
      <c r="E229" s="17"/>
      <c r="F229" s="17">
        <v>0</v>
      </c>
      <c r="G229" s="17"/>
      <c r="H229" s="17"/>
      <c r="I229" s="17">
        <v>1.4499441690298E-8</v>
      </c>
      <c r="J229" s="17"/>
      <c r="K229" s="17"/>
      <c r="L229" s="17">
        <v>2.0973210996244001E-8</v>
      </c>
      <c r="M229" s="17"/>
      <c r="N229" s="17"/>
      <c r="O229" s="17">
        <v>1.79307523922755E-8</v>
      </c>
      <c r="P229" s="17"/>
      <c r="Q229" s="17"/>
      <c r="R229" s="17">
        <v>1.8083396968807199E-8</v>
      </c>
      <c r="S229" s="17"/>
      <c r="T229" s="17"/>
      <c r="U229" s="13">
        <v>1.6524889358704899E-8</v>
      </c>
    </row>
    <row r="230" spans="1:21" x14ac:dyDescent="0.15">
      <c r="A230" s="5" t="s">
        <v>94</v>
      </c>
      <c r="B230" t="s">
        <v>3585</v>
      </c>
      <c r="C230" s="17">
        <v>4.0829139074148597E-2</v>
      </c>
      <c r="D230" s="17"/>
      <c r="E230" s="17"/>
      <c r="F230" s="17">
        <v>3.7290746777634401E-2</v>
      </c>
      <c r="G230" s="17"/>
      <c r="H230" s="17"/>
      <c r="I230" s="17">
        <v>3.0777402689179001E-2</v>
      </c>
      <c r="J230" s="17"/>
      <c r="K230" s="17"/>
      <c r="L230" s="17">
        <v>2.53673663713644E-2</v>
      </c>
      <c r="M230" s="17"/>
      <c r="N230" s="17"/>
      <c r="O230" s="17">
        <v>1.9862646542090499E-2</v>
      </c>
      <c r="P230" s="17"/>
      <c r="Q230" s="17"/>
      <c r="R230" s="17">
        <v>1.46667098047837E-2</v>
      </c>
      <c r="S230" s="17"/>
      <c r="T230" s="17"/>
      <c r="U230">
        <v>7.5351240701883298E-3</v>
      </c>
    </row>
    <row r="231" spans="1:21" x14ac:dyDescent="0.15">
      <c r="A231" s="5" t="s">
        <v>94</v>
      </c>
      <c r="B231" t="s">
        <v>3585</v>
      </c>
      <c r="C231" s="17">
        <v>4.1427663745087001E-3</v>
      </c>
      <c r="D231" s="17"/>
      <c r="E231" s="17"/>
      <c r="F231" s="17">
        <v>3.7837401261423399E-3</v>
      </c>
      <c r="G231" s="17"/>
      <c r="H231" s="17"/>
      <c r="I231" s="17">
        <v>3.12285764154587E-3</v>
      </c>
      <c r="J231" s="17"/>
      <c r="K231" s="17"/>
      <c r="L231" s="17">
        <v>2.5739233007651299E-3</v>
      </c>
      <c r="M231" s="17"/>
      <c r="N231" s="17"/>
      <c r="O231" s="17">
        <v>2.01538180988549E-3</v>
      </c>
      <c r="P231" s="17"/>
      <c r="Q231" s="17"/>
      <c r="R231" s="17">
        <v>1.4881712811428401E-3</v>
      </c>
      <c r="S231" s="17"/>
      <c r="T231" s="17"/>
      <c r="U231">
        <v>7.6455833587468801E-4</v>
      </c>
    </row>
    <row r="232" spans="1:21" x14ac:dyDescent="0.15">
      <c r="A232" s="5" t="s">
        <v>94</v>
      </c>
      <c r="B232" t="s">
        <v>3585</v>
      </c>
      <c r="C232" s="17">
        <v>3.1053325460496502E-2</v>
      </c>
      <c r="D232" s="17"/>
      <c r="E232" s="17"/>
      <c r="F232" s="17">
        <v>2.8362138477811799E-2</v>
      </c>
      <c r="G232" s="17"/>
      <c r="H232" s="17"/>
      <c r="I232" s="17">
        <v>2.3408299175746501E-2</v>
      </c>
      <c r="J232" s="17"/>
      <c r="K232" s="17"/>
      <c r="L232" s="17">
        <v>1.9293600155884699E-2</v>
      </c>
      <c r="M232" s="17"/>
      <c r="N232" s="17"/>
      <c r="O232" s="17">
        <v>1.51068879130218E-2</v>
      </c>
      <c r="P232" s="17"/>
      <c r="Q232" s="17"/>
      <c r="R232" s="17">
        <v>1.1155026124246001E-2</v>
      </c>
      <c r="S232" s="17"/>
      <c r="T232" s="17"/>
      <c r="U232">
        <v>5.7309721792525503E-3</v>
      </c>
    </row>
    <row r="233" spans="1:21" x14ac:dyDescent="0.15">
      <c r="A233" s="5" t="s">
        <v>94</v>
      </c>
      <c r="B233" t="s">
        <v>3585</v>
      </c>
      <c r="C233" s="17">
        <v>1.27585196316368E-2</v>
      </c>
      <c r="D233" s="17"/>
      <c r="E233" s="17"/>
      <c r="F233" s="17">
        <v>1.16528228522478E-2</v>
      </c>
      <c r="G233" s="17"/>
      <c r="H233" s="17"/>
      <c r="I233" s="17">
        <v>9.6174963598315601E-3</v>
      </c>
      <c r="J233" s="17"/>
      <c r="K233" s="17"/>
      <c r="L233" s="17">
        <v>7.92693770163032E-3</v>
      </c>
      <c r="M233" s="17"/>
      <c r="N233" s="17"/>
      <c r="O233" s="17">
        <v>6.2067918058056597E-3</v>
      </c>
      <c r="P233" s="17"/>
      <c r="Q233" s="17"/>
      <c r="R233" s="17">
        <v>4.5831361919245897E-3</v>
      </c>
      <c r="S233" s="17"/>
      <c r="T233" s="17"/>
      <c r="U233">
        <v>2.3546180633817601E-3</v>
      </c>
    </row>
    <row r="234" spans="1:21" x14ac:dyDescent="0.15">
      <c r="A234" s="5" t="s">
        <v>94</v>
      </c>
      <c r="B234" t="s">
        <v>3585</v>
      </c>
      <c r="C234" s="17">
        <v>1.09874709243607E-2</v>
      </c>
      <c r="D234" s="17"/>
      <c r="E234" s="17"/>
      <c r="F234" s="17">
        <v>1.00352592598844E-2</v>
      </c>
      <c r="G234" s="17"/>
      <c r="H234" s="17"/>
      <c r="I234" s="17">
        <v>8.2824625951716507E-3</v>
      </c>
      <c r="J234" s="17"/>
      <c r="K234" s="17"/>
      <c r="L234" s="17">
        <v>6.82657549861125E-3</v>
      </c>
      <c r="M234" s="17"/>
      <c r="N234" s="17"/>
      <c r="O234" s="17">
        <v>5.3452082583895603E-3</v>
      </c>
      <c r="P234" s="17"/>
      <c r="Q234" s="17"/>
      <c r="R234" s="17">
        <v>3.9469371921714604E-3</v>
      </c>
      <c r="S234" s="17"/>
      <c r="T234" s="17"/>
      <c r="U234">
        <v>2.02776640678827E-3</v>
      </c>
    </row>
    <row r="235" spans="1:21" x14ac:dyDescent="0.15">
      <c r="A235" s="5" t="s">
        <v>94</v>
      </c>
      <c r="B235" t="s">
        <v>3585</v>
      </c>
      <c r="C235" s="17">
        <v>8.0640008902802002E-3</v>
      </c>
      <c r="D235" s="17"/>
      <c r="E235" s="17"/>
      <c r="F235" s="17">
        <v>7.3651470991818197E-3</v>
      </c>
      <c r="G235" s="17"/>
      <c r="H235" s="17"/>
      <c r="I235" s="17">
        <v>6.07872241036781E-3</v>
      </c>
      <c r="J235" s="17"/>
      <c r="K235" s="17"/>
      <c r="L235" s="17">
        <v>5.0102076517275201E-3</v>
      </c>
      <c r="M235" s="17"/>
      <c r="N235" s="17"/>
      <c r="O235" s="17">
        <v>3.9229923292738202E-3</v>
      </c>
      <c r="P235" s="17"/>
      <c r="Q235" s="17"/>
      <c r="R235" s="17">
        <v>2.89676352735399E-3</v>
      </c>
      <c r="S235" s="17"/>
      <c r="T235" s="17"/>
      <c r="U235">
        <v>1.4882323896181101E-3</v>
      </c>
    </row>
    <row r="236" spans="1:21" x14ac:dyDescent="0.15">
      <c r="A236" s="5" t="s">
        <v>94</v>
      </c>
      <c r="B236" t="s">
        <v>3585</v>
      </c>
      <c r="C236" s="17">
        <v>9.6219608768089698E-3</v>
      </c>
      <c r="D236" s="17"/>
      <c r="E236" s="17"/>
      <c r="F236" s="17">
        <v>8.7880889653284902E-3</v>
      </c>
      <c r="G236" s="17"/>
      <c r="H236" s="17"/>
      <c r="I236" s="17">
        <v>7.2531278219524903E-3</v>
      </c>
      <c r="J236" s="17"/>
      <c r="K236" s="17"/>
      <c r="L236" s="17">
        <v>5.9781766725395397E-3</v>
      </c>
      <c r="M236" s="17"/>
      <c r="N236" s="17"/>
      <c r="O236" s="17">
        <v>4.6809120219458199E-3</v>
      </c>
      <c r="P236" s="17"/>
      <c r="Q236" s="17"/>
      <c r="R236" s="17">
        <v>3.4564164499489201E-3</v>
      </c>
      <c r="S236" s="17"/>
      <c r="T236" s="17"/>
      <c r="U236">
        <v>1.7757579672102201E-3</v>
      </c>
    </row>
    <row r="237" spans="1:21" x14ac:dyDescent="0.15">
      <c r="A237" s="5" t="s">
        <v>94</v>
      </c>
      <c r="B237" t="s">
        <v>3585</v>
      </c>
      <c r="C237" s="17">
        <v>1.26677585676962E-2</v>
      </c>
      <c r="D237" s="17"/>
      <c r="E237" s="17"/>
      <c r="F237" s="17">
        <v>1.1569927451330101E-2</v>
      </c>
      <c r="G237" s="17"/>
      <c r="H237" s="17"/>
      <c r="I237" s="17">
        <v>9.5490797858664798E-3</v>
      </c>
      <c r="J237" s="17"/>
      <c r="K237" s="17"/>
      <c r="L237" s="17">
        <v>7.8705473585213501E-3</v>
      </c>
      <c r="M237" s="17"/>
      <c r="N237" s="17"/>
      <c r="O237" s="17">
        <v>6.1626381701004899E-3</v>
      </c>
      <c r="P237" s="17"/>
      <c r="Q237" s="17"/>
      <c r="R237" s="17">
        <v>4.5505328547841197E-3</v>
      </c>
      <c r="S237" s="17"/>
      <c r="T237" s="17"/>
      <c r="U237">
        <v>2.33786787238968E-3</v>
      </c>
    </row>
    <row r="238" spans="1:21" x14ac:dyDescent="0.15">
      <c r="A238" s="5" t="s">
        <v>94</v>
      </c>
      <c r="B238" t="s">
        <v>3585</v>
      </c>
      <c r="C238" s="17">
        <v>9.6372389360394797E-3</v>
      </c>
      <c r="D238" s="17"/>
      <c r="E238" s="17"/>
      <c r="F238" s="17">
        <v>8.8020429758939294E-3</v>
      </c>
      <c r="G238" s="17"/>
      <c r="H238" s="17"/>
      <c r="I238" s="17">
        <v>7.26464457180099E-3</v>
      </c>
      <c r="J238" s="17"/>
      <c r="K238" s="17"/>
      <c r="L238" s="17">
        <v>5.9876690139097502E-3</v>
      </c>
      <c r="M238" s="17"/>
      <c r="N238" s="17"/>
      <c r="O238" s="17">
        <v>4.6883445247422597E-3</v>
      </c>
      <c r="P238" s="17"/>
      <c r="Q238" s="17"/>
      <c r="R238" s="17">
        <v>3.4619046592571602E-3</v>
      </c>
      <c r="S238" s="17"/>
      <c r="T238" s="17"/>
      <c r="U238">
        <v>1.77857757287578E-3</v>
      </c>
    </row>
    <row r="239" spans="1:21" x14ac:dyDescent="0.15">
      <c r="A239" s="5" t="s">
        <v>94</v>
      </c>
      <c r="B239" t="s">
        <v>3585</v>
      </c>
      <c r="C239" s="17">
        <v>1.2311569390328099E-2</v>
      </c>
      <c r="D239" s="17"/>
      <c r="E239" s="17"/>
      <c r="F239" s="17">
        <v>1.1244606841604599E-2</v>
      </c>
      <c r="G239" s="17"/>
      <c r="H239" s="17"/>
      <c r="I239" s="17">
        <v>9.2805809148646199E-3</v>
      </c>
      <c r="J239" s="17"/>
      <c r="K239" s="17"/>
      <c r="L239" s="17">
        <v>7.6492450836092201E-3</v>
      </c>
      <c r="M239" s="17"/>
      <c r="N239" s="17"/>
      <c r="O239" s="17">
        <v>5.9893585004181802E-3</v>
      </c>
      <c r="P239" s="17"/>
      <c r="Q239" s="17"/>
      <c r="R239" s="17">
        <v>4.42258199864249E-3</v>
      </c>
      <c r="S239" s="17"/>
      <c r="T239" s="17"/>
      <c r="U239">
        <v>2.2721322310122502E-3</v>
      </c>
    </row>
    <row r="240" spans="1:21" x14ac:dyDescent="0.15">
      <c r="A240" s="5" t="s">
        <v>94</v>
      </c>
      <c r="B240" t="s">
        <v>3585</v>
      </c>
      <c r="C240" s="17">
        <v>7.7663467715673399E-3</v>
      </c>
      <c r="D240" s="17"/>
      <c r="E240" s="17"/>
      <c r="F240" s="17">
        <v>7.0932887005003501E-3</v>
      </c>
      <c r="G240" s="17"/>
      <c r="H240" s="17"/>
      <c r="I240" s="17">
        <v>5.8543478366820598E-3</v>
      </c>
      <c r="J240" s="17"/>
      <c r="K240" s="17"/>
      <c r="L240" s="17">
        <v>4.8252735274095402E-3</v>
      </c>
      <c r="M240" s="17"/>
      <c r="N240" s="17"/>
      <c r="O240" s="17">
        <v>3.7781889196047101E-3</v>
      </c>
      <c r="P240" s="17"/>
      <c r="Q240" s="17"/>
      <c r="R240" s="17">
        <v>2.78983973027289E-3</v>
      </c>
      <c r="S240" s="17"/>
      <c r="T240" s="17"/>
      <c r="U240">
        <v>1.43329954593431E-3</v>
      </c>
    </row>
    <row r="241" spans="1:21" x14ac:dyDescent="0.15">
      <c r="A241" s="5" t="s">
        <v>94</v>
      </c>
      <c r="B241" t="s">
        <v>3585</v>
      </c>
      <c r="C241" s="17">
        <v>1.4320768196214299E-2</v>
      </c>
      <c r="D241" s="17"/>
      <c r="E241" s="17"/>
      <c r="F241" s="17">
        <v>1.3079681633658399E-2</v>
      </c>
      <c r="G241" s="17"/>
      <c r="H241" s="17"/>
      <c r="I241" s="17">
        <v>1.0795134543317901E-2</v>
      </c>
      <c r="J241" s="17"/>
      <c r="K241" s="17"/>
      <c r="L241" s="17">
        <v>8.8975712393300592E-3</v>
      </c>
      <c r="M241" s="17"/>
      <c r="N241" s="17"/>
      <c r="O241" s="17">
        <v>6.9667978150613997E-3</v>
      </c>
      <c r="P241" s="17"/>
      <c r="Q241" s="17"/>
      <c r="R241" s="17">
        <v>5.1443296645076499E-3</v>
      </c>
      <c r="S241" s="17"/>
      <c r="T241" s="17"/>
      <c r="U241">
        <v>2.6429351092344001E-3</v>
      </c>
    </row>
    <row r="242" spans="1:21" x14ac:dyDescent="0.15">
      <c r="A242" s="5" t="s">
        <v>94</v>
      </c>
      <c r="B242" t="s">
        <v>3585</v>
      </c>
      <c r="C242" s="17">
        <v>2.8939190511034E-2</v>
      </c>
      <c r="D242" s="17"/>
      <c r="E242" s="17"/>
      <c r="F242" s="17">
        <v>2.64312216659001E-2</v>
      </c>
      <c r="G242" s="17"/>
      <c r="H242" s="17"/>
      <c r="I242" s="17">
        <v>2.18146436602406E-2</v>
      </c>
      <c r="J242" s="17"/>
      <c r="K242" s="17"/>
      <c r="L242" s="17">
        <v>1.7980076602911298E-2</v>
      </c>
      <c r="M242" s="17"/>
      <c r="N242" s="17"/>
      <c r="O242" s="17">
        <v>1.4078399039739601E-2</v>
      </c>
      <c r="P242" s="17"/>
      <c r="Q242" s="17"/>
      <c r="R242" s="17">
        <v>1.03955831260578E-2</v>
      </c>
      <c r="S242" s="17"/>
      <c r="T242" s="17"/>
      <c r="U242">
        <v>5.3408030621327702E-3</v>
      </c>
    </row>
    <row r="243" spans="1:21" x14ac:dyDescent="0.15">
      <c r="A243" s="5" t="s">
        <v>94</v>
      </c>
      <c r="B243" t="s">
        <v>3585</v>
      </c>
      <c r="C243" s="17">
        <v>1.2305002505231699E-2</v>
      </c>
      <c r="D243" s="17"/>
      <c r="E243" s="17"/>
      <c r="F243" s="17">
        <v>1.1238609065144E-2</v>
      </c>
      <c r="G243" s="17"/>
      <c r="H243" s="17"/>
      <c r="I243" s="17">
        <v>9.2756307329208906E-3</v>
      </c>
      <c r="J243" s="17"/>
      <c r="K243" s="17"/>
      <c r="L243" s="17">
        <v>7.6451650421502397E-3</v>
      </c>
      <c r="M243" s="17"/>
      <c r="N243" s="17"/>
      <c r="O243" s="17">
        <v>5.98616382816918E-3</v>
      </c>
      <c r="P243" s="17"/>
      <c r="Q243" s="17"/>
      <c r="R243" s="17">
        <v>4.4202230314878202E-3</v>
      </c>
      <c r="S243" s="17"/>
      <c r="T243" s="17"/>
      <c r="U243">
        <v>2.27092029524585E-3</v>
      </c>
    </row>
    <row r="244" spans="1:21" x14ac:dyDescent="0.15">
      <c r="A244" s="5" t="s">
        <v>94</v>
      </c>
      <c r="B244" t="s">
        <v>3585</v>
      </c>
      <c r="C244" s="17">
        <v>3.5878243777587297E-2</v>
      </c>
      <c r="D244" s="17"/>
      <c r="E244" s="17"/>
      <c r="F244" s="17">
        <v>3.2768912935109203E-2</v>
      </c>
      <c r="G244" s="17"/>
      <c r="H244" s="17"/>
      <c r="I244" s="17">
        <v>2.70453695954244E-2</v>
      </c>
      <c r="J244" s="17"/>
      <c r="K244" s="17"/>
      <c r="L244" s="17">
        <v>2.2291348172056899E-2</v>
      </c>
      <c r="M244" s="17"/>
      <c r="N244" s="17"/>
      <c r="O244" s="17">
        <v>1.7454124452905499E-2</v>
      </c>
      <c r="P244" s="17"/>
      <c r="Q244" s="17"/>
      <c r="R244" s="17">
        <v>1.2888241136692E-2</v>
      </c>
      <c r="S244" s="17"/>
      <c r="T244" s="17"/>
      <c r="U244">
        <v>6.6214234347095301E-3</v>
      </c>
    </row>
    <row r="245" spans="1:21" x14ac:dyDescent="0.15">
      <c r="A245" s="5" t="s">
        <v>94</v>
      </c>
      <c r="B245" t="s">
        <v>3585</v>
      </c>
      <c r="C245" s="17">
        <v>3.6030756333659902E-3</v>
      </c>
      <c r="D245" s="17"/>
      <c r="E245" s="17"/>
      <c r="F245" s="17">
        <v>3.29082082334643E-3</v>
      </c>
      <c r="G245" s="17"/>
      <c r="H245" s="17"/>
      <c r="I245" s="17">
        <v>2.7160335045586801E-3</v>
      </c>
      <c r="J245" s="17"/>
      <c r="K245" s="17"/>
      <c r="L245" s="17">
        <v>2.23861050533887E-3</v>
      </c>
      <c r="M245" s="17"/>
      <c r="N245" s="17"/>
      <c r="O245" s="17">
        <v>1.75283190860325E-3</v>
      </c>
      <c r="P245" s="17"/>
      <c r="Q245" s="17"/>
      <c r="R245" s="17">
        <v>1.2943026945362601E-3</v>
      </c>
      <c r="S245" s="17"/>
      <c r="T245" s="17"/>
      <c r="U245">
        <v>6.6495700245796101E-4</v>
      </c>
    </row>
    <row r="246" spans="1:21" x14ac:dyDescent="0.15">
      <c r="A246" s="5" t="s">
        <v>94</v>
      </c>
      <c r="B246" t="s">
        <v>3585</v>
      </c>
      <c r="C246" s="17">
        <v>2.2496942205499599E-2</v>
      </c>
      <c r="D246" s="17"/>
      <c r="E246" s="17"/>
      <c r="F246" s="17">
        <v>2.054728054718E-2</v>
      </c>
      <c r="G246" s="17"/>
      <c r="H246" s="17"/>
      <c r="I246" s="17">
        <v>1.6958414143301001E-2</v>
      </c>
      <c r="J246" s="17"/>
      <c r="K246" s="17"/>
      <c r="L246" s="17">
        <v>1.39774726605405E-2</v>
      </c>
      <c r="M246" s="17"/>
      <c r="N246" s="17"/>
      <c r="O246" s="17">
        <v>1.0944360362195401E-2</v>
      </c>
      <c r="P246" s="17"/>
      <c r="Q246" s="17"/>
      <c r="R246" s="17">
        <v>8.08138820227953E-3</v>
      </c>
      <c r="S246" s="17"/>
      <c r="T246" s="17"/>
      <c r="U246">
        <v>4.1518693404345502E-3</v>
      </c>
    </row>
    <row r="247" spans="1:21" x14ac:dyDescent="0.15">
      <c r="A247" s="5" t="s">
        <v>94</v>
      </c>
      <c r="B247" t="s">
        <v>3585</v>
      </c>
      <c r="C247" s="17">
        <v>1.6763649455084E-2</v>
      </c>
      <c r="D247" s="17"/>
      <c r="E247" s="17"/>
      <c r="F247" s="17">
        <v>1.53108544797696E-2</v>
      </c>
      <c r="G247" s="17"/>
      <c r="H247" s="17"/>
      <c r="I247" s="17">
        <v>1.26366022286771E-2</v>
      </c>
      <c r="J247" s="17"/>
      <c r="K247" s="17"/>
      <c r="L247" s="17">
        <v>1.0415346663958601E-2</v>
      </c>
      <c r="M247" s="17"/>
      <c r="N247" s="17"/>
      <c r="O247" s="17">
        <v>8.15521589316749E-3</v>
      </c>
      <c r="P247" s="17"/>
      <c r="Q247" s="17"/>
      <c r="R247" s="17">
        <v>6.0218654471338399E-3</v>
      </c>
      <c r="S247" s="17"/>
      <c r="T247" s="17"/>
      <c r="U247">
        <v>3.0937752148974601E-3</v>
      </c>
    </row>
    <row r="248" spans="1:21" x14ac:dyDescent="0.15">
      <c r="A248" s="5" t="s">
        <v>94</v>
      </c>
      <c r="B248" t="s">
        <v>3585</v>
      </c>
      <c r="C248" s="17">
        <v>7.3570556060747203E-3</v>
      </c>
      <c r="D248" s="17"/>
      <c r="E248" s="17"/>
      <c r="F248" s="17">
        <v>6.7194681018590196E-3</v>
      </c>
      <c r="G248" s="17"/>
      <c r="H248" s="17"/>
      <c r="I248" s="17">
        <v>5.5458201698455603E-3</v>
      </c>
      <c r="J248" s="17"/>
      <c r="K248" s="17"/>
      <c r="L248" s="17">
        <v>4.5709786982004704E-3</v>
      </c>
      <c r="M248" s="17"/>
      <c r="N248" s="17"/>
      <c r="O248" s="17">
        <v>3.5790760816333698E-3</v>
      </c>
      <c r="P248" s="17"/>
      <c r="Q248" s="17"/>
      <c r="R248" s="17">
        <v>2.6428134915113901E-3</v>
      </c>
      <c r="S248" s="17"/>
      <c r="T248" s="17"/>
      <c r="U248">
        <v>1.3577637941953899E-3</v>
      </c>
    </row>
    <row r="249" spans="1:21" x14ac:dyDescent="0.15">
      <c r="A249" s="5" t="s">
        <v>94</v>
      </c>
      <c r="B249" t="s">
        <v>3585</v>
      </c>
      <c r="C249" s="17">
        <v>3.7752486393564703E-2</v>
      </c>
      <c r="D249" s="17"/>
      <c r="E249" s="17"/>
      <c r="F249" s="17">
        <v>3.4480727300465697E-2</v>
      </c>
      <c r="G249" s="17"/>
      <c r="H249" s="17"/>
      <c r="I249" s="17">
        <v>2.84581919335197E-2</v>
      </c>
      <c r="J249" s="17"/>
      <c r="K249" s="17"/>
      <c r="L249" s="17">
        <v>2.3455825312316499E-2</v>
      </c>
      <c r="M249" s="17"/>
      <c r="N249" s="17"/>
      <c r="O249" s="17">
        <v>1.8365909992827702E-2</v>
      </c>
      <c r="P249" s="17"/>
      <c r="Q249" s="17"/>
      <c r="R249" s="17">
        <v>1.3561509620320201E-2</v>
      </c>
      <c r="S249" s="17"/>
      <c r="T249" s="17"/>
      <c r="U249">
        <v>6.9673197962119501E-3</v>
      </c>
    </row>
    <row r="250" spans="1:21" x14ac:dyDescent="0.15">
      <c r="A250" s="5" t="s">
        <v>94</v>
      </c>
      <c r="B250" t="s">
        <v>3585</v>
      </c>
      <c r="C250" s="17">
        <v>3.0256990128081598E-2</v>
      </c>
      <c r="D250" s="17"/>
      <c r="E250" s="17"/>
      <c r="F250" s="17">
        <v>2.7634816278408102E-2</v>
      </c>
      <c r="G250" s="17"/>
      <c r="H250" s="17"/>
      <c r="I250" s="17">
        <v>2.2808013846270299E-2</v>
      </c>
      <c r="J250" s="17"/>
      <c r="K250" s="17"/>
      <c r="L250" s="17">
        <v>1.87988326787859E-2</v>
      </c>
      <c r="M250" s="17"/>
      <c r="N250" s="17"/>
      <c r="O250" s="17">
        <v>1.47194850043293E-2</v>
      </c>
      <c r="P250" s="17"/>
      <c r="Q250" s="17"/>
      <c r="R250" s="17">
        <v>1.08689652497658E-2</v>
      </c>
      <c r="S250" s="17"/>
      <c r="T250" s="17"/>
      <c r="U250">
        <v>5.5840064173655803E-3</v>
      </c>
    </row>
    <row r="251" spans="1:21" x14ac:dyDescent="0.15">
      <c r="A251" s="5" t="s">
        <v>94</v>
      </c>
      <c r="B251" t="s">
        <v>3585</v>
      </c>
      <c r="C251" s="17">
        <v>8.3008108082394706E-3</v>
      </c>
      <c r="D251" s="17"/>
      <c r="E251" s="17"/>
      <c r="F251" s="17">
        <v>7.5814342628424099E-3</v>
      </c>
      <c r="G251" s="17"/>
      <c r="H251" s="17"/>
      <c r="I251" s="17">
        <v>6.2572320329338802E-3</v>
      </c>
      <c r="J251" s="17"/>
      <c r="K251" s="17"/>
      <c r="L251" s="17">
        <v>5.1573389428952298E-3</v>
      </c>
      <c r="M251" s="17"/>
      <c r="N251" s="17"/>
      <c r="O251" s="17">
        <v>4.0381961225633197E-3</v>
      </c>
      <c r="P251" s="17"/>
      <c r="Q251" s="17"/>
      <c r="R251" s="17">
        <v>2.9818307715908901E-3</v>
      </c>
      <c r="S251" s="17"/>
      <c r="T251" s="17"/>
      <c r="U251">
        <v>1.53193627741338E-3</v>
      </c>
    </row>
    <row r="252" spans="1:21" x14ac:dyDescent="0.15">
      <c r="A252" s="5" t="s">
        <v>94</v>
      </c>
      <c r="B252" t="s">
        <v>3585</v>
      </c>
      <c r="C252" s="17">
        <v>7.3318602101546003E-3</v>
      </c>
      <c r="D252" s="17"/>
      <c r="E252" s="17"/>
      <c r="F252" s="17">
        <v>6.6964562247897198E-3</v>
      </c>
      <c r="G252" s="17"/>
      <c r="H252" s="17"/>
      <c r="I252" s="17">
        <v>5.5268276350106098E-3</v>
      </c>
      <c r="J252" s="17"/>
      <c r="K252" s="17"/>
      <c r="L252" s="17">
        <v>4.5553246615572598E-3</v>
      </c>
      <c r="M252" s="17"/>
      <c r="N252" s="17"/>
      <c r="O252" s="17">
        <v>3.5668189717604302E-3</v>
      </c>
      <c r="P252" s="17"/>
      <c r="Q252" s="17"/>
      <c r="R252" s="17">
        <v>2.6337627603728801E-3</v>
      </c>
      <c r="S252" s="17"/>
      <c r="T252" s="17"/>
      <c r="U252">
        <v>1.3531139181862299E-3</v>
      </c>
    </row>
    <row r="253" spans="1:21" x14ac:dyDescent="0.15">
      <c r="A253" s="5" t="s">
        <v>94</v>
      </c>
      <c r="B253" t="s">
        <v>3585</v>
      </c>
      <c r="C253" s="17">
        <v>1.4795594194683E-3</v>
      </c>
      <c r="D253" s="17"/>
      <c r="E253" s="17"/>
      <c r="F253" s="17">
        <v>1.3513357593373701E-3</v>
      </c>
      <c r="G253" s="17"/>
      <c r="H253" s="17"/>
      <c r="I253" s="17">
        <v>1.1153063005527801E-3</v>
      </c>
      <c r="J253" s="17"/>
      <c r="K253" s="17"/>
      <c r="L253" s="17">
        <v>9.1925832170239796E-4</v>
      </c>
      <c r="M253" s="17"/>
      <c r="N253" s="17"/>
      <c r="O253" s="17">
        <v>7.1977921781668996E-4</v>
      </c>
      <c r="P253" s="17"/>
      <c r="Q253" s="17"/>
      <c r="R253" s="17">
        <v>5.3148974326562798E-4</v>
      </c>
      <c r="S253" s="17"/>
      <c r="T253" s="17"/>
      <c r="U253">
        <v>2.7305654852684199E-4</v>
      </c>
    </row>
    <row r="254" spans="1:21" x14ac:dyDescent="0.15">
      <c r="A254" s="5" t="s">
        <v>94</v>
      </c>
      <c r="B254" t="s">
        <v>3585</v>
      </c>
      <c r="C254" s="17">
        <v>7.2868301408676997E-3</v>
      </c>
      <c r="D254" s="17"/>
      <c r="E254" s="17"/>
      <c r="F254" s="17">
        <v>6.6553286147241E-3</v>
      </c>
      <c r="G254" s="17"/>
      <c r="H254" s="17"/>
      <c r="I254" s="17">
        <v>5.4928835302121403E-3</v>
      </c>
      <c r="J254" s="17"/>
      <c r="K254" s="17"/>
      <c r="L254" s="17">
        <v>4.5273472343758097E-3</v>
      </c>
      <c r="M254" s="17"/>
      <c r="N254" s="17"/>
      <c r="O254" s="17">
        <v>3.5449126477405399E-3</v>
      </c>
      <c r="P254" s="17"/>
      <c r="Q254" s="17"/>
      <c r="R254" s="17">
        <v>2.6175869855782998E-3</v>
      </c>
      <c r="S254" s="17"/>
      <c r="T254" s="17"/>
      <c r="U254">
        <v>1.3448035014921699E-3</v>
      </c>
    </row>
    <row r="255" spans="1:21" x14ac:dyDescent="0.15">
      <c r="A255" s="5" t="s">
        <v>94</v>
      </c>
      <c r="B255" t="s">
        <v>3585</v>
      </c>
      <c r="C255" s="17">
        <v>1.4234058509188E-2</v>
      </c>
      <c r="D255" s="17"/>
      <c r="E255" s="17"/>
      <c r="F255" s="17">
        <v>1.3000486503528599E-2</v>
      </c>
      <c r="G255" s="17"/>
      <c r="H255" s="17"/>
      <c r="I255" s="17">
        <v>1.07297719367292E-2</v>
      </c>
      <c r="J255" s="17"/>
      <c r="K255" s="17"/>
      <c r="L255" s="17">
        <v>8.8436980387527099E-3</v>
      </c>
      <c r="M255" s="17"/>
      <c r="N255" s="17"/>
      <c r="O255" s="17">
        <v>6.9246151018268398E-3</v>
      </c>
      <c r="P255" s="17"/>
      <c r="Q255" s="17"/>
      <c r="R255" s="17">
        <v>5.1131816695776499E-3</v>
      </c>
      <c r="S255" s="17"/>
      <c r="T255" s="17"/>
      <c r="U255">
        <v>2.62693261041502E-3</v>
      </c>
    </row>
    <row r="256" spans="1:21" x14ac:dyDescent="0.15">
      <c r="A256" s="5" t="s">
        <v>94</v>
      </c>
      <c r="B256" t="s">
        <v>3585</v>
      </c>
      <c r="C256" s="17">
        <v>1.3037009167296099E-2</v>
      </c>
      <c r="D256" s="17"/>
      <c r="E256" s="17"/>
      <c r="F256" s="17">
        <v>1.1907177535936699E-2</v>
      </c>
      <c r="G256" s="17"/>
      <c r="H256" s="17"/>
      <c r="I256" s="17">
        <v>9.8274244841582894E-3</v>
      </c>
      <c r="J256" s="17"/>
      <c r="K256" s="17"/>
      <c r="L256" s="17">
        <v>8.0999647661695092E-3</v>
      </c>
      <c r="M256" s="17"/>
      <c r="N256" s="17"/>
      <c r="O256" s="17">
        <v>6.3422719882907097E-3</v>
      </c>
      <c r="P256" s="17"/>
      <c r="Q256" s="17"/>
      <c r="R256" s="17">
        <v>4.6831756562828097E-3</v>
      </c>
      <c r="S256" s="17"/>
      <c r="T256" s="17"/>
      <c r="U256">
        <v>2.4060140332950999E-3</v>
      </c>
    </row>
    <row r="257" spans="1:21" x14ac:dyDescent="0.15">
      <c r="A257" s="5" t="s">
        <v>94</v>
      </c>
      <c r="B257" t="s">
        <v>3585</v>
      </c>
      <c r="C257" s="17">
        <v>5.0201156262730598E-2</v>
      </c>
      <c r="D257" s="17"/>
      <c r="E257" s="17"/>
      <c r="F257" s="17">
        <v>4.5850553026312503E-2</v>
      </c>
      <c r="G257" s="17"/>
      <c r="H257" s="17"/>
      <c r="I257" s="17">
        <v>3.7842120524621298E-2</v>
      </c>
      <c r="J257" s="17"/>
      <c r="K257" s="17"/>
      <c r="L257" s="17">
        <v>3.1190251669771601E-2</v>
      </c>
      <c r="M257" s="17"/>
      <c r="N257" s="17"/>
      <c r="O257" s="17">
        <v>2.4421965426212298E-2</v>
      </c>
      <c r="P257" s="17"/>
      <c r="Q257" s="17"/>
      <c r="R257" s="17">
        <v>1.80333410761594E-2</v>
      </c>
      <c r="S257" s="17"/>
      <c r="T257" s="17"/>
      <c r="U257">
        <v>9.2647542780566004E-3</v>
      </c>
    </row>
    <row r="258" spans="1:21" x14ac:dyDescent="0.15">
      <c r="A258" s="5" t="s">
        <v>94</v>
      </c>
      <c r="B258" t="s">
        <v>3585</v>
      </c>
      <c r="C258" s="17">
        <v>2.24399845286259E-3</v>
      </c>
      <c r="D258" s="17"/>
      <c r="E258" s="17"/>
      <c r="F258" s="17">
        <v>2.04952590166382E-3</v>
      </c>
      <c r="G258" s="17"/>
      <c r="H258" s="17"/>
      <c r="I258" s="17">
        <v>1.6915478891734699E-3</v>
      </c>
      <c r="J258" s="17"/>
      <c r="K258" s="17"/>
      <c r="L258" s="17">
        <v>1.39420845458342E-3</v>
      </c>
      <c r="M258" s="17"/>
      <c r="N258" s="17"/>
      <c r="O258" s="17">
        <v>1.09166514702311E-3</v>
      </c>
      <c r="P258" s="17"/>
      <c r="Q258" s="17"/>
      <c r="R258" s="17">
        <v>8.0609277728703997E-4</v>
      </c>
      <c r="S258" s="17"/>
      <c r="T258" s="17"/>
      <c r="U258">
        <v>4.1413576526614098E-4</v>
      </c>
    </row>
    <row r="259" spans="1:21" x14ac:dyDescent="0.15">
      <c r="A259" s="5" t="s">
        <v>94</v>
      </c>
      <c r="B259" t="s">
        <v>3585</v>
      </c>
      <c r="C259" s="17">
        <v>2.7437786147337401E-2</v>
      </c>
      <c r="D259" s="17"/>
      <c r="E259" s="17"/>
      <c r="F259" s="17">
        <v>2.5059934119626801E-2</v>
      </c>
      <c r="G259" s="17"/>
      <c r="H259" s="17"/>
      <c r="I259" s="17">
        <v>2.0682870427969902E-2</v>
      </c>
      <c r="J259" s="17"/>
      <c r="K259" s="17"/>
      <c r="L259" s="17">
        <v>1.7047245898441001E-2</v>
      </c>
      <c r="M259" s="17"/>
      <c r="N259" s="17"/>
      <c r="O259" s="17">
        <v>1.33479926469254E-2</v>
      </c>
      <c r="P259" s="17"/>
      <c r="Q259" s="17"/>
      <c r="R259" s="17">
        <v>9.85624620636469E-3</v>
      </c>
      <c r="S259" s="17"/>
      <c r="T259" s="17"/>
      <c r="U259">
        <v>5.0637149721921597E-3</v>
      </c>
    </row>
    <row r="260" spans="1:21" x14ac:dyDescent="0.15">
      <c r="A260" s="5" t="s">
        <v>94</v>
      </c>
      <c r="B260" t="s">
        <v>3585</v>
      </c>
      <c r="C260" s="17">
        <v>5.9182376778604802E-3</v>
      </c>
      <c r="D260" s="17"/>
      <c r="E260" s="17"/>
      <c r="F260" s="17">
        <v>5.4053430373378897E-3</v>
      </c>
      <c r="G260" s="17"/>
      <c r="H260" s="17"/>
      <c r="I260" s="17">
        <v>4.4612252022015299E-3</v>
      </c>
      <c r="J260" s="17"/>
      <c r="K260" s="17"/>
      <c r="L260" s="17">
        <v>3.6770332868016802E-3</v>
      </c>
      <c r="M260" s="17"/>
      <c r="N260" s="17"/>
      <c r="O260" s="17">
        <v>2.8791168712605699E-3</v>
      </c>
      <c r="P260" s="17"/>
      <c r="Q260" s="17"/>
      <c r="R260" s="17">
        <v>2.1259589730579401E-3</v>
      </c>
      <c r="S260" s="17"/>
      <c r="T260" s="17"/>
      <c r="U260">
        <v>1.09222619410502E-3</v>
      </c>
    </row>
    <row r="261" spans="1:21" x14ac:dyDescent="0.15">
      <c r="A261" s="5" t="s">
        <v>94</v>
      </c>
      <c r="B261" t="s">
        <v>338</v>
      </c>
      <c r="C261" s="17">
        <v>3.2805436397785701E-4</v>
      </c>
      <c r="D261" s="17"/>
      <c r="E261" s="17"/>
      <c r="F261" s="17">
        <v>3.6154727670987798E-4</v>
      </c>
      <c r="G261" s="17"/>
      <c r="H261" s="17"/>
      <c r="I261" s="17">
        <v>3.2491961836023201E-4</v>
      </c>
      <c r="J261" s="17"/>
      <c r="K261" s="17"/>
      <c r="L261" s="17">
        <v>2.9773162397837898E-4</v>
      </c>
      <c r="M261" s="17"/>
      <c r="N261" s="17"/>
      <c r="O261" s="17">
        <v>2.9211378807379599E-4</v>
      </c>
      <c r="P261" s="17"/>
      <c r="Q261" s="17"/>
      <c r="R261" s="17">
        <v>2.9436293111733102E-4</v>
      </c>
      <c r="S261" s="17"/>
      <c r="T261" s="17"/>
      <c r="U261">
        <v>3.1278367537156099E-4</v>
      </c>
    </row>
    <row r="262" spans="1:21" x14ac:dyDescent="0.15">
      <c r="A262" s="5" t="s">
        <v>94</v>
      </c>
      <c r="B262" t="s">
        <v>338</v>
      </c>
      <c r="C262" s="17">
        <v>1.224736292184E-2</v>
      </c>
      <c r="D262" s="17"/>
      <c r="E262" s="17"/>
      <c r="F262" s="17">
        <v>1.3497764997168701E-2</v>
      </c>
      <c r="G262" s="17"/>
      <c r="H262" s="17"/>
      <c r="I262" s="17">
        <v>1.2130332418781999E-2</v>
      </c>
      <c r="J262" s="17"/>
      <c r="K262" s="17"/>
      <c r="L262" s="17">
        <v>1.1115313961859399E-2</v>
      </c>
      <c r="M262" s="17"/>
      <c r="N262" s="17"/>
      <c r="O262" s="17">
        <v>1.0905581421421701E-2</v>
      </c>
      <c r="P262" s="17"/>
      <c r="Q262" s="17"/>
      <c r="R262" s="17">
        <v>1.0989549428380299E-2</v>
      </c>
      <c r="S262" s="17"/>
      <c r="T262" s="17"/>
      <c r="U262">
        <v>1.1677257213871599E-2</v>
      </c>
    </row>
    <row r="263" spans="1:21" x14ac:dyDescent="0.15">
      <c r="A263" s="5" t="s">
        <v>94</v>
      </c>
      <c r="B263" t="s">
        <v>338</v>
      </c>
      <c r="C263" s="17">
        <v>4.4895801690703497E-3</v>
      </c>
      <c r="D263" s="17"/>
      <c r="E263" s="17"/>
      <c r="F263" s="17">
        <v>4.9479466269426601E-3</v>
      </c>
      <c r="G263" s="17"/>
      <c r="H263" s="17"/>
      <c r="I263" s="17">
        <v>4.4466796827322998E-3</v>
      </c>
      <c r="J263" s="17"/>
      <c r="K263" s="17"/>
      <c r="L263" s="17">
        <v>4.0745990344718003E-3</v>
      </c>
      <c r="M263" s="17"/>
      <c r="N263" s="17"/>
      <c r="O263" s="17">
        <v>3.9977162752715401E-3</v>
      </c>
      <c r="P263" s="17"/>
      <c r="Q263" s="17"/>
      <c r="R263" s="17">
        <v>4.0284968687171402E-3</v>
      </c>
      <c r="S263" s="17"/>
      <c r="T263" s="17"/>
      <c r="U263">
        <v>4.28059352458998E-3</v>
      </c>
    </row>
    <row r="264" spans="1:21" x14ac:dyDescent="0.15">
      <c r="A264" s="5" t="s">
        <v>94</v>
      </c>
      <c r="B264" t="s">
        <v>338</v>
      </c>
      <c r="C264" s="17">
        <v>4.1553552770528602E-4</v>
      </c>
      <c r="D264" s="17"/>
      <c r="E264" s="17"/>
      <c r="F264" s="17">
        <v>4.5795988383251198E-4</v>
      </c>
      <c r="G264" s="17"/>
      <c r="H264" s="17"/>
      <c r="I264" s="17">
        <v>4.1156484992296101E-4</v>
      </c>
      <c r="J264" s="17"/>
      <c r="K264" s="17"/>
      <c r="L264" s="17">
        <v>3.7712672370594601E-4</v>
      </c>
      <c r="M264" s="17"/>
      <c r="N264" s="17"/>
      <c r="O264" s="17">
        <v>3.7001079822680902E-4</v>
      </c>
      <c r="P264" s="17"/>
      <c r="Q264" s="17"/>
      <c r="R264" s="17">
        <v>3.7285971274861898E-4</v>
      </c>
      <c r="S264" s="17"/>
      <c r="T264" s="17"/>
      <c r="U264">
        <v>3.9619265547064501E-4</v>
      </c>
    </row>
    <row r="265" spans="1:21" x14ac:dyDescent="0.15">
      <c r="A265" s="5" t="s">
        <v>94</v>
      </c>
      <c r="B265" t="s">
        <v>338</v>
      </c>
      <c r="C265" s="17">
        <v>1.0285189091057099E-2</v>
      </c>
      <c r="D265" s="17"/>
      <c r="E265" s="17"/>
      <c r="F265" s="17">
        <v>1.13352618182785E-2</v>
      </c>
      <c r="G265" s="17"/>
      <c r="H265" s="17"/>
      <c r="I265" s="17">
        <v>1.01869082724797E-2</v>
      </c>
      <c r="J265" s="17"/>
      <c r="K265" s="17"/>
      <c r="L265" s="17">
        <v>9.3345078964163393E-3</v>
      </c>
      <c r="M265" s="17"/>
      <c r="N265" s="17"/>
      <c r="O265" s="17">
        <v>9.1583770141426303E-3</v>
      </c>
      <c r="P265" s="17"/>
      <c r="Q265" s="17"/>
      <c r="R265" s="17">
        <v>9.2288923434163794E-3</v>
      </c>
      <c r="S265" s="17"/>
      <c r="T265" s="17"/>
      <c r="U265">
        <v>9.8064211272296496E-3</v>
      </c>
    </row>
    <row r="266" spans="1:21" x14ac:dyDescent="0.15">
      <c r="A266" s="5" t="s">
        <v>94</v>
      </c>
      <c r="B266" t="s">
        <v>338</v>
      </c>
      <c r="C266" s="17">
        <v>1.23982679292698E-3</v>
      </c>
      <c r="D266" s="17"/>
      <c r="E266" s="17"/>
      <c r="F266" s="17">
        <v>1.3664076744455301E-3</v>
      </c>
      <c r="G266" s="17"/>
      <c r="H266" s="17"/>
      <c r="I266" s="17">
        <v>1.2279795443227699E-3</v>
      </c>
      <c r="J266" s="17"/>
      <c r="K266" s="17"/>
      <c r="L266" s="17">
        <v>1.1252270508889501E-3</v>
      </c>
      <c r="M266" s="17"/>
      <c r="N266" s="17"/>
      <c r="O266" s="17">
        <v>1.10399537639356E-3</v>
      </c>
      <c r="P266" s="17"/>
      <c r="Q266" s="17"/>
      <c r="R266" s="17">
        <v>1.1124956376694301E-3</v>
      </c>
      <c r="S266" s="17"/>
      <c r="T266" s="17"/>
      <c r="U266">
        <v>1.1821137704542499E-3</v>
      </c>
    </row>
    <row r="267" spans="1:21" x14ac:dyDescent="0.15">
      <c r="A267" s="5" t="s">
        <v>94</v>
      </c>
      <c r="B267" t="s">
        <v>338</v>
      </c>
      <c r="C267" s="17">
        <v>1.2621222878878601E-3</v>
      </c>
      <c r="D267" s="17"/>
      <c r="E267" s="17"/>
      <c r="F267" s="17">
        <v>1.39097944172295E-3</v>
      </c>
      <c r="G267" s="17"/>
      <c r="H267" s="17"/>
      <c r="I267" s="17">
        <v>1.25006199317668E-3</v>
      </c>
      <c r="J267" s="17"/>
      <c r="K267" s="17"/>
      <c r="L267" s="17">
        <v>1.14546172736639E-3</v>
      </c>
      <c r="M267" s="17"/>
      <c r="N267" s="17"/>
      <c r="O267" s="17">
        <v>1.1238482489816101E-3</v>
      </c>
      <c r="P267" s="17"/>
      <c r="Q267" s="17"/>
      <c r="R267" s="17">
        <v>1.1325013683288799E-3</v>
      </c>
      <c r="S267" s="17"/>
      <c r="T267" s="17"/>
      <c r="U267">
        <v>1.2033714265742099E-3</v>
      </c>
    </row>
    <row r="268" spans="1:21" x14ac:dyDescent="0.15">
      <c r="A268" s="5" t="s">
        <v>94</v>
      </c>
      <c r="B268" t="s">
        <v>338</v>
      </c>
      <c r="C268" s="17">
        <v>7.5233800805588596E-3</v>
      </c>
      <c r="D268" s="17"/>
      <c r="E268" s="17"/>
      <c r="F268" s="17">
        <v>8.2914842125465394E-3</v>
      </c>
      <c r="G268" s="17"/>
      <c r="H268" s="17"/>
      <c r="I268" s="17">
        <v>7.4514899143946602E-3</v>
      </c>
      <c r="J268" s="17"/>
      <c r="K268" s="17"/>
      <c r="L268" s="17">
        <v>6.8279785765708199E-3</v>
      </c>
      <c r="M268" s="17"/>
      <c r="N268" s="17"/>
      <c r="O268" s="17">
        <v>6.6991428731590598E-3</v>
      </c>
      <c r="P268" s="17"/>
      <c r="Q268" s="17"/>
      <c r="R268" s="17">
        <v>6.7507232202907901E-3</v>
      </c>
      <c r="S268" s="17"/>
      <c r="T268" s="17"/>
      <c r="U268">
        <v>7.1731722885211499E-3</v>
      </c>
    </row>
    <row r="269" spans="1:21" x14ac:dyDescent="0.15">
      <c r="A269" s="5" t="s">
        <v>94</v>
      </c>
      <c r="B269" t="s">
        <v>338</v>
      </c>
      <c r="C269" s="17">
        <v>2.7119160755502799E-2</v>
      </c>
      <c r="D269" s="17"/>
      <c r="E269" s="17"/>
      <c r="F269" s="17">
        <v>2.9887908208016602E-2</v>
      </c>
      <c r="G269" s="17"/>
      <c r="H269" s="17"/>
      <c r="I269" s="17">
        <v>2.6860021784445801E-2</v>
      </c>
      <c r="J269" s="17"/>
      <c r="K269" s="17"/>
      <c r="L269" s="17">
        <v>2.4612480915545999E-2</v>
      </c>
      <c r="M269" s="17"/>
      <c r="N269" s="17"/>
      <c r="O269" s="17">
        <v>2.41480731474338E-2</v>
      </c>
      <c r="P269" s="17"/>
      <c r="Q269" s="17"/>
      <c r="R269" s="17">
        <v>2.43340023056993E-2</v>
      </c>
      <c r="S269" s="17"/>
      <c r="T269" s="17"/>
      <c r="U269">
        <v>2.5856783830715699E-2</v>
      </c>
    </row>
    <row r="270" spans="1:21" x14ac:dyDescent="0.15">
      <c r="A270" s="5" t="s">
        <v>94</v>
      </c>
      <c r="B270" t="s">
        <v>338</v>
      </c>
      <c r="C270" s="17">
        <v>5.9909733431715998E-3</v>
      </c>
      <c r="D270" s="17"/>
      <c r="E270" s="17"/>
      <c r="F270" s="17">
        <v>6.60262546366055E-3</v>
      </c>
      <c r="G270" s="17"/>
      <c r="H270" s="17"/>
      <c r="I270" s="17">
        <v>5.9337261930191201E-3</v>
      </c>
      <c r="J270" s="17"/>
      <c r="K270" s="17"/>
      <c r="L270" s="17">
        <v>5.4372153476185802E-3</v>
      </c>
      <c r="M270" s="17"/>
      <c r="N270" s="17"/>
      <c r="O270" s="17">
        <v>5.3346216654539397E-3</v>
      </c>
      <c r="P270" s="17"/>
      <c r="Q270" s="17"/>
      <c r="R270" s="17">
        <v>5.3756958211377999E-3</v>
      </c>
      <c r="S270" s="17"/>
      <c r="T270" s="17"/>
      <c r="U270">
        <v>5.71209795415721E-3</v>
      </c>
    </row>
    <row r="271" spans="1:21" x14ac:dyDescent="0.15">
      <c r="A271" s="5" t="s">
        <v>94</v>
      </c>
      <c r="B271" t="s">
        <v>338</v>
      </c>
      <c r="C271" s="17">
        <v>1.7277529836167099E-3</v>
      </c>
      <c r="D271" s="17"/>
      <c r="E271" s="17"/>
      <c r="F271" s="17">
        <v>1.9041489906720199E-3</v>
      </c>
      <c r="G271" s="17"/>
      <c r="H271" s="17"/>
      <c r="I271" s="17">
        <v>1.71124332336389E-3</v>
      </c>
      <c r="J271" s="17"/>
      <c r="K271" s="17"/>
      <c r="L271" s="17">
        <v>1.56805321961946E-3</v>
      </c>
      <c r="M271" s="17"/>
      <c r="N271" s="17"/>
      <c r="O271" s="17">
        <v>1.53846595052199E-3</v>
      </c>
      <c r="P271" s="17"/>
      <c r="Q271" s="17"/>
      <c r="R271" s="17">
        <v>1.55031143721794E-3</v>
      </c>
      <c r="S271" s="17"/>
      <c r="T271" s="17"/>
      <c r="U271">
        <v>1.6473273569568899E-3</v>
      </c>
    </row>
    <row r="272" spans="1:21" x14ac:dyDescent="0.15">
      <c r="A272" s="5" t="s">
        <v>94</v>
      </c>
      <c r="B272" t="s">
        <v>338</v>
      </c>
      <c r="C272" s="17">
        <v>3.0618407304599999E-3</v>
      </c>
      <c r="D272" s="17"/>
      <c r="E272" s="17"/>
      <c r="F272" s="17">
        <v>3.3744412492921899E-3</v>
      </c>
      <c r="G272" s="17"/>
      <c r="H272" s="17"/>
      <c r="I272" s="17">
        <v>3.0325831046954998E-3</v>
      </c>
      <c r="J272" s="17"/>
      <c r="K272" s="17"/>
      <c r="L272" s="17">
        <v>2.7788284904648698E-3</v>
      </c>
      <c r="M272" s="17"/>
      <c r="N272" s="17"/>
      <c r="O272" s="17">
        <v>2.7263953553554299E-3</v>
      </c>
      <c r="P272" s="17"/>
      <c r="Q272" s="17"/>
      <c r="R272" s="17">
        <v>2.74738735709509E-3</v>
      </c>
      <c r="S272" s="17"/>
      <c r="T272" s="17"/>
      <c r="U272">
        <v>2.9193143034679102E-3</v>
      </c>
    </row>
    <row r="273" spans="1:21" x14ac:dyDescent="0.15">
      <c r="A273" s="5" t="s">
        <v>94</v>
      </c>
      <c r="B273" t="s">
        <v>338</v>
      </c>
      <c r="C273" s="17">
        <v>6.3423843702385696E-4</v>
      </c>
      <c r="D273" s="17"/>
      <c r="E273" s="17"/>
      <c r="F273" s="17">
        <v>6.98991401639098E-4</v>
      </c>
      <c r="G273" s="17"/>
      <c r="H273" s="17"/>
      <c r="I273" s="17">
        <v>6.28177928829783E-4</v>
      </c>
      <c r="J273" s="17"/>
      <c r="K273" s="17"/>
      <c r="L273" s="17">
        <v>5.7561447302486603E-4</v>
      </c>
      <c r="M273" s="17"/>
      <c r="N273" s="17"/>
      <c r="O273" s="17">
        <v>5.6475332360934004E-4</v>
      </c>
      <c r="P273" s="17"/>
      <c r="Q273" s="17"/>
      <c r="R273" s="17">
        <v>5.6910166682683997E-4</v>
      </c>
      <c r="S273" s="17"/>
      <c r="T273" s="17"/>
      <c r="U273">
        <v>6.0471510571835196E-4</v>
      </c>
    </row>
    <row r="274" spans="1:21" x14ac:dyDescent="0.15">
      <c r="A274" s="5" t="s">
        <v>94</v>
      </c>
      <c r="B274" t="s">
        <v>338</v>
      </c>
      <c r="C274" s="17">
        <v>2.6618209075310998E-3</v>
      </c>
      <c r="D274" s="17"/>
      <c r="E274" s="17"/>
      <c r="F274" s="17">
        <v>2.9335811556899199E-3</v>
      </c>
      <c r="G274" s="17"/>
      <c r="H274" s="17"/>
      <c r="I274" s="17">
        <v>2.63638569818467E-3</v>
      </c>
      <c r="J274" s="17"/>
      <c r="K274" s="17"/>
      <c r="L274" s="17">
        <v>2.41578332301145E-3</v>
      </c>
      <c r="M274" s="17"/>
      <c r="N274" s="17"/>
      <c r="O274" s="17">
        <v>2.3702004114336999E-3</v>
      </c>
      <c r="P274" s="17"/>
      <c r="Q274" s="17"/>
      <c r="R274" s="17">
        <v>2.3884498744334202E-3</v>
      </c>
      <c r="S274" s="17"/>
      <c r="T274" s="17"/>
      <c r="U274">
        <v>2.5379151081637102E-3</v>
      </c>
    </row>
    <row r="275" spans="1:21" x14ac:dyDescent="0.15">
      <c r="A275" s="5" t="s">
        <v>94</v>
      </c>
      <c r="B275" t="s">
        <v>338</v>
      </c>
      <c r="C275" s="17">
        <v>3.9366523677342798E-4</v>
      </c>
      <c r="D275" s="17"/>
      <c r="E275" s="17"/>
      <c r="F275" s="17">
        <v>4.3385673205185402E-4</v>
      </c>
      <c r="G275" s="17"/>
      <c r="H275" s="17"/>
      <c r="I275" s="17">
        <v>3.8990354203227902E-4</v>
      </c>
      <c r="J275" s="17"/>
      <c r="K275" s="17"/>
      <c r="L275" s="17">
        <v>3.5727794877405398E-4</v>
      </c>
      <c r="M275" s="17"/>
      <c r="N275" s="17"/>
      <c r="O275" s="17">
        <v>3.5053654568855498E-4</v>
      </c>
      <c r="P275" s="17"/>
      <c r="Q275" s="17"/>
      <c r="R275" s="17">
        <v>3.5323551734079702E-4</v>
      </c>
      <c r="S275" s="17"/>
      <c r="T275" s="17"/>
      <c r="U275">
        <v>3.7534041044587401E-4</v>
      </c>
    </row>
    <row r="276" spans="1:21" x14ac:dyDescent="0.15">
      <c r="A276" s="5" t="s">
        <v>94</v>
      </c>
      <c r="B276" t="s">
        <v>338</v>
      </c>
      <c r="C276" s="17">
        <v>4.5927610956900001E-3</v>
      </c>
      <c r="D276" s="17"/>
      <c r="E276" s="17"/>
      <c r="F276" s="17">
        <v>5.0616618739382901E-3</v>
      </c>
      <c r="G276" s="17"/>
      <c r="H276" s="17"/>
      <c r="I276" s="17">
        <v>4.5488746570432502E-3</v>
      </c>
      <c r="J276" s="17"/>
      <c r="K276" s="17"/>
      <c r="L276" s="17">
        <v>4.1682427356972999E-3</v>
      </c>
      <c r="M276" s="17"/>
      <c r="N276" s="17"/>
      <c r="O276" s="17">
        <v>4.0895930330331499E-3</v>
      </c>
      <c r="P276" s="17"/>
      <c r="Q276" s="17"/>
      <c r="R276" s="17">
        <v>4.1210810356426299E-3</v>
      </c>
      <c r="S276" s="17"/>
      <c r="T276" s="17"/>
      <c r="U276">
        <v>4.3789714552018603E-3</v>
      </c>
    </row>
    <row r="277" spans="1:21" x14ac:dyDescent="0.15">
      <c r="A277" s="5" t="s">
        <v>94</v>
      </c>
      <c r="B277" t="s">
        <v>338</v>
      </c>
      <c r="C277" s="17">
        <v>1.00165932467905E-2</v>
      </c>
      <c r="D277" s="17"/>
      <c r="E277" s="17"/>
      <c r="F277" s="17">
        <v>1.10392435155416E-2</v>
      </c>
      <c r="G277" s="17"/>
      <c r="H277" s="17"/>
      <c r="I277" s="17">
        <v>9.9208790139324304E-3</v>
      </c>
      <c r="J277" s="17"/>
      <c r="K277" s="17"/>
      <c r="L277" s="17">
        <v>9.0907389188065093E-3</v>
      </c>
      <c r="M277" s="17"/>
      <c r="N277" s="17"/>
      <c r="O277" s="17">
        <v>8.9192076625199193E-3</v>
      </c>
      <c r="P277" s="17"/>
      <c r="Q277" s="17"/>
      <c r="R277" s="17">
        <v>8.9878814967825106E-3</v>
      </c>
      <c r="S277" s="17"/>
      <c r="T277" s="17"/>
      <c r="U277">
        <v>9.5503282213450207E-3</v>
      </c>
    </row>
    <row r="278" spans="1:21" x14ac:dyDescent="0.15">
      <c r="A278" s="5" t="s">
        <v>94</v>
      </c>
      <c r="B278" t="s">
        <v>338</v>
      </c>
      <c r="C278" s="17">
        <v>8.3722340850141E-4</v>
      </c>
      <c r="D278" s="17"/>
      <c r="E278" s="17"/>
      <c r="F278" s="17">
        <v>9.2270024904127798E-4</v>
      </c>
      <c r="G278" s="17"/>
      <c r="H278" s="17"/>
      <c r="I278" s="17">
        <v>8.2922326371153701E-4</v>
      </c>
      <c r="J278" s="17"/>
      <c r="K278" s="17"/>
      <c r="L278" s="17">
        <v>7.5983712584498197E-4</v>
      </c>
      <c r="M278" s="17"/>
      <c r="N278" s="17"/>
      <c r="O278" s="17">
        <v>7.4549991762313497E-4</v>
      </c>
      <c r="P278" s="17"/>
      <c r="Q278" s="17"/>
      <c r="R278" s="17">
        <v>7.5123992724313298E-4</v>
      </c>
      <c r="S278" s="17"/>
      <c r="T278" s="17"/>
      <c r="U278">
        <v>7.9825127653492499E-4</v>
      </c>
    </row>
    <row r="279" spans="1:21" x14ac:dyDescent="0.15">
      <c r="A279" s="5" t="s">
        <v>94</v>
      </c>
      <c r="B279" t="s">
        <v>338</v>
      </c>
      <c r="C279" s="17">
        <v>9.6165734238616799E-3</v>
      </c>
      <c r="D279" s="17"/>
      <c r="E279" s="17"/>
      <c r="F279" s="17">
        <v>1.0598383421939301E-2</v>
      </c>
      <c r="G279" s="17"/>
      <c r="H279" s="17"/>
      <c r="I279" s="17">
        <v>9.5246816074215992E-3</v>
      </c>
      <c r="J279" s="17"/>
      <c r="K279" s="17"/>
      <c r="L279" s="17">
        <v>8.7276937513530908E-3</v>
      </c>
      <c r="M279" s="17"/>
      <c r="N279" s="17"/>
      <c r="O279" s="17">
        <v>8.5630127185981897E-3</v>
      </c>
      <c r="P279" s="17"/>
      <c r="Q279" s="17"/>
      <c r="R279" s="17">
        <v>8.6289440141208394E-3</v>
      </c>
      <c r="S279" s="17"/>
      <c r="T279" s="17"/>
      <c r="U279">
        <v>9.1689290260408198E-3</v>
      </c>
    </row>
    <row r="280" spans="1:21" x14ac:dyDescent="0.15">
      <c r="A280" s="5" t="s">
        <v>94</v>
      </c>
      <c r="B280" t="s">
        <v>338</v>
      </c>
      <c r="C280" s="17">
        <v>5.2488698236457197E-4</v>
      </c>
      <c r="D280" s="17"/>
      <c r="E280" s="17"/>
      <c r="F280" s="17">
        <v>5.7847564273580496E-4</v>
      </c>
      <c r="G280" s="17"/>
      <c r="H280" s="17"/>
      <c r="I280" s="17">
        <v>5.1987138937637195E-4</v>
      </c>
      <c r="J280" s="17"/>
      <c r="K280" s="17"/>
      <c r="L280" s="17">
        <v>4.7637059836540599E-4</v>
      </c>
      <c r="M280" s="17"/>
      <c r="N280" s="17"/>
      <c r="O280" s="17">
        <v>4.6738206091807399E-4</v>
      </c>
      <c r="P280" s="17"/>
      <c r="Q280" s="17"/>
      <c r="R280" s="17">
        <v>4.7098068978772902E-4</v>
      </c>
      <c r="S280" s="17"/>
      <c r="T280" s="17"/>
      <c r="U280">
        <v>5.0045388059449802E-4</v>
      </c>
    </row>
    <row r="281" spans="1:21" x14ac:dyDescent="0.15">
      <c r="A281" s="5" t="s">
        <v>94</v>
      </c>
      <c r="B281" t="s">
        <v>338</v>
      </c>
      <c r="C281" s="17">
        <v>6.8357670729584697E-4</v>
      </c>
      <c r="D281" s="17"/>
      <c r="E281" s="17"/>
      <c r="F281" s="17">
        <v>7.5336689306105501E-4</v>
      </c>
      <c r="G281" s="17"/>
      <c r="H281" s="17"/>
      <c r="I281" s="17">
        <v>6.7704474393000995E-4</v>
      </c>
      <c r="J281" s="17"/>
      <c r="K281" s="17"/>
      <c r="L281" s="17">
        <v>6.2039230543728602E-4</v>
      </c>
      <c r="M281" s="17"/>
      <c r="N281" s="17"/>
      <c r="O281" s="17">
        <v>6.0868625244284299E-4</v>
      </c>
      <c r="P281" s="17"/>
      <c r="Q281" s="17"/>
      <c r="R281" s="17">
        <v>6.1337285919086596E-4</v>
      </c>
      <c r="S281" s="17"/>
      <c r="T281" s="17"/>
      <c r="U281">
        <v>6.5175671591071003E-4</v>
      </c>
    </row>
    <row r="282" spans="1:21" x14ac:dyDescent="0.15">
      <c r="A282" s="5" t="s">
        <v>94</v>
      </c>
      <c r="B282" t="s">
        <v>338</v>
      </c>
      <c r="C282" s="17">
        <v>3.1930624760511399E-3</v>
      </c>
      <c r="D282" s="17"/>
      <c r="E282" s="17"/>
      <c r="F282" s="17">
        <v>3.51906015997615E-3</v>
      </c>
      <c r="G282" s="17"/>
      <c r="H282" s="17"/>
      <c r="I282" s="17">
        <v>3.16255095203959E-3</v>
      </c>
      <c r="J282" s="17"/>
      <c r="K282" s="17"/>
      <c r="L282" s="17">
        <v>2.89792114005622E-3</v>
      </c>
      <c r="M282" s="17"/>
      <c r="N282" s="17"/>
      <c r="O282" s="17">
        <v>2.84324087058495E-3</v>
      </c>
      <c r="P282" s="17"/>
      <c r="Q282" s="17"/>
      <c r="R282" s="17">
        <v>2.8651325295420199E-3</v>
      </c>
      <c r="S282" s="17"/>
      <c r="T282" s="17"/>
      <c r="U282">
        <v>3.0444277736165299E-3</v>
      </c>
    </row>
    <row r="283" spans="1:21" x14ac:dyDescent="0.15">
      <c r="A283" s="5" t="s">
        <v>94</v>
      </c>
      <c r="B283" t="s">
        <v>338</v>
      </c>
      <c r="C283" s="17">
        <v>3.3789599489719303E-2</v>
      </c>
      <c r="D283" s="17"/>
      <c r="E283" s="17"/>
      <c r="F283" s="17">
        <v>3.7239369501117399E-2</v>
      </c>
      <c r="G283" s="17"/>
      <c r="H283" s="17"/>
      <c r="I283" s="17">
        <v>3.3466720691103902E-2</v>
      </c>
      <c r="J283" s="17"/>
      <c r="K283" s="17"/>
      <c r="L283" s="17">
        <v>3.0666357269773001E-2</v>
      </c>
      <c r="M283" s="17"/>
      <c r="N283" s="17"/>
      <c r="O283" s="17">
        <v>3.0087720171600999E-2</v>
      </c>
      <c r="P283" s="17"/>
      <c r="Q283" s="17"/>
      <c r="R283" s="17">
        <v>3.03193819050851E-2</v>
      </c>
      <c r="S283" s="17"/>
      <c r="T283" s="17"/>
      <c r="U283">
        <v>3.2216718563270803E-2</v>
      </c>
    </row>
    <row r="284" spans="1:21" x14ac:dyDescent="0.15">
      <c r="A284" s="5" t="s">
        <v>94</v>
      </c>
      <c r="B284" t="s">
        <v>338</v>
      </c>
      <c r="C284" s="17">
        <v>3.0043425154128701E-2</v>
      </c>
      <c r="D284" s="17"/>
      <c r="E284" s="17"/>
      <c r="F284" s="17">
        <v>3.3110727184977998E-2</v>
      </c>
      <c r="G284" s="17"/>
      <c r="H284" s="17"/>
      <c r="I284" s="17">
        <v>2.9756343177232102E-2</v>
      </c>
      <c r="J284" s="17"/>
      <c r="K284" s="17"/>
      <c r="L284" s="17">
        <v>2.7266449537660699E-2</v>
      </c>
      <c r="M284" s="17"/>
      <c r="N284" s="17"/>
      <c r="O284" s="17">
        <v>2.6751964589248601E-2</v>
      </c>
      <c r="P284" s="17"/>
      <c r="Q284" s="17"/>
      <c r="R284" s="17">
        <v>2.6957942524948101E-2</v>
      </c>
      <c r="S284" s="17"/>
      <c r="T284" s="17"/>
      <c r="U284">
        <v>2.86449258790933E-2</v>
      </c>
    </row>
    <row r="285" spans="1:21" x14ac:dyDescent="0.15">
      <c r="A285" s="5" t="s">
        <v>94</v>
      </c>
      <c r="B285" t="s">
        <v>338</v>
      </c>
      <c r="C285" s="17">
        <v>1.1460032448293101E-2</v>
      </c>
      <c r="D285" s="17"/>
      <c r="E285" s="17"/>
      <c r="F285" s="17">
        <v>1.2630051533065E-2</v>
      </c>
      <c r="G285" s="17"/>
      <c r="H285" s="17"/>
      <c r="I285" s="17">
        <v>1.13505253347174E-2</v>
      </c>
      <c r="J285" s="17"/>
      <c r="K285" s="17"/>
      <c r="L285" s="17">
        <v>1.0400758064311301E-2</v>
      </c>
      <c r="M285" s="17"/>
      <c r="N285" s="17"/>
      <c r="O285" s="17">
        <v>1.02045083300446E-2</v>
      </c>
      <c r="P285" s="17"/>
      <c r="Q285" s="17"/>
      <c r="R285" s="17">
        <v>1.02830783936987E-2</v>
      </c>
      <c r="S285" s="17"/>
      <c r="T285" s="17"/>
      <c r="U285">
        <v>1.09265763929798E-2</v>
      </c>
    </row>
    <row r="286" spans="1:21" x14ac:dyDescent="0.15">
      <c r="A286" s="5" t="s">
        <v>94</v>
      </c>
      <c r="B286" t="s">
        <v>338</v>
      </c>
      <c r="C286" s="17">
        <v>1.7714935654804299E-3</v>
      </c>
      <c r="D286" s="17"/>
      <c r="E286" s="17"/>
      <c r="F286" s="17">
        <v>1.95235529423334E-3</v>
      </c>
      <c r="G286" s="17"/>
      <c r="H286" s="17"/>
      <c r="I286" s="17">
        <v>1.7545659391452501E-3</v>
      </c>
      <c r="J286" s="17"/>
      <c r="K286" s="17"/>
      <c r="L286" s="17">
        <v>1.60775076948324E-3</v>
      </c>
      <c r="M286" s="17"/>
      <c r="N286" s="17"/>
      <c r="O286" s="17">
        <v>1.5774144555985E-3</v>
      </c>
      <c r="P286" s="17"/>
      <c r="Q286" s="17"/>
      <c r="R286" s="17">
        <v>1.58955982803358E-3</v>
      </c>
      <c r="S286" s="17"/>
      <c r="T286" s="17"/>
      <c r="U286">
        <v>1.68903184700643E-3</v>
      </c>
    </row>
    <row r="287" spans="1:21" x14ac:dyDescent="0.15">
      <c r="A287" s="5" t="s">
        <v>94</v>
      </c>
      <c r="B287" t="s">
        <v>3586</v>
      </c>
      <c r="C287" s="17">
        <v>2.95726817091121E-3</v>
      </c>
      <c r="D287" s="17"/>
      <c r="E287" s="17"/>
      <c r="F287" s="17">
        <v>2.7009812358456502E-3</v>
      </c>
      <c r="G287" s="17"/>
      <c r="H287" s="17"/>
      <c r="I287" s="17">
        <v>2.2292175495234601E-3</v>
      </c>
      <c r="J287" s="17"/>
      <c r="K287" s="17"/>
      <c r="L287" s="17">
        <v>1.837366813286E-3</v>
      </c>
      <c r="M287" s="17"/>
      <c r="N287" s="17"/>
      <c r="O287" s="17">
        <v>1.4386581187105E-3</v>
      </c>
      <c r="P287" s="17"/>
      <c r="Q287" s="17"/>
      <c r="R287" s="17">
        <v>1.06231468655043E-3</v>
      </c>
      <c r="S287" s="17"/>
      <c r="T287" s="17"/>
      <c r="U287">
        <v>5.4577155144434105E-4</v>
      </c>
    </row>
    <row r="288" spans="1:21" x14ac:dyDescent="0.15">
      <c r="A288" s="5" t="s">
        <v>94</v>
      </c>
      <c r="B288" t="s">
        <v>3590</v>
      </c>
      <c r="C288" s="17">
        <v>5.5858937524549102E-8</v>
      </c>
      <c r="D288" s="17"/>
      <c r="E288" s="17"/>
      <c r="F288" s="17">
        <v>4.9481593673790502E-8</v>
      </c>
      <c r="G288" s="17"/>
      <c r="H288" s="17"/>
      <c r="I288" s="17">
        <v>3.74272419372865E-8</v>
      </c>
      <c r="J288" s="17"/>
      <c r="K288" s="17"/>
      <c r="L288" s="17">
        <v>2.5453812545773798E-8</v>
      </c>
      <c r="M288" s="17"/>
      <c r="N288" s="17"/>
      <c r="O288" s="17">
        <v>1.36835755967471E-8</v>
      </c>
      <c r="P288" s="17"/>
      <c r="Q288" s="17"/>
      <c r="R288" s="17">
        <v>4.1803113388631604E-9</v>
      </c>
      <c r="S288" s="17"/>
      <c r="T288" s="17"/>
      <c r="U288" s="13">
        <v>8.59124001803476E-10</v>
      </c>
    </row>
    <row r="289" spans="1:21" x14ac:dyDescent="0.15">
      <c r="A289" s="5" t="s">
        <v>94</v>
      </c>
      <c r="B289" t="s">
        <v>3590</v>
      </c>
      <c r="C289" s="17">
        <v>2.9097371871277802E-7</v>
      </c>
      <c r="D289" s="17"/>
      <c r="E289" s="17"/>
      <c r="F289" s="17">
        <v>2.5775361933387698E-7</v>
      </c>
      <c r="G289" s="17"/>
      <c r="H289" s="17"/>
      <c r="I289" s="17">
        <v>1.9496152720178299E-7</v>
      </c>
      <c r="J289" s="17"/>
      <c r="K289" s="17"/>
      <c r="L289" s="17">
        <v>1.32590966102904E-7</v>
      </c>
      <c r="M289" s="17"/>
      <c r="N289" s="17"/>
      <c r="O289" s="17">
        <v>7.1278850853958604E-8</v>
      </c>
      <c r="P289" s="17"/>
      <c r="Q289" s="17"/>
      <c r="R289" s="17">
        <v>2.17755795142296E-8</v>
      </c>
      <c r="S289" s="17"/>
      <c r="T289" s="17"/>
      <c r="U289" s="13">
        <v>4.47524633869553E-9</v>
      </c>
    </row>
    <row r="290" spans="1:21" x14ac:dyDescent="0.15">
      <c r="A290" s="5" t="s">
        <v>94</v>
      </c>
      <c r="B290" t="s">
        <v>3590</v>
      </c>
      <c r="C290" s="17">
        <v>7.1359773267718695E-8</v>
      </c>
      <c r="D290" s="17"/>
      <c r="E290" s="17"/>
      <c r="F290" s="17">
        <v>6.3212718715518901E-8</v>
      </c>
      <c r="G290" s="17"/>
      <c r="H290" s="17"/>
      <c r="I290" s="17">
        <v>4.7813288562945599E-8</v>
      </c>
      <c r="J290" s="17"/>
      <c r="K290" s="17"/>
      <c r="L290" s="17">
        <v>3.25172366779651E-8</v>
      </c>
      <c r="M290" s="17"/>
      <c r="N290" s="17"/>
      <c r="O290" s="17">
        <v>1.74807630676187E-8</v>
      </c>
      <c r="P290" s="17"/>
      <c r="Q290" s="17"/>
      <c r="R290" s="17">
        <v>5.3403462820725499E-9</v>
      </c>
      <c r="S290" s="17"/>
      <c r="T290" s="17"/>
      <c r="U290" s="13">
        <v>1.0975306136212799E-9</v>
      </c>
    </row>
    <row r="291" spans="1:21" x14ac:dyDescent="0.15">
      <c r="A291" s="5" t="s">
        <v>94</v>
      </c>
      <c r="B291" t="s">
        <v>3590</v>
      </c>
      <c r="C291" s="17">
        <v>1.75374226214004E-7</v>
      </c>
      <c r="D291" s="17"/>
      <c r="E291" s="17"/>
      <c r="F291" s="17">
        <v>1.5535197386386101E-7</v>
      </c>
      <c r="G291" s="17"/>
      <c r="H291" s="17"/>
      <c r="I291" s="17">
        <v>1.17506237765286E-7</v>
      </c>
      <c r="J291" s="17"/>
      <c r="K291" s="17"/>
      <c r="L291" s="17">
        <v>7.9914564745338798E-8</v>
      </c>
      <c r="M291" s="17"/>
      <c r="N291" s="17"/>
      <c r="O291" s="17">
        <v>4.2960832920707002E-8</v>
      </c>
      <c r="P291" s="17"/>
      <c r="Q291" s="17"/>
      <c r="R291" s="17">
        <v>1.31244685072028E-8</v>
      </c>
      <c r="S291" s="17"/>
      <c r="T291" s="17"/>
      <c r="U291" s="13">
        <v>2.6972981176369002E-9</v>
      </c>
    </row>
    <row r="292" spans="1:21" x14ac:dyDescent="0.15">
      <c r="A292" s="5" t="s">
        <v>94</v>
      </c>
      <c r="B292" t="s">
        <v>3590</v>
      </c>
      <c r="C292" s="17">
        <v>4.8112791995618102E-8</v>
      </c>
      <c r="D292" s="17"/>
      <c r="E292" s="17"/>
      <c r="F292" s="17">
        <v>4.26198157276532E-8</v>
      </c>
      <c r="G292" s="17"/>
      <c r="H292" s="17"/>
      <c r="I292" s="17">
        <v>3.2237081228173201E-8</v>
      </c>
      <c r="J292" s="17"/>
      <c r="K292" s="17"/>
      <c r="L292" s="17">
        <v>2.19240473016884E-8</v>
      </c>
      <c r="M292" s="17"/>
      <c r="N292" s="17"/>
      <c r="O292" s="17">
        <v>1.17860284426869E-8</v>
      </c>
      <c r="P292" s="17"/>
      <c r="Q292" s="17"/>
      <c r="R292" s="17">
        <v>3.6006135962621101E-9</v>
      </c>
      <c r="S292" s="17"/>
      <c r="T292" s="17"/>
      <c r="U292" s="13">
        <v>7.3998640556039404E-10</v>
      </c>
    </row>
    <row r="293" spans="1:21" x14ac:dyDescent="0.15">
      <c r="A293" s="5" t="s">
        <v>94</v>
      </c>
      <c r="B293" t="s">
        <v>3590</v>
      </c>
      <c r="C293" s="17">
        <v>1.7998990980136501E-7</v>
      </c>
      <c r="D293" s="17"/>
      <c r="E293" s="17"/>
      <c r="F293" s="17">
        <v>1.5944069072669301E-7</v>
      </c>
      <c r="G293" s="17"/>
      <c r="H293" s="17"/>
      <c r="I293" s="17">
        <v>1.2059889068683901E-7</v>
      </c>
      <c r="J293" s="17"/>
      <c r="K293" s="17"/>
      <c r="L293" s="17">
        <v>8.2017840425289501E-8</v>
      </c>
      <c r="M293" s="17"/>
      <c r="N293" s="17"/>
      <c r="O293" s="17">
        <v>4.4091521367306102E-8</v>
      </c>
      <c r="P293" s="17"/>
      <c r="Q293" s="17"/>
      <c r="R293" s="17">
        <v>1.34698920918954E-8</v>
      </c>
      <c r="S293" s="17"/>
      <c r="T293" s="17"/>
      <c r="U293" s="13">
        <v>2.7682884502562598E-9</v>
      </c>
    </row>
    <row r="294" spans="1:21" x14ac:dyDescent="0.15">
      <c r="A294" s="5" t="s">
        <v>94</v>
      </c>
      <c r="B294" t="s">
        <v>3590</v>
      </c>
      <c r="C294" s="17">
        <v>7.3950366462922406E-8</v>
      </c>
      <c r="D294" s="17"/>
      <c r="E294" s="17"/>
      <c r="F294" s="17">
        <v>6.5507547180575597E-8</v>
      </c>
      <c r="G294" s="17"/>
      <c r="H294" s="17"/>
      <c r="I294" s="17">
        <v>4.95490673402517E-8</v>
      </c>
      <c r="J294" s="17"/>
      <c r="K294" s="17"/>
      <c r="L294" s="17">
        <v>3.3697718736795802E-8</v>
      </c>
      <c r="M294" s="17"/>
      <c r="N294" s="17"/>
      <c r="O294" s="17">
        <v>1.8115371948452E-8</v>
      </c>
      <c r="P294" s="17"/>
      <c r="Q294" s="17"/>
      <c r="R294" s="17">
        <v>5.5342183209657399E-9</v>
      </c>
      <c r="S294" s="17"/>
      <c r="T294" s="17"/>
      <c r="U294" s="13">
        <v>1.13737456503783E-9</v>
      </c>
    </row>
    <row r="295" spans="1:21" x14ac:dyDescent="0.15">
      <c r="A295" s="5" t="s">
        <v>94</v>
      </c>
      <c r="B295" t="s">
        <v>3590</v>
      </c>
      <c r="C295" s="17">
        <v>4.2496603450008001E-8</v>
      </c>
      <c r="D295" s="17"/>
      <c r="E295" s="17"/>
      <c r="F295" s="17">
        <v>3.7644820285121798E-8</v>
      </c>
      <c r="G295" s="17"/>
      <c r="H295" s="17"/>
      <c r="I295" s="17">
        <v>2.8474058571868801E-8</v>
      </c>
      <c r="J295" s="17"/>
      <c r="K295" s="17"/>
      <c r="L295" s="17">
        <v>1.9364861309314999E-8</v>
      </c>
      <c r="M295" s="17"/>
      <c r="N295" s="17"/>
      <c r="O295" s="17">
        <v>1.0410249669672001E-8</v>
      </c>
      <c r="P295" s="17"/>
      <c r="Q295" s="17"/>
      <c r="R295" s="17">
        <v>3.18031529309282E-9</v>
      </c>
      <c r="S295" s="17"/>
      <c r="T295" s="17"/>
      <c r="U295" s="13">
        <v>6.5360806411652204E-10</v>
      </c>
    </row>
    <row r="296" spans="1:21" x14ac:dyDescent="0.15">
      <c r="A296" s="5" t="s">
        <v>94</v>
      </c>
      <c r="B296" t="s">
        <v>3590</v>
      </c>
      <c r="C296" s="17">
        <v>2.0795588767296601E-7</v>
      </c>
      <c r="D296" s="17"/>
      <c r="E296" s="17"/>
      <c r="F296" s="17">
        <v>1.84213828474339E-7</v>
      </c>
      <c r="G296" s="17"/>
      <c r="H296" s="17"/>
      <c r="I296" s="17">
        <v>1.3933697390500201E-7</v>
      </c>
      <c r="J296" s="17"/>
      <c r="K296" s="17"/>
      <c r="L296" s="17">
        <v>9.4761383176888495E-8</v>
      </c>
      <c r="M296" s="17"/>
      <c r="N296" s="17"/>
      <c r="O296" s="17">
        <v>5.0942252679100699E-8</v>
      </c>
      <c r="P296" s="17"/>
      <c r="Q296" s="17"/>
      <c r="R296" s="17">
        <v>1.55627799909477E-8</v>
      </c>
      <c r="S296" s="17"/>
      <c r="T296" s="17"/>
      <c r="U296" s="13">
        <v>3.1984119701108602E-9</v>
      </c>
    </row>
    <row r="297" spans="1:21" x14ac:dyDescent="0.15">
      <c r="A297" s="5" t="s">
        <v>94</v>
      </c>
      <c r="B297" t="s">
        <v>3590</v>
      </c>
      <c r="C297" s="17">
        <v>4.5014955215530801E-8</v>
      </c>
      <c r="D297" s="17"/>
      <c r="E297" s="17"/>
      <c r="F297" s="17">
        <v>3.9875655032641101E-8</v>
      </c>
      <c r="G297" s="17"/>
      <c r="H297" s="17"/>
      <c r="I297" s="17">
        <v>3.0161433323133901E-8</v>
      </c>
      <c r="J297" s="17"/>
      <c r="K297" s="17"/>
      <c r="L297" s="17">
        <v>2.0512424378085602E-8</v>
      </c>
      <c r="M297" s="17"/>
      <c r="N297" s="17"/>
      <c r="O297" s="17">
        <v>1.10271618110386E-8</v>
      </c>
      <c r="P297" s="17"/>
      <c r="Q297" s="17"/>
      <c r="R297" s="17">
        <v>3.3687810052455798E-9</v>
      </c>
      <c r="S297" s="17"/>
      <c r="T297" s="17"/>
      <c r="U297" s="13">
        <v>6.9234092483006504E-10</v>
      </c>
    </row>
    <row r="298" spans="1:21" x14ac:dyDescent="0.15">
      <c r="A298" s="5" t="s">
        <v>94</v>
      </c>
      <c r="B298" t="s">
        <v>3590</v>
      </c>
      <c r="C298" s="17">
        <v>2.08839874196661E-8</v>
      </c>
      <c r="D298" s="17"/>
      <c r="E298" s="17"/>
      <c r="F298" s="17">
        <v>1.8499689138095699E-8</v>
      </c>
      <c r="G298" s="17"/>
      <c r="H298" s="17"/>
      <c r="I298" s="17">
        <v>1.3992927263028899E-8</v>
      </c>
      <c r="J298" s="17"/>
      <c r="K298" s="17"/>
      <c r="L298" s="17">
        <v>9.5164198344241705E-9</v>
      </c>
      <c r="M298" s="17"/>
      <c r="N298" s="17"/>
      <c r="O298" s="17">
        <v>5.1158799877446003E-9</v>
      </c>
      <c r="P298" s="17"/>
      <c r="Q298" s="17"/>
      <c r="R298" s="17">
        <v>1.5628934827616101E-9</v>
      </c>
      <c r="S298" s="17"/>
      <c r="T298" s="17"/>
      <c r="U298" s="13">
        <v>3.2120078971627001E-10</v>
      </c>
    </row>
    <row r="299" spans="1:21" x14ac:dyDescent="0.15">
      <c r="A299" s="5" t="s">
        <v>94</v>
      </c>
      <c r="B299" t="s">
        <v>3590</v>
      </c>
      <c r="C299" s="17">
        <v>2.4012118992618699E-8</v>
      </c>
      <c r="D299" s="17"/>
      <c r="E299" s="17"/>
      <c r="F299" s="17">
        <v>2.12706859080033E-8</v>
      </c>
      <c r="G299" s="17"/>
      <c r="H299" s="17"/>
      <c r="I299" s="17">
        <v>1.6088873630449599E-8</v>
      </c>
      <c r="J299" s="17"/>
      <c r="K299" s="17"/>
      <c r="L299" s="17">
        <v>1.0941847495690701E-8</v>
      </c>
      <c r="M299" s="17"/>
      <c r="N299" s="17"/>
      <c r="O299" s="17">
        <v>5.8821678326621098E-9</v>
      </c>
      <c r="P299" s="17"/>
      <c r="Q299" s="17"/>
      <c r="R299" s="17">
        <v>1.79699324303941E-9</v>
      </c>
      <c r="S299" s="17"/>
      <c r="T299" s="17"/>
      <c r="U299" s="13">
        <v>3.6931221170566598E-10</v>
      </c>
    </row>
    <row r="300" spans="1:21" x14ac:dyDescent="0.15">
      <c r="A300" s="5" t="s">
        <v>94</v>
      </c>
      <c r="B300" t="s">
        <v>3590</v>
      </c>
      <c r="C300" s="17">
        <v>4.2235602156502698E-8</v>
      </c>
      <c r="D300" s="17"/>
      <c r="E300" s="17"/>
      <c r="F300" s="17">
        <v>3.7413617177331099E-8</v>
      </c>
      <c r="G300" s="17"/>
      <c r="H300" s="17"/>
      <c r="I300" s="17">
        <v>2.8299179510596399E-8</v>
      </c>
      <c r="J300" s="17"/>
      <c r="K300" s="17"/>
      <c r="L300" s="17">
        <v>1.9245928184312999E-8</v>
      </c>
      <c r="M300" s="17"/>
      <c r="N300" s="17"/>
      <c r="O300" s="17">
        <v>1.0346313062769E-8</v>
      </c>
      <c r="P300" s="17"/>
      <c r="Q300" s="17"/>
      <c r="R300" s="17">
        <v>3.1607827578343599E-9</v>
      </c>
      <c r="S300" s="17"/>
      <c r="T300" s="17"/>
      <c r="U300" s="13">
        <v>6.4959380094415905E-10</v>
      </c>
    </row>
    <row r="301" spans="1:21" x14ac:dyDescent="0.15">
      <c r="A301" s="5" t="s">
        <v>94</v>
      </c>
      <c r="B301" t="s">
        <v>3590</v>
      </c>
      <c r="C301" s="17">
        <v>4.6740204836421298E-8</v>
      </c>
      <c r="D301" s="17"/>
      <c r="E301" s="17"/>
      <c r="F301" s="17">
        <v>4.1403935098642102E-8</v>
      </c>
      <c r="G301" s="17"/>
      <c r="H301" s="17"/>
      <c r="I301" s="17">
        <v>3.1317404736569698E-8</v>
      </c>
      <c r="J301" s="17"/>
      <c r="K301" s="17"/>
      <c r="L301" s="17">
        <v>2.1298586492707198E-8</v>
      </c>
      <c r="M301" s="17"/>
      <c r="N301" s="17"/>
      <c r="O301" s="17">
        <v>1.14497903939818E-8</v>
      </c>
      <c r="P301" s="17"/>
      <c r="Q301" s="17"/>
      <c r="R301" s="17">
        <v>3.4978933885487598E-9</v>
      </c>
      <c r="S301" s="17"/>
      <c r="T301" s="17"/>
      <c r="U301" s="13">
        <v>7.1887568227613903E-10</v>
      </c>
    </row>
    <row r="302" spans="1:21" x14ac:dyDescent="0.15">
      <c r="A302" s="5" t="s">
        <v>94</v>
      </c>
      <c r="B302" t="s">
        <v>3590</v>
      </c>
      <c r="C302" s="17">
        <v>9.7164722573374199E-8</v>
      </c>
      <c r="D302" s="17"/>
      <c r="E302" s="17"/>
      <c r="F302" s="17">
        <v>8.6071549780002502E-8</v>
      </c>
      <c r="G302" s="17"/>
      <c r="H302" s="17"/>
      <c r="I302" s="17">
        <v>6.5103414792391398E-8</v>
      </c>
      <c r="J302" s="17"/>
      <c r="K302" s="17"/>
      <c r="L302" s="17">
        <v>4.4276041472465299E-8</v>
      </c>
      <c r="M302" s="17"/>
      <c r="N302" s="17"/>
      <c r="O302" s="17">
        <v>2.38021144975306E-8</v>
      </c>
      <c r="P302" s="17"/>
      <c r="Q302" s="17"/>
      <c r="R302" s="17">
        <v>7.2715094398718298E-9</v>
      </c>
      <c r="S302" s="17"/>
      <c r="T302" s="17"/>
      <c r="U302" s="13">
        <v>1.4944169902027799E-9</v>
      </c>
    </row>
    <row r="303" spans="1:21" x14ac:dyDescent="0.15">
      <c r="A303" s="5" t="s">
        <v>94</v>
      </c>
      <c r="B303" t="s">
        <v>3590</v>
      </c>
      <c r="C303" s="17">
        <v>1.59033680952237E-7</v>
      </c>
      <c r="D303" s="17"/>
      <c r="E303" s="17"/>
      <c r="F303" s="17">
        <v>1.4087700787125401E-7</v>
      </c>
      <c r="G303" s="17"/>
      <c r="H303" s="17"/>
      <c r="I303" s="17">
        <v>1.06557559397915E-7</v>
      </c>
      <c r="J303" s="17"/>
      <c r="K303" s="17"/>
      <c r="L303" s="17">
        <v>7.2468501600905106E-8</v>
      </c>
      <c r="M303" s="17"/>
      <c r="N303" s="17"/>
      <c r="O303" s="17">
        <v>3.8957944640148498E-8</v>
      </c>
      <c r="P303" s="17"/>
      <c r="Q303" s="17"/>
      <c r="R303" s="17">
        <v>1.19015922824097E-8</v>
      </c>
      <c r="S303" s="17"/>
      <c r="T303" s="17"/>
      <c r="U303" s="13">
        <v>2.4459765698403501E-9</v>
      </c>
    </row>
    <row r="304" spans="1:21" x14ac:dyDescent="0.15">
      <c r="A304" s="5" t="s">
        <v>94</v>
      </c>
      <c r="B304" t="s">
        <v>3590</v>
      </c>
      <c r="C304" s="17">
        <v>4.2642639888036397E-8</v>
      </c>
      <c r="D304" s="17"/>
      <c r="E304" s="17"/>
      <c r="F304" s="17">
        <v>3.7774183928762799E-8</v>
      </c>
      <c r="G304" s="17"/>
      <c r="H304" s="17"/>
      <c r="I304" s="17">
        <v>2.8571907570435E-8</v>
      </c>
      <c r="J304" s="17"/>
      <c r="K304" s="17"/>
      <c r="L304" s="17">
        <v>1.9431407224492799E-8</v>
      </c>
      <c r="M304" s="17"/>
      <c r="N304" s="17"/>
      <c r="O304" s="17">
        <v>1.04460237235334E-8</v>
      </c>
      <c r="P304" s="17"/>
      <c r="Q304" s="17"/>
      <c r="R304" s="17">
        <v>3.19124421162996E-9</v>
      </c>
      <c r="S304" s="17"/>
      <c r="T304" s="17"/>
      <c r="U304" s="13">
        <v>6.5585413993908797E-10</v>
      </c>
    </row>
    <row r="305" spans="1:21" x14ac:dyDescent="0.15">
      <c r="A305" s="5" t="s">
        <v>94</v>
      </c>
      <c r="B305" t="s">
        <v>3590</v>
      </c>
      <c r="C305" s="17">
        <v>8.2502819559007996E-8</v>
      </c>
      <c r="D305" s="17"/>
      <c r="E305" s="17"/>
      <c r="F305" s="17">
        <v>7.3083577584459995E-8</v>
      </c>
      <c r="G305" s="17"/>
      <c r="H305" s="17"/>
      <c r="I305" s="17">
        <v>5.5279479434892998E-8</v>
      </c>
      <c r="J305" s="17"/>
      <c r="K305" s="17"/>
      <c r="L305" s="17">
        <v>3.7594902384777199E-8</v>
      </c>
      <c r="M305" s="17"/>
      <c r="N305" s="17"/>
      <c r="O305" s="17">
        <v>2.0210437548768699E-8</v>
      </c>
      <c r="P305" s="17"/>
      <c r="Q305" s="17"/>
      <c r="R305" s="17">
        <v>6.1742576456834703E-9</v>
      </c>
      <c r="S305" s="17"/>
      <c r="T305" s="17"/>
      <c r="U305" s="13">
        <v>1.2689133671483501E-9</v>
      </c>
    </row>
    <row r="306" spans="1:21" x14ac:dyDescent="0.15">
      <c r="A306" s="5" t="s">
        <v>94</v>
      </c>
      <c r="B306" t="s">
        <v>3590</v>
      </c>
      <c r="C306" s="17">
        <v>1.6773605443431299E-7</v>
      </c>
      <c r="D306" s="17"/>
      <c r="E306" s="17"/>
      <c r="F306" s="17">
        <v>1.4858584244134301E-7</v>
      </c>
      <c r="G306" s="17"/>
      <c r="H306" s="17"/>
      <c r="I306" s="17">
        <v>1.1238842285820101E-7</v>
      </c>
      <c r="J306" s="17"/>
      <c r="K306" s="17"/>
      <c r="L306" s="17">
        <v>7.64340010022987E-8</v>
      </c>
      <c r="M306" s="17"/>
      <c r="N306" s="17"/>
      <c r="O306" s="17">
        <v>4.1089735731964101E-8</v>
      </c>
      <c r="P306" s="17"/>
      <c r="Q306" s="17"/>
      <c r="R306" s="17">
        <v>1.25528511884023E-8</v>
      </c>
      <c r="S306" s="17"/>
      <c r="T306" s="17"/>
      <c r="U306" s="13">
        <v>2.57982118383474E-9</v>
      </c>
    </row>
    <row r="307" spans="1:21" x14ac:dyDescent="0.15">
      <c r="A307" s="5" t="s">
        <v>94</v>
      </c>
      <c r="B307" t="s">
        <v>3590</v>
      </c>
      <c r="C307" s="17">
        <v>2.36652047734709E-7</v>
      </c>
      <c r="D307" s="17"/>
      <c r="E307" s="17"/>
      <c r="F307" s="17">
        <v>2.0963378444018899E-7</v>
      </c>
      <c r="G307" s="17"/>
      <c r="H307" s="17"/>
      <c r="I307" s="17">
        <v>1.5856430211599701E-7</v>
      </c>
      <c r="J307" s="17"/>
      <c r="K307" s="17"/>
      <c r="L307" s="17">
        <v>1.0783765550437599E-7</v>
      </c>
      <c r="M307" s="17"/>
      <c r="N307" s="17"/>
      <c r="O307" s="17">
        <v>5.79718542602021E-8</v>
      </c>
      <c r="P307" s="17"/>
      <c r="Q307" s="17"/>
      <c r="R307" s="17">
        <v>1.7710312482685799E-8</v>
      </c>
      <c r="S307" s="17"/>
      <c r="T307" s="17"/>
      <c r="U307" s="13">
        <v>3.6397658690782902E-9</v>
      </c>
    </row>
    <row r="308" spans="1:21" x14ac:dyDescent="0.15">
      <c r="A308" s="5" t="s">
        <v>94</v>
      </c>
      <c r="B308" t="s">
        <v>3590</v>
      </c>
      <c r="C308" s="17">
        <v>1.3006564454345399E-8</v>
      </c>
      <c r="D308" s="17"/>
      <c r="E308" s="17"/>
      <c r="F308" s="17">
        <v>1.15216215335109E-8</v>
      </c>
      <c r="G308" s="17"/>
      <c r="H308" s="17"/>
      <c r="I308" s="17">
        <v>8.7148065498338105E-9</v>
      </c>
      <c r="J308" s="17"/>
      <c r="K308" s="17"/>
      <c r="L308" s="17">
        <v>5.9268340601704999E-9</v>
      </c>
      <c r="M308" s="17"/>
      <c r="N308" s="17"/>
      <c r="O308" s="17">
        <v>3.1861742426945001E-9</v>
      </c>
      <c r="P308" s="17"/>
      <c r="Q308" s="17"/>
      <c r="R308" s="17">
        <v>9.7337133998045403E-10</v>
      </c>
      <c r="S308" s="17"/>
      <c r="T308" s="17"/>
      <c r="U308" s="13">
        <v>2.00044114674061E-10</v>
      </c>
    </row>
    <row r="309" spans="1:21" x14ac:dyDescent="0.15">
      <c r="A309" s="5" t="s">
        <v>94</v>
      </c>
      <c r="B309" t="s">
        <v>3590</v>
      </c>
      <c r="C309" s="17">
        <v>7.1321710579241206E-8</v>
      </c>
      <c r="D309" s="17"/>
      <c r="E309" s="17"/>
      <c r="F309" s="17">
        <v>6.3179001595773398E-8</v>
      </c>
      <c r="G309" s="17"/>
      <c r="H309" s="17"/>
      <c r="I309" s="17">
        <v>4.7787785366616399E-8</v>
      </c>
      <c r="J309" s="17"/>
      <c r="K309" s="17"/>
      <c r="L309" s="17">
        <v>3.24998922639747E-8</v>
      </c>
      <c r="M309" s="17"/>
      <c r="N309" s="17"/>
      <c r="O309" s="17">
        <v>1.7471438979150898E-8</v>
      </c>
      <c r="P309" s="17"/>
      <c r="Q309" s="17"/>
      <c r="R309" s="17">
        <v>5.3374977873592401E-9</v>
      </c>
      <c r="S309" s="17"/>
      <c r="T309" s="17"/>
      <c r="U309" s="13">
        <v>1.09694520024442E-9</v>
      </c>
    </row>
    <row r="310" spans="1:21" x14ac:dyDescent="0.15">
      <c r="A310" s="5" t="s">
        <v>94</v>
      </c>
      <c r="B310" t="s">
        <v>3590</v>
      </c>
      <c r="C310" s="17">
        <v>8.3005402406492299E-8</v>
      </c>
      <c r="D310" s="17"/>
      <c r="E310" s="17"/>
      <c r="F310" s="17">
        <v>7.3528781187477094E-8</v>
      </c>
      <c r="G310" s="17"/>
      <c r="H310" s="17"/>
      <c r="I310" s="17">
        <v>5.5616225722236197E-8</v>
      </c>
      <c r="J310" s="17"/>
      <c r="K310" s="17"/>
      <c r="L310" s="17">
        <v>3.7823919443738703E-8</v>
      </c>
      <c r="M310" s="17"/>
      <c r="N310" s="17"/>
      <c r="O310" s="17">
        <v>2.0333553574456701E-8</v>
      </c>
      <c r="P310" s="17"/>
      <c r="Q310" s="17"/>
      <c r="R310" s="17">
        <v>6.2118694025331796E-9</v>
      </c>
      <c r="S310" s="17"/>
      <c r="T310" s="17"/>
      <c r="U310" s="13">
        <v>1.2766432131909599E-9</v>
      </c>
    </row>
    <row r="311" spans="1:21" x14ac:dyDescent="0.15">
      <c r="A311" s="5" t="s">
        <v>94</v>
      </c>
      <c r="B311" t="s">
        <v>3590</v>
      </c>
      <c r="C311" s="17">
        <v>5.5770383514124503E-8</v>
      </c>
      <c r="D311" s="17"/>
      <c r="E311" s="17"/>
      <c r="F311" s="17">
        <v>4.9403149762105103E-8</v>
      </c>
      <c r="G311" s="17"/>
      <c r="H311" s="17"/>
      <c r="I311" s="17">
        <v>3.7367907969983202E-8</v>
      </c>
      <c r="J311" s="17"/>
      <c r="K311" s="17"/>
      <c r="L311" s="17">
        <v>2.5413460235446799E-8</v>
      </c>
      <c r="M311" s="17"/>
      <c r="N311" s="17"/>
      <c r="O311" s="17">
        <v>1.36618828193736E-8</v>
      </c>
      <c r="P311" s="17"/>
      <c r="Q311" s="17"/>
      <c r="R311" s="17">
        <v>4.17368422867659E-9</v>
      </c>
      <c r="S311" s="17"/>
      <c r="T311" s="17"/>
      <c r="U311" s="13">
        <v>8.5776201965373997E-10</v>
      </c>
    </row>
    <row r="312" spans="1:21" x14ac:dyDescent="0.15">
      <c r="A312" s="5" t="s">
        <v>94</v>
      </c>
      <c r="B312" t="s">
        <v>3590</v>
      </c>
      <c r="C312" s="17">
        <v>8.57575678306043E-9</v>
      </c>
      <c r="D312" s="17"/>
      <c r="E312" s="17"/>
      <c r="F312" s="17">
        <v>7.5966735385569599E-9</v>
      </c>
      <c r="G312" s="17"/>
      <c r="H312" s="17"/>
      <c r="I312" s="17">
        <v>5.7460262965773102E-9</v>
      </c>
      <c r="J312" s="17"/>
      <c r="K312" s="17"/>
      <c r="L312" s="17">
        <v>3.9078026770243398E-9</v>
      </c>
      <c r="M312" s="17"/>
      <c r="N312" s="17"/>
      <c r="O312" s="17">
        <v>2.10077422594642E-9</v>
      </c>
      <c r="P312" s="17"/>
      <c r="Q312" s="17"/>
      <c r="R312" s="17">
        <v>6.4178330108418103E-10</v>
      </c>
      <c r="S312" s="17"/>
      <c r="T312" s="17"/>
      <c r="U312" s="13">
        <v>1.3189721846603701E-10</v>
      </c>
    </row>
    <row r="313" spans="1:21" x14ac:dyDescent="0.15">
      <c r="A313" s="5" t="s">
        <v>94</v>
      </c>
      <c r="B313" t="s">
        <v>3590</v>
      </c>
      <c r="C313" s="17">
        <v>2.18809241476842E-7</v>
      </c>
      <c r="D313" s="17"/>
      <c r="E313" s="17"/>
      <c r="F313" s="17">
        <v>1.93828068678698E-7</v>
      </c>
      <c r="G313" s="17"/>
      <c r="H313" s="17"/>
      <c r="I313" s="17">
        <v>1.4660906171494501E-7</v>
      </c>
      <c r="J313" s="17"/>
      <c r="K313" s="17"/>
      <c r="L313" s="17">
        <v>9.9707041749349095E-8</v>
      </c>
      <c r="M313" s="17"/>
      <c r="N313" s="17"/>
      <c r="O313" s="17">
        <v>5.3600962168308503E-8</v>
      </c>
      <c r="P313" s="17"/>
      <c r="Q313" s="17"/>
      <c r="R313" s="17">
        <v>1.6375011658460199E-8</v>
      </c>
      <c r="S313" s="17"/>
      <c r="T313" s="17"/>
      <c r="U313" s="13">
        <v>3.3653391829472498E-9</v>
      </c>
    </row>
    <row r="314" spans="1:21" x14ac:dyDescent="0.15">
      <c r="A314" s="5" t="s">
        <v>94</v>
      </c>
      <c r="B314" t="s">
        <v>3590</v>
      </c>
      <c r="C314" s="17">
        <v>7.5564535175979005E-8</v>
      </c>
      <c r="D314" s="17"/>
      <c r="E314" s="17"/>
      <c r="F314" s="17">
        <v>6.6937428304707506E-8</v>
      </c>
      <c r="G314" s="17"/>
      <c r="H314" s="17"/>
      <c r="I314" s="17">
        <v>5.0630611057845902E-8</v>
      </c>
      <c r="J314" s="17"/>
      <c r="K314" s="17"/>
      <c r="L314" s="17">
        <v>3.4433263479682099E-8</v>
      </c>
      <c r="M314" s="17"/>
      <c r="N314" s="17"/>
      <c r="O314" s="17">
        <v>1.8510789415912899E-8</v>
      </c>
      <c r="P314" s="17"/>
      <c r="Q314" s="17"/>
      <c r="R314" s="17">
        <v>5.6550177502614303E-9</v>
      </c>
      <c r="S314" s="17"/>
      <c r="T314" s="17"/>
      <c r="U314" s="13">
        <v>1.1622008711905E-9</v>
      </c>
    </row>
    <row r="315" spans="1:21" x14ac:dyDescent="0.15">
      <c r="A315" s="5" t="s">
        <v>94</v>
      </c>
      <c r="B315" t="s">
        <v>3590</v>
      </c>
      <c r="C315" s="17">
        <v>1.3039578010799201E-7</v>
      </c>
      <c r="D315" s="17"/>
      <c r="E315" s="17"/>
      <c r="F315" s="17">
        <v>1.1550865974214E-7</v>
      </c>
      <c r="G315" s="17"/>
      <c r="H315" s="17"/>
      <c r="I315" s="17">
        <v>8.73692666918022E-8</v>
      </c>
      <c r="J315" s="17"/>
      <c r="K315" s="17"/>
      <c r="L315" s="17">
        <v>5.9418776846052797E-8</v>
      </c>
      <c r="M315" s="17"/>
      <c r="N315" s="17"/>
      <c r="O315" s="17">
        <v>3.1942614623136503E-8</v>
      </c>
      <c r="P315" s="17"/>
      <c r="Q315" s="17"/>
      <c r="R315" s="17">
        <v>9.7584197315924399E-9</v>
      </c>
      <c r="S315" s="17"/>
      <c r="T315" s="17"/>
      <c r="U315" s="13">
        <v>2.00551871176266E-9</v>
      </c>
    </row>
    <row r="316" spans="1:21" x14ac:dyDescent="0.15">
      <c r="A316" s="5" t="s">
        <v>94</v>
      </c>
      <c r="B316" t="s">
        <v>3590</v>
      </c>
      <c r="C316" s="17">
        <v>3.4303027132312401E-8</v>
      </c>
      <c r="D316" s="17"/>
      <c r="E316" s="17"/>
      <c r="F316" s="17">
        <v>3.03866941542905E-8</v>
      </c>
      <c r="G316" s="17"/>
      <c r="H316" s="17"/>
      <c r="I316" s="17">
        <v>2.2984105186356598E-8</v>
      </c>
      <c r="J316" s="17"/>
      <c r="K316" s="17"/>
      <c r="L316" s="17">
        <v>1.5631210708129599E-8</v>
      </c>
      <c r="M316" s="17"/>
      <c r="N316" s="17"/>
      <c r="O316" s="17">
        <v>8.4030969038030095E-9</v>
      </c>
      <c r="P316" s="17"/>
      <c r="Q316" s="17"/>
      <c r="R316" s="17">
        <v>2.5671332043420201E-9</v>
      </c>
      <c r="S316" s="17"/>
      <c r="T316" s="17"/>
      <c r="U316" s="13">
        <v>5.2758887386523702E-10</v>
      </c>
    </row>
    <row r="317" spans="1:21" x14ac:dyDescent="0.15">
      <c r="A317" s="5" t="s">
        <v>94</v>
      </c>
      <c r="B317" t="s">
        <v>3590</v>
      </c>
      <c r="C317" s="17">
        <v>6.3685092378508604E-8</v>
      </c>
      <c r="D317" s="17"/>
      <c r="E317" s="17"/>
      <c r="F317" s="17">
        <v>5.6414246382080797E-8</v>
      </c>
      <c r="G317" s="17"/>
      <c r="H317" s="17"/>
      <c r="I317" s="17">
        <v>4.2671011406211298E-8</v>
      </c>
      <c r="J317" s="17"/>
      <c r="K317" s="17"/>
      <c r="L317" s="17">
        <v>2.9020036456125398E-8</v>
      </c>
      <c r="M317" s="17"/>
      <c r="N317" s="17"/>
      <c r="O317" s="17">
        <v>1.56007223654077E-8</v>
      </c>
      <c r="P317" s="17"/>
      <c r="Q317" s="17"/>
      <c r="R317" s="17">
        <v>4.7659967336368803E-9</v>
      </c>
      <c r="S317" s="17"/>
      <c r="T317" s="17"/>
      <c r="U317" s="13">
        <v>9.7949216086329491E-10</v>
      </c>
    </row>
    <row r="318" spans="1:21" x14ac:dyDescent="0.15">
      <c r="A318" s="5" t="s">
        <v>94</v>
      </c>
      <c r="B318" t="s">
        <v>3589</v>
      </c>
      <c r="C318" s="17">
        <v>6.2015300162324202E-3</v>
      </c>
      <c r="D318" s="17"/>
      <c r="E318" s="17"/>
      <c r="F318" s="17">
        <v>5.5680642967667199E-3</v>
      </c>
      <c r="G318" s="17"/>
      <c r="H318" s="17"/>
      <c r="I318" s="17">
        <v>5.4606724335315403E-3</v>
      </c>
      <c r="J318" s="17"/>
      <c r="K318" s="17"/>
      <c r="L318" s="17">
        <v>6.3411218837970303E-3</v>
      </c>
      <c r="M318" s="17"/>
      <c r="N318" s="17"/>
      <c r="O318" s="17">
        <v>6.6607826988075904E-3</v>
      </c>
      <c r="P318" s="17"/>
      <c r="Q318" s="17"/>
      <c r="R318" s="17">
        <v>6.9073358069146997E-3</v>
      </c>
      <c r="S318" s="17"/>
      <c r="T318" s="17"/>
      <c r="U318">
        <v>7.0461549854390296E-3</v>
      </c>
    </row>
    <row r="319" spans="1:21" x14ac:dyDescent="0.15">
      <c r="A319" s="5" t="s">
        <v>94</v>
      </c>
      <c r="B319" t="s">
        <v>3598</v>
      </c>
      <c r="C319" s="17">
        <v>1.1980874155694699E-2</v>
      </c>
      <c r="D319" s="17"/>
      <c r="E319" s="17"/>
      <c r="F319" s="17">
        <v>1.33716726263875E-2</v>
      </c>
      <c r="G319" s="17"/>
      <c r="H319" s="17"/>
      <c r="I319" s="17">
        <v>1.44927471424347E-2</v>
      </c>
      <c r="J319" s="17"/>
      <c r="K319" s="17"/>
      <c r="L319" s="17">
        <v>1.5172847448901799E-2</v>
      </c>
      <c r="M319" s="17"/>
      <c r="N319" s="17"/>
      <c r="O319" s="17">
        <v>1.6198503538097798E-2</v>
      </c>
      <c r="P319" s="17"/>
      <c r="Q319" s="17"/>
      <c r="R319" s="17">
        <v>1.7070238349555698E-2</v>
      </c>
      <c r="S319" s="17"/>
      <c r="T319" s="17"/>
      <c r="U319">
        <v>1.8361542740051799E-2</v>
      </c>
    </row>
    <row r="320" spans="1:21" x14ac:dyDescent="0.15">
      <c r="A320" s="5" t="s">
        <v>94</v>
      </c>
      <c r="B320" t="s">
        <v>3597</v>
      </c>
      <c r="C320" s="17">
        <v>1.18801320515474E-2</v>
      </c>
      <c r="D320" s="17"/>
      <c r="E320" s="17"/>
      <c r="F320" s="17">
        <v>1.3259235886059199E-2</v>
      </c>
      <c r="G320" s="17"/>
      <c r="H320" s="17"/>
      <c r="I320" s="17">
        <v>1.4370883760595501E-2</v>
      </c>
      <c r="J320" s="17"/>
      <c r="K320" s="17"/>
      <c r="L320" s="17">
        <v>1.50452653911952E-2</v>
      </c>
      <c r="M320" s="17"/>
      <c r="N320" s="17"/>
      <c r="O320" s="17">
        <v>1.6062297172079899E-2</v>
      </c>
      <c r="P320" s="17"/>
      <c r="Q320" s="17"/>
      <c r="R320" s="17">
        <v>1.6926701934158801E-2</v>
      </c>
      <c r="S320" s="17"/>
      <c r="T320" s="17"/>
      <c r="U320">
        <v>1.8207148292118901E-2</v>
      </c>
    </row>
    <row r="321" spans="1:21" x14ac:dyDescent="0.15">
      <c r="A321" s="5" t="s">
        <v>94</v>
      </c>
      <c r="B321" t="s">
        <v>3597</v>
      </c>
      <c r="C321" s="17">
        <v>7.6185736916097504E-3</v>
      </c>
      <c r="D321" s="17"/>
      <c r="E321" s="17"/>
      <c r="F321" s="17">
        <v>8.5029749883310801E-3</v>
      </c>
      <c r="G321" s="17"/>
      <c r="H321" s="17"/>
      <c r="I321" s="17">
        <v>9.2158602672597102E-3</v>
      </c>
      <c r="J321" s="17"/>
      <c r="K321" s="17"/>
      <c r="L321" s="17">
        <v>9.6483324087055199E-3</v>
      </c>
      <c r="M321" s="17"/>
      <c r="N321" s="17"/>
      <c r="O321" s="17">
        <v>1.0300541621175399E-2</v>
      </c>
      <c r="P321" s="17"/>
      <c r="Q321" s="17"/>
      <c r="R321" s="17">
        <v>1.0854873117719601E-2</v>
      </c>
      <c r="S321" s="17"/>
      <c r="T321" s="17"/>
      <c r="U321">
        <v>1.1676006661854E-2</v>
      </c>
    </row>
    <row r="322" spans="1:21" x14ac:dyDescent="0.15">
      <c r="A322" s="5" t="s">
        <v>94</v>
      </c>
      <c r="B322" t="s">
        <v>3597</v>
      </c>
      <c r="C322" s="17">
        <v>7.0288780518515098E-3</v>
      </c>
      <c r="D322" s="17"/>
      <c r="E322" s="17"/>
      <c r="F322" s="17">
        <v>7.8448245944963101E-3</v>
      </c>
      <c r="G322" s="17"/>
      <c r="H322" s="17"/>
      <c r="I322" s="17">
        <v>8.5025308651684398E-3</v>
      </c>
      <c r="J322" s="17"/>
      <c r="K322" s="17"/>
      <c r="L322" s="17">
        <v>8.9015286390422294E-3</v>
      </c>
      <c r="M322" s="17"/>
      <c r="N322" s="17"/>
      <c r="O322" s="17">
        <v>9.5032553144426494E-3</v>
      </c>
      <c r="P322" s="17"/>
      <c r="Q322" s="17"/>
      <c r="R322" s="17">
        <v>1.0014680240843199E-2</v>
      </c>
      <c r="S322" s="17"/>
      <c r="T322" s="17"/>
      <c r="U322">
        <v>1.0772256104729899E-2</v>
      </c>
    </row>
    <row r="323" spans="1:21" x14ac:dyDescent="0.15">
      <c r="A323" s="5" t="s">
        <v>94</v>
      </c>
      <c r="B323" t="s">
        <v>3597</v>
      </c>
      <c r="C323" s="17">
        <v>2.22913822828581E-2</v>
      </c>
      <c r="D323" s="17"/>
      <c r="E323" s="17"/>
      <c r="F323" s="17">
        <v>2.48790749658576E-2</v>
      </c>
      <c r="G323" s="17"/>
      <c r="H323" s="17"/>
      <c r="I323" s="17">
        <v>2.6964924485685798E-2</v>
      </c>
      <c r="J323" s="17"/>
      <c r="K323" s="17"/>
      <c r="L323" s="17">
        <v>2.8230305936582802E-2</v>
      </c>
      <c r="M323" s="17"/>
      <c r="N323" s="17"/>
      <c r="O323" s="17">
        <v>3.01386217804764E-2</v>
      </c>
      <c r="P323" s="17"/>
      <c r="Q323" s="17"/>
      <c r="R323" s="17">
        <v>3.17605546777723E-2</v>
      </c>
      <c r="S323" s="17"/>
      <c r="T323" s="17"/>
      <c r="U323">
        <v>3.4163130603202599E-2</v>
      </c>
    </row>
    <row r="324" spans="1:21" x14ac:dyDescent="0.15">
      <c r="A324" s="5" t="s">
        <v>94</v>
      </c>
      <c r="B324" t="s">
        <v>3657</v>
      </c>
      <c r="C324" s="17">
        <v>4.3916364502856802E-3</v>
      </c>
      <c r="D324" s="17"/>
      <c r="E324" s="17"/>
      <c r="F324" s="17">
        <v>4.9014390890182698E-3</v>
      </c>
      <c r="G324" s="17"/>
      <c r="H324" s="17"/>
      <c r="I324" s="17">
        <v>5.3123733534282697E-3</v>
      </c>
      <c r="J324" s="17"/>
      <c r="K324" s="17"/>
      <c r="L324" s="17">
        <v>5.5616667903609796E-3</v>
      </c>
      <c r="M324" s="17"/>
      <c r="N324" s="17"/>
      <c r="O324" s="17">
        <v>5.9376250558627799E-3</v>
      </c>
      <c r="P324" s="17"/>
      <c r="Q324" s="17"/>
      <c r="R324" s="17">
        <v>6.2571628728226398E-3</v>
      </c>
      <c r="S324" s="17"/>
      <c r="T324" s="17"/>
      <c r="U324">
        <v>6.7304955659150904E-3</v>
      </c>
    </row>
    <row r="325" spans="1:21" x14ac:dyDescent="0.15">
      <c r="A325" s="5" t="s">
        <v>94</v>
      </c>
      <c r="B325" t="s">
        <v>3607</v>
      </c>
      <c r="C325" s="17">
        <v>1.8622630078183901E-5</v>
      </c>
      <c r="D325" s="17"/>
      <c r="E325" s="17"/>
      <c r="F325" s="17">
        <v>1.33260381078616E-5</v>
      </c>
      <c r="G325" s="17"/>
      <c r="H325" s="17"/>
      <c r="I325" s="17">
        <v>4.48085499400228E-6</v>
      </c>
      <c r="J325" s="17"/>
      <c r="K325" s="17"/>
      <c r="L325" s="17">
        <v>8.4000368520312399E-11</v>
      </c>
      <c r="M325" s="17"/>
      <c r="N325" s="17"/>
      <c r="O325" s="17">
        <v>8.2074212755957501E-11</v>
      </c>
      <c r="P325" s="17"/>
      <c r="Q325" s="17"/>
      <c r="R325" s="17">
        <v>8.2772910901814898E-11</v>
      </c>
      <c r="S325" s="17"/>
      <c r="T325" s="17"/>
      <c r="U325" s="13">
        <v>8.82457020139228E-11</v>
      </c>
    </row>
    <row r="326" spans="1:21" x14ac:dyDescent="0.15">
      <c r="A326" s="5" t="s">
        <v>94</v>
      </c>
      <c r="B326" t="s">
        <v>3607</v>
      </c>
      <c r="C326" s="17">
        <v>7.3569259460967603E-5</v>
      </c>
      <c r="D326" s="17"/>
      <c r="E326" s="17"/>
      <c r="F326" s="17">
        <v>5.2644913797246902E-5</v>
      </c>
      <c r="G326" s="17"/>
      <c r="H326" s="17"/>
      <c r="I326" s="17">
        <v>1.7701752237827399E-5</v>
      </c>
      <c r="J326" s="17"/>
      <c r="K326" s="17"/>
      <c r="L326" s="17">
        <v>3.3184597881946399E-10</v>
      </c>
      <c r="M326" s="17"/>
      <c r="N326" s="17"/>
      <c r="O326" s="17">
        <v>3.2423664261962903E-10</v>
      </c>
      <c r="P326" s="17"/>
      <c r="Q326" s="17"/>
      <c r="R326" s="17">
        <v>3.2699687063047698E-10</v>
      </c>
      <c r="S326" s="17"/>
      <c r="T326" s="17"/>
      <c r="U326" s="13">
        <v>3.4861729629602398E-10</v>
      </c>
    </row>
    <row r="327" spans="1:21" x14ac:dyDescent="0.15">
      <c r="A327" s="5" t="s">
        <v>94</v>
      </c>
      <c r="B327" t="s">
        <v>3607</v>
      </c>
      <c r="C327" s="17">
        <v>7.6471577482940194E-6</v>
      </c>
      <c r="D327" s="17"/>
      <c r="E327" s="17"/>
      <c r="F327" s="17">
        <v>5.4721763329217599E-6</v>
      </c>
      <c r="G327" s="17"/>
      <c r="H327" s="17"/>
      <c r="I327" s="17">
        <v>1.8400088946892699E-6</v>
      </c>
      <c r="J327" s="17"/>
      <c r="K327" s="17"/>
      <c r="L327" s="17">
        <v>3.4493735111141803E-11</v>
      </c>
      <c r="M327" s="17"/>
      <c r="N327" s="17"/>
      <c r="O327" s="17">
        <v>3.3702782548804003E-11</v>
      </c>
      <c r="P327" s="17"/>
      <c r="Q327" s="17"/>
      <c r="R327" s="17">
        <v>3.39896944896727E-11</v>
      </c>
      <c r="S327" s="17"/>
      <c r="T327" s="17"/>
      <c r="U327" s="13">
        <v>3.6237029950992903E-11</v>
      </c>
    </row>
    <row r="328" spans="1:21" x14ac:dyDescent="0.15">
      <c r="A328" s="5" t="s">
        <v>94</v>
      </c>
      <c r="B328" t="s">
        <v>3607</v>
      </c>
      <c r="C328" s="17">
        <v>2.5946653850979098E-4</v>
      </c>
      <c r="D328" s="17"/>
      <c r="E328" s="17"/>
      <c r="F328" s="17">
        <v>1.8566985250633301E-4</v>
      </c>
      <c r="G328" s="17"/>
      <c r="H328" s="17"/>
      <c r="I328" s="17">
        <v>6.2431135128441503E-5</v>
      </c>
      <c r="J328" s="17"/>
      <c r="K328" s="17"/>
      <c r="L328" s="17">
        <v>1.17036555857086E-9</v>
      </c>
      <c r="M328" s="17"/>
      <c r="N328" s="17"/>
      <c r="O328" s="17">
        <v>1.1435286957480599E-9</v>
      </c>
      <c r="P328" s="17"/>
      <c r="Q328" s="17"/>
      <c r="R328" s="17">
        <v>1.15326356072727E-9</v>
      </c>
      <c r="S328" s="17"/>
      <c r="T328" s="17"/>
      <c r="U328" s="13">
        <v>1.22951520509136E-9</v>
      </c>
    </row>
    <row r="329" spans="1:21" x14ac:dyDescent="0.15">
      <c r="A329" s="5" t="s">
        <v>94</v>
      </c>
      <c r="B329" t="s">
        <v>3607</v>
      </c>
      <c r="C329" s="17">
        <v>1.16276280382169E-4</v>
      </c>
      <c r="D329" s="17"/>
      <c r="E329" s="17"/>
      <c r="F329" s="17">
        <v>8.3205333344853403E-5</v>
      </c>
      <c r="G329" s="17"/>
      <c r="H329" s="17"/>
      <c r="I329" s="17">
        <v>2.7977635245239301E-5</v>
      </c>
      <c r="J329" s="17"/>
      <c r="K329" s="17"/>
      <c r="L329" s="17">
        <v>5.2448286634418698E-10</v>
      </c>
      <c r="M329" s="17"/>
      <c r="N329" s="17"/>
      <c r="O329" s="17">
        <v>5.1245630367416802E-10</v>
      </c>
      <c r="P329" s="17"/>
      <c r="Q329" s="17"/>
      <c r="R329" s="17">
        <v>5.1681884651420302E-10</v>
      </c>
      <c r="S329" s="17"/>
      <c r="T329" s="17"/>
      <c r="U329" s="13">
        <v>5.5098994861701405E-10</v>
      </c>
    </row>
    <row r="330" spans="1:21" x14ac:dyDescent="0.15">
      <c r="A330" s="5" t="s">
        <v>94</v>
      </c>
      <c r="B330" t="s">
        <v>3607</v>
      </c>
      <c r="C330" s="17">
        <v>4.9731461747783403E-5</v>
      </c>
      <c r="D330" s="17"/>
      <c r="E330" s="17"/>
      <c r="F330" s="17">
        <v>3.5586990217186901E-5</v>
      </c>
      <c r="G330" s="17"/>
      <c r="H330" s="17"/>
      <c r="I330" s="17">
        <v>1.19660578444631E-5</v>
      </c>
      <c r="J330" s="17"/>
      <c r="K330" s="17"/>
      <c r="L330" s="17">
        <v>2.2432175779303199E-10</v>
      </c>
      <c r="M330" s="17"/>
      <c r="N330" s="17"/>
      <c r="O330" s="17">
        <v>2.1917798694470801E-10</v>
      </c>
      <c r="P330" s="17"/>
      <c r="Q330" s="17"/>
      <c r="R330" s="17">
        <v>2.2104385014276701E-10</v>
      </c>
      <c r="S330" s="17"/>
      <c r="T330" s="17"/>
      <c r="U330" s="13">
        <v>2.3565885890913001E-10</v>
      </c>
    </row>
    <row r="331" spans="1:21" x14ac:dyDescent="0.15">
      <c r="A331" s="5" t="s">
        <v>94</v>
      </c>
      <c r="B331" t="s">
        <v>3607</v>
      </c>
      <c r="C331" s="17">
        <v>4.2903048606195002E-5</v>
      </c>
      <c r="D331" s="17"/>
      <c r="E331" s="17"/>
      <c r="F331" s="17">
        <v>3.0700693632923499E-5</v>
      </c>
      <c r="G331" s="17"/>
      <c r="H331" s="17"/>
      <c r="I331" s="17">
        <v>1.0323049902075799E-5</v>
      </c>
      <c r="J331" s="17"/>
      <c r="K331" s="17"/>
      <c r="L331" s="17">
        <v>1.93521101930017E-10</v>
      </c>
      <c r="M331" s="17"/>
      <c r="N331" s="17"/>
      <c r="O331" s="17">
        <v>1.89083600136002E-10</v>
      </c>
      <c r="P331" s="17"/>
      <c r="Q331" s="17"/>
      <c r="R331" s="17">
        <v>1.9069326968251201E-10</v>
      </c>
      <c r="S331" s="17"/>
      <c r="T331" s="17"/>
      <c r="U331" s="13">
        <v>2.0330155444726099E-10</v>
      </c>
    </row>
    <row r="332" spans="1:21" x14ac:dyDescent="0.15">
      <c r="A332" s="5" t="s">
        <v>94</v>
      </c>
      <c r="B332" t="s">
        <v>3607</v>
      </c>
      <c r="C332" s="17">
        <v>2.1102691998667301E-4</v>
      </c>
      <c r="D332" s="17"/>
      <c r="E332" s="17"/>
      <c r="F332" s="17">
        <v>1.5100728338160099E-4</v>
      </c>
      <c r="G332" s="17"/>
      <c r="H332" s="17"/>
      <c r="I332" s="17">
        <v>5.07759121198961E-5</v>
      </c>
      <c r="J332" s="17"/>
      <c r="K332" s="17"/>
      <c r="L332" s="17">
        <v>9.5187086744278198E-10</v>
      </c>
      <c r="M332" s="17"/>
      <c r="N332" s="17"/>
      <c r="O332" s="17">
        <v>9.3004415893491299E-10</v>
      </c>
      <c r="P332" s="17"/>
      <c r="Q332" s="17"/>
      <c r="R332" s="17">
        <v>9.3796162908288103E-10</v>
      </c>
      <c r="S332" s="17"/>
      <c r="T332" s="17"/>
      <c r="U332" s="13">
        <v>9.9997790966569298E-10</v>
      </c>
    </row>
    <row r="333" spans="1:21" x14ac:dyDescent="0.15">
      <c r="A333" s="5" t="s">
        <v>94</v>
      </c>
      <c r="B333" t="s">
        <v>3607</v>
      </c>
      <c r="C333" s="17">
        <v>4.1679087760332E-5</v>
      </c>
      <c r="D333" s="17"/>
      <c r="E333" s="17"/>
      <c r="F333" s="17">
        <v>2.98248480189569E-5</v>
      </c>
      <c r="G333" s="17"/>
      <c r="H333" s="17"/>
      <c r="I333" s="17">
        <v>1.00285484785055E-5</v>
      </c>
      <c r="J333" s="17"/>
      <c r="K333" s="17"/>
      <c r="L333" s="17">
        <v>1.8800022965390599E-10</v>
      </c>
      <c r="M333" s="17"/>
      <c r="N333" s="17"/>
      <c r="O333" s="17">
        <v>1.8368932325639E-10</v>
      </c>
      <c r="P333" s="17"/>
      <c r="Q333" s="17"/>
      <c r="R333" s="17">
        <v>1.85253071299331E-10</v>
      </c>
      <c r="S333" s="17"/>
      <c r="T333" s="17"/>
      <c r="U333" s="13">
        <v>1.9750166025254901E-10</v>
      </c>
    </row>
    <row r="334" spans="1:21" x14ac:dyDescent="0.15">
      <c r="A334" s="5" t="s">
        <v>94</v>
      </c>
      <c r="B334" t="s">
        <v>3607</v>
      </c>
      <c r="C334" s="17">
        <v>6.5942882032630595E-5</v>
      </c>
      <c r="D334" s="17"/>
      <c r="E334" s="17"/>
      <c r="F334" s="17">
        <v>4.7187607508700003E-5</v>
      </c>
      <c r="G334" s="17"/>
      <c r="H334" s="17"/>
      <c r="I334" s="17">
        <v>1.5866743367305801E-5</v>
      </c>
      <c r="J334" s="17"/>
      <c r="K334" s="17"/>
      <c r="L334" s="17">
        <v>2.9744597668411698E-10</v>
      </c>
      <c r="M334" s="17"/>
      <c r="N334" s="17"/>
      <c r="O334" s="17">
        <v>2.9062544371900601E-10</v>
      </c>
      <c r="P334" s="17"/>
      <c r="Q334" s="17"/>
      <c r="R334" s="17">
        <v>2.9309953944099901E-10</v>
      </c>
      <c r="S334" s="17"/>
      <c r="T334" s="17"/>
      <c r="U334" s="13">
        <v>3.1247873653506202E-10</v>
      </c>
    </row>
    <row r="335" spans="1:21" x14ac:dyDescent="0.15">
      <c r="A335" s="5" t="s">
        <v>94</v>
      </c>
      <c r="B335" t="s">
        <v>3607</v>
      </c>
      <c r="C335" s="17">
        <v>1.6050026466114399E-4</v>
      </c>
      <c r="D335" s="17"/>
      <c r="E335" s="17"/>
      <c r="F335" s="17">
        <v>1.14851266132483E-4</v>
      </c>
      <c r="G335" s="17"/>
      <c r="H335" s="17"/>
      <c r="I335" s="17">
        <v>3.8618520017109799E-5</v>
      </c>
      <c r="J335" s="17"/>
      <c r="K335" s="17"/>
      <c r="L335" s="17">
        <v>7.2396226110606299E-10</v>
      </c>
      <c r="M335" s="17"/>
      <c r="N335" s="17"/>
      <c r="O335" s="17">
        <v>7.0736157104995099E-10</v>
      </c>
      <c r="P335" s="17"/>
      <c r="Q335" s="17"/>
      <c r="R335" s="17">
        <v>7.1338334331614305E-10</v>
      </c>
      <c r="S335" s="17"/>
      <c r="T335" s="17"/>
      <c r="U335" s="13">
        <v>7.6055092481460598E-10</v>
      </c>
    </row>
    <row r="336" spans="1:21" x14ac:dyDescent="0.15">
      <c r="A336" s="5" t="s">
        <v>94</v>
      </c>
      <c r="B336" t="s">
        <v>3607</v>
      </c>
      <c r="C336" s="17">
        <v>6.7382265528974594E-5</v>
      </c>
      <c r="D336" s="17"/>
      <c r="E336" s="17"/>
      <c r="F336" s="17">
        <v>4.8217605916206297E-5</v>
      </c>
      <c r="G336" s="17"/>
      <c r="H336" s="17"/>
      <c r="I336" s="17">
        <v>1.6213078374810099E-5</v>
      </c>
      <c r="J336" s="17"/>
      <c r="K336" s="17"/>
      <c r="L336" s="17">
        <v>3.03938547477144E-10</v>
      </c>
      <c r="M336" s="17"/>
      <c r="N336" s="17"/>
      <c r="O336" s="17">
        <v>2.9696913775257597E-10</v>
      </c>
      <c r="P336" s="17"/>
      <c r="Q336" s="17"/>
      <c r="R336" s="17">
        <v>2.9949723737068101E-10</v>
      </c>
      <c r="S336" s="17"/>
      <c r="T336" s="17"/>
      <c r="U336" s="13">
        <v>3.1929943836766402E-10</v>
      </c>
    </row>
    <row r="337" spans="1:21" x14ac:dyDescent="0.15">
      <c r="A337" s="5" t="s">
        <v>94</v>
      </c>
      <c r="B337" t="s">
        <v>3607</v>
      </c>
      <c r="C337" s="17">
        <v>2.14120416952669E-5</v>
      </c>
      <c r="D337" s="17"/>
      <c r="E337" s="17"/>
      <c r="F337" s="17">
        <v>1.5322093732212201E-5</v>
      </c>
      <c r="G337" s="17"/>
      <c r="H337" s="17"/>
      <c r="I337" s="17">
        <v>5.1520249051404702E-6</v>
      </c>
      <c r="J337" s="17"/>
      <c r="K337" s="17"/>
      <c r="L337" s="17">
        <v>9.6582458311394198E-11</v>
      </c>
      <c r="M337" s="17"/>
      <c r="N337" s="17"/>
      <c r="O337" s="17">
        <v>9.4367791136843995E-11</v>
      </c>
      <c r="P337" s="17"/>
      <c r="Q337" s="17"/>
      <c r="R337" s="17">
        <v>9.5171144571277899E-11</v>
      </c>
      <c r="S337" s="17"/>
      <c r="T337" s="17"/>
      <c r="U337" s="13">
        <v>1.01463683862987E-10</v>
      </c>
    </row>
    <row r="338" spans="1:21" x14ac:dyDescent="0.15">
      <c r="A338" s="5" t="s">
        <v>94</v>
      </c>
      <c r="B338" t="s">
        <v>3607</v>
      </c>
      <c r="C338" s="17">
        <v>4.0140651405405702E-5</v>
      </c>
      <c r="D338" s="17"/>
      <c r="E338" s="17"/>
      <c r="F338" s="17">
        <v>2.8723969066510501E-5</v>
      </c>
      <c r="G338" s="17"/>
      <c r="H338" s="17"/>
      <c r="I338" s="17">
        <v>9.6583800224397095E-6</v>
      </c>
      <c r="J338" s="17"/>
      <c r="K338" s="17"/>
      <c r="L338" s="17">
        <v>1.8106086500904599E-10</v>
      </c>
      <c r="M338" s="17"/>
      <c r="N338" s="17"/>
      <c r="O338" s="17">
        <v>1.7690908049929201E-10</v>
      </c>
      <c r="P338" s="17"/>
      <c r="Q338" s="17"/>
      <c r="R338" s="17">
        <v>1.7841510830485499E-10</v>
      </c>
      <c r="S338" s="17"/>
      <c r="T338" s="17"/>
      <c r="U338" s="13">
        <v>1.90211583846894E-10</v>
      </c>
    </row>
    <row r="339" spans="1:21" x14ac:dyDescent="0.15">
      <c r="A339" s="5" t="s">
        <v>94</v>
      </c>
      <c r="B339" t="s">
        <v>3607</v>
      </c>
      <c r="C339" s="17">
        <v>3.7662251910423598E-5</v>
      </c>
      <c r="D339" s="17"/>
      <c r="E339" s="17"/>
      <c r="F339" s="17">
        <v>2.69504684396937E-5</v>
      </c>
      <c r="G339" s="17"/>
      <c r="H339" s="17"/>
      <c r="I339" s="17">
        <v>9.06204380636285E-6</v>
      </c>
      <c r="J339" s="17"/>
      <c r="K339" s="17"/>
      <c r="L339" s="17">
        <v>1.69881645422714E-10</v>
      </c>
      <c r="M339" s="17"/>
      <c r="N339" s="17"/>
      <c r="O339" s="17">
        <v>1.6598620405319301E-10</v>
      </c>
      <c r="P339" s="17"/>
      <c r="Q339" s="17"/>
      <c r="R339" s="17">
        <v>1.6739924536197401E-10</v>
      </c>
      <c r="S339" s="17"/>
      <c r="T339" s="17"/>
      <c r="U339" s="13">
        <v>1.78467372508998E-10</v>
      </c>
    </row>
    <row r="340" spans="1:21" x14ac:dyDescent="0.15">
      <c r="A340" s="5" t="s">
        <v>94</v>
      </c>
      <c r="B340" t="s">
        <v>3607</v>
      </c>
      <c r="C340" s="17">
        <v>3.7894991493960102E-5</v>
      </c>
      <c r="D340" s="17"/>
      <c r="E340" s="17"/>
      <c r="F340" s="17">
        <v>2.7117012936705999E-5</v>
      </c>
      <c r="G340" s="17"/>
      <c r="H340" s="17"/>
      <c r="I340" s="17">
        <v>9.1180440770450006E-6</v>
      </c>
      <c r="J340" s="17"/>
      <c r="K340" s="17"/>
      <c r="L340" s="17">
        <v>1.7093145475169999E-10</v>
      </c>
      <c r="M340" s="17"/>
      <c r="N340" s="17"/>
      <c r="O340" s="17">
        <v>1.6701194091290101E-10</v>
      </c>
      <c r="P340" s="17"/>
      <c r="Q340" s="17"/>
      <c r="R340" s="17">
        <v>1.68433714324227E-10</v>
      </c>
      <c r="S340" s="17"/>
      <c r="T340" s="17"/>
      <c r="U340" s="13">
        <v>1.7957023863743301E-10</v>
      </c>
    </row>
    <row r="341" spans="1:21" x14ac:dyDescent="0.15">
      <c r="A341" s="5" t="s">
        <v>94</v>
      </c>
      <c r="B341" t="s">
        <v>3607</v>
      </c>
      <c r="C341" s="17">
        <v>1.9512512646959501E-4</v>
      </c>
      <c r="D341" s="17"/>
      <c r="E341" s="17"/>
      <c r="F341" s="17">
        <v>1.3962822975156799E-4</v>
      </c>
      <c r="G341" s="17"/>
      <c r="H341" s="17"/>
      <c r="I341" s="17">
        <v>4.6949726957250202E-5</v>
      </c>
      <c r="J341" s="17"/>
      <c r="K341" s="17"/>
      <c r="L341" s="17">
        <v>8.8014326989289305E-10</v>
      </c>
      <c r="M341" s="17"/>
      <c r="N341" s="17"/>
      <c r="O341" s="17">
        <v>8.5996129852032205E-10</v>
      </c>
      <c r="P341" s="17"/>
      <c r="Q341" s="17"/>
      <c r="R341" s="17">
        <v>8.6728215295936198E-10</v>
      </c>
      <c r="S341" s="17"/>
      <c r="T341" s="17"/>
      <c r="U341" s="13">
        <v>9.2462523787316999E-10</v>
      </c>
    </row>
    <row r="342" spans="1:21" x14ac:dyDescent="0.15">
      <c r="A342" s="5" t="s">
        <v>94</v>
      </c>
      <c r="B342" t="s">
        <v>3607</v>
      </c>
      <c r="C342" s="17">
        <v>4.9810426963700898E-5</v>
      </c>
      <c r="D342" s="17"/>
      <c r="E342" s="17"/>
      <c r="F342" s="17">
        <v>3.5643496385869499E-5</v>
      </c>
      <c r="G342" s="17"/>
      <c r="H342" s="17"/>
      <c r="I342" s="17">
        <v>1.19850579363197E-5</v>
      </c>
      <c r="J342" s="17"/>
      <c r="K342" s="17"/>
      <c r="L342" s="17">
        <v>2.2467794310141801E-10</v>
      </c>
      <c r="M342" s="17"/>
      <c r="N342" s="17"/>
      <c r="O342" s="17">
        <v>2.1952600480815299E-10</v>
      </c>
      <c r="P342" s="17"/>
      <c r="Q342" s="17"/>
      <c r="R342" s="17">
        <v>2.21394830683864E-10</v>
      </c>
      <c r="S342" s="17"/>
      <c r="T342" s="17"/>
      <c r="U342" s="13">
        <v>2.3603304563163199E-10</v>
      </c>
    </row>
    <row r="343" spans="1:21" x14ac:dyDescent="0.15">
      <c r="A343" s="5" t="s">
        <v>94</v>
      </c>
      <c r="B343" t="s">
        <v>3607</v>
      </c>
      <c r="C343" s="17">
        <v>1.5638437595288701E-4</v>
      </c>
      <c r="D343" s="17"/>
      <c r="E343" s="17"/>
      <c r="F343" s="17">
        <v>1.11906006008446E-4</v>
      </c>
      <c r="G343" s="17"/>
      <c r="H343" s="17"/>
      <c r="I343" s="17">
        <v>3.76281818964618E-5</v>
      </c>
      <c r="J343" s="17"/>
      <c r="K343" s="17"/>
      <c r="L343" s="17">
        <v>7.0539688302409004E-10</v>
      </c>
      <c r="M343" s="17"/>
      <c r="N343" s="17"/>
      <c r="O343" s="17">
        <v>6.8922190312425498E-10</v>
      </c>
      <c r="P343" s="17"/>
      <c r="Q343" s="17"/>
      <c r="R343" s="17">
        <v>6.9508925231502996E-10</v>
      </c>
      <c r="S343" s="17"/>
      <c r="T343" s="17"/>
      <c r="U343" s="13">
        <v>7.4104726249910799E-10</v>
      </c>
    </row>
    <row r="344" spans="1:21" x14ac:dyDescent="0.15">
      <c r="A344" s="5" t="s">
        <v>94</v>
      </c>
      <c r="B344" t="s">
        <v>3607</v>
      </c>
      <c r="C344" s="17">
        <v>5.6789151086545802E-5</v>
      </c>
      <c r="D344" s="17"/>
      <c r="E344" s="17"/>
      <c r="F344" s="17">
        <v>4.06373529579458E-5</v>
      </c>
      <c r="G344" s="17"/>
      <c r="H344" s="17"/>
      <c r="I344" s="17">
        <v>1.3664232720242699E-5</v>
      </c>
      <c r="J344" s="17"/>
      <c r="K344" s="17"/>
      <c r="L344" s="17">
        <v>2.5615660082373998E-10</v>
      </c>
      <c r="M344" s="17"/>
      <c r="N344" s="17"/>
      <c r="O344" s="17">
        <v>2.5028284667306698E-10</v>
      </c>
      <c r="P344" s="17"/>
      <c r="Q344" s="17"/>
      <c r="R344" s="17">
        <v>2.5241350568322902E-10</v>
      </c>
      <c r="S344" s="17"/>
      <c r="T344" s="17"/>
      <c r="U344" s="13">
        <v>2.6910261780250399E-10</v>
      </c>
    </row>
    <row r="345" spans="1:21" x14ac:dyDescent="0.15">
      <c r="A345" s="5" t="s">
        <v>94</v>
      </c>
      <c r="B345" t="s">
        <v>3607</v>
      </c>
      <c r="C345" s="17">
        <v>6.3632803129295398E-5</v>
      </c>
      <c r="D345" s="17"/>
      <c r="E345" s="17"/>
      <c r="F345" s="17">
        <v>4.5534554241316797E-5</v>
      </c>
      <c r="G345" s="17"/>
      <c r="H345" s="17"/>
      <c r="I345" s="17">
        <v>1.5310907346985799E-5</v>
      </c>
      <c r="J345" s="17"/>
      <c r="K345" s="17"/>
      <c r="L345" s="17">
        <v>2.8702599420170302E-10</v>
      </c>
      <c r="M345" s="17"/>
      <c r="N345" s="17"/>
      <c r="O345" s="17">
        <v>2.8044439482315302E-10</v>
      </c>
      <c r="P345" s="17"/>
      <c r="Q345" s="17"/>
      <c r="R345" s="17">
        <v>2.82831819229667E-10</v>
      </c>
      <c r="S345" s="17"/>
      <c r="T345" s="17"/>
      <c r="U345" s="13">
        <v>3.0153213373639599E-10</v>
      </c>
    </row>
    <row r="346" spans="1:21" x14ac:dyDescent="0.15">
      <c r="A346" s="5" t="s">
        <v>94</v>
      </c>
      <c r="B346" t="s">
        <v>3607</v>
      </c>
      <c r="C346" s="17">
        <v>8.6643544107508903E-5</v>
      </c>
      <c r="D346" s="17"/>
      <c r="E346" s="17"/>
      <c r="F346" s="17">
        <v>6.2000650054766407E-5</v>
      </c>
      <c r="G346" s="17"/>
      <c r="H346" s="17"/>
      <c r="I346" s="17">
        <v>2.0847600778313202E-5</v>
      </c>
      <c r="J346" s="17"/>
      <c r="K346" s="17"/>
      <c r="L346" s="17">
        <v>3.90819642788417E-10</v>
      </c>
      <c r="M346" s="17"/>
      <c r="N346" s="17"/>
      <c r="O346" s="17">
        <v>3.8185802129745898E-10</v>
      </c>
      <c r="P346" s="17"/>
      <c r="Q346" s="17"/>
      <c r="R346" s="17">
        <v>3.8510878036662699E-10</v>
      </c>
      <c r="S346" s="17"/>
      <c r="T346" s="17"/>
      <c r="U346" s="13">
        <v>4.1057145755681597E-10</v>
      </c>
    </row>
    <row r="347" spans="1:21" x14ac:dyDescent="0.15">
      <c r="A347" s="5" t="s">
        <v>94</v>
      </c>
      <c r="B347" t="s">
        <v>3607</v>
      </c>
      <c r="C347" s="17">
        <v>1.8543803397755599E-4</v>
      </c>
      <c r="D347" s="17"/>
      <c r="E347" s="17"/>
      <c r="F347" s="17">
        <v>1.3269631072824399E-4</v>
      </c>
      <c r="G347" s="17"/>
      <c r="H347" s="17"/>
      <c r="I347" s="17">
        <v>4.4618882356456399E-5</v>
      </c>
      <c r="J347" s="17"/>
      <c r="K347" s="17"/>
      <c r="L347" s="17">
        <v>8.3644808098534403E-10</v>
      </c>
      <c r="M347" s="17"/>
      <c r="N347" s="17"/>
      <c r="O347" s="17">
        <v>8.1726805450267599E-10</v>
      </c>
      <c r="P347" s="17"/>
      <c r="Q347" s="17"/>
      <c r="R347" s="17">
        <v>8.2422546116154097E-10</v>
      </c>
      <c r="S347" s="17"/>
      <c r="T347" s="17"/>
      <c r="U347" s="13">
        <v>8.7872171759462201E-10</v>
      </c>
    </row>
    <row r="348" spans="1:21" x14ac:dyDescent="0.15">
      <c r="A348" s="5" t="s">
        <v>94</v>
      </c>
      <c r="B348" t="s">
        <v>3607</v>
      </c>
      <c r="C348" s="17">
        <v>6.3598861939894306E-5</v>
      </c>
      <c r="D348" s="17"/>
      <c r="E348" s="17"/>
      <c r="F348" s="17">
        <v>4.5510266502072299E-5</v>
      </c>
      <c r="G348" s="17"/>
      <c r="H348" s="17"/>
      <c r="I348" s="17">
        <v>1.5302740640812101E-5</v>
      </c>
      <c r="J348" s="17"/>
      <c r="K348" s="17"/>
      <c r="L348" s="17">
        <v>2.8687289700728201E-10</v>
      </c>
      <c r="M348" s="17"/>
      <c r="N348" s="17"/>
      <c r="O348" s="17">
        <v>2.8029480819718198E-10</v>
      </c>
      <c r="P348" s="17"/>
      <c r="Q348" s="17"/>
      <c r="R348" s="17">
        <v>2.8268095917207E-10</v>
      </c>
      <c r="S348" s="17"/>
      <c r="T348" s="17"/>
      <c r="U348" s="13">
        <v>3.01371299092025E-10</v>
      </c>
    </row>
    <row r="349" spans="1:21" x14ac:dyDescent="0.15">
      <c r="A349" s="5" t="s">
        <v>94</v>
      </c>
      <c r="B349" t="s">
        <v>3607</v>
      </c>
      <c r="C349" s="17">
        <v>1.49573279744449E-4</v>
      </c>
      <c r="D349" s="17"/>
      <c r="E349" s="17"/>
      <c r="F349" s="17">
        <v>1.0703210112772399E-4</v>
      </c>
      <c r="G349" s="17"/>
      <c r="H349" s="17"/>
      <c r="I349" s="17">
        <v>3.5989340640845403E-5</v>
      </c>
      <c r="J349" s="17"/>
      <c r="K349" s="17"/>
      <c r="L349" s="17">
        <v>6.7467433797357501E-10</v>
      </c>
      <c r="M349" s="17"/>
      <c r="N349" s="17"/>
      <c r="O349" s="17">
        <v>6.5920383602171796E-10</v>
      </c>
      <c r="P349" s="17"/>
      <c r="Q349" s="17"/>
      <c r="R349" s="17">
        <v>6.6481564127094998E-10</v>
      </c>
      <c r="S349" s="17"/>
      <c r="T349" s="17"/>
      <c r="U349" s="13">
        <v>7.0877201652823397E-10</v>
      </c>
    </row>
    <row r="350" spans="1:21" x14ac:dyDescent="0.15">
      <c r="A350" s="5" t="s">
        <v>94</v>
      </c>
      <c r="B350" t="s">
        <v>3607</v>
      </c>
      <c r="C350" s="17">
        <v>3.8025214832575601E-5</v>
      </c>
      <c r="D350" s="17"/>
      <c r="E350" s="17"/>
      <c r="F350" s="17">
        <v>2.72101985482784E-5</v>
      </c>
      <c r="G350" s="17"/>
      <c r="H350" s="17"/>
      <c r="I350" s="17">
        <v>9.1493775618815193E-6</v>
      </c>
      <c r="J350" s="17"/>
      <c r="K350" s="17"/>
      <c r="L350" s="17">
        <v>1.7151884806766699E-10</v>
      </c>
      <c r="M350" s="17"/>
      <c r="N350" s="17"/>
      <c r="O350" s="17">
        <v>1.67585865109132E-10</v>
      </c>
      <c r="P350" s="17"/>
      <c r="Q350" s="17"/>
      <c r="R350" s="17">
        <v>1.6901252433974601E-10</v>
      </c>
      <c r="S350" s="17"/>
      <c r="T350" s="17"/>
      <c r="U350" s="13">
        <v>1.80187318495997E-10</v>
      </c>
    </row>
    <row r="351" spans="1:21" x14ac:dyDescent="0.15">
      <c r="A351" s="5" t="s">
        <v>94</v>
      </c>
      <c r="B351" t="s">
        <v>3607</v>
      </c>
      <c r="C351" s="17">
        <v>7.4017421694823002E-5</v>
      </c>
      <c r="D351" s="17"/>
      <c r="E351" s="17"/>
      <c r="F351" s="17">
        <v>5.2965611087682699E-5</v>
      </c>
      <c r="G351" s="17"/>
      <c r="H351" s="17"/>
      <c r="I351" s="17">
        <v>1.7809586092404499E-5</v>
      </c>
      <c r="J351" s="17"/>
      <c r="K351" s="17"/>
      <c r="L351" s="17">
        <v>3.33867486664634E-10</v>
      </c>
      <c r="M351" s="17"/>
      <c r="N351" s="17"/>
      <c r="O351" s="17">
        <v>3.2621179663258E-10</v>
      </c>
      <c r="P351" s="17"/>
      <c r="Q351" s="17"/>
      <c r="R351" s="17">
        <v>3.2898883913850899E-10</v>
      </c>
      <c r="S351" s="17"/>
      <c r="T351" s="17"/>
      <c r="U351" s="13">
        <v>3.5074097006157998E-10</v>
      </c>
    </row>
    <row r="352" spans="1:21" x14ac:dyDescent="0.15">
      <c r="A352" s="5" t="s">
        <v>94</v>
      </c>
      <c r="B352" t="s">
        <v>3607</v>
      </c>
      <c r="C352" s="17">
        <v>3.05886309932125E-5</v>
      </c>
      <c r="D352" s="17"/>
      <c r="E352" s="17"/>
      <c r="F352" s="17">
        <v>2.1888705331713101E-5</v>
      </c>
      <c r="G352" s="17"/>
      <c r="H352" s="17"/>
      <c r="I352" s="17">
        <v>7.3600355787658499E-6</v>
      </c>
      <c r="J352" s="17"/>
      <c r="K352" s="17"/>
      <c r="L352" s="17">
        <v>1.3797494044473099E-10</v>
      </c>
      <c r="M352" s="17"/>
      <c r="N352" s="17"/>
      <c r="O352" s="17">
        <v>1.3481113019537599E-10</v>
      </c>
      <c r="P352" s="17"/>
      <c r="Q352" s="17"/>
      <c r="R352" s="17">
        <v>1.35958777958852E-10</v>
      </c>
      <c r="S352" s="17"/>
      <c r="T352" s="17"/>
      <c r="U352" s="13">
        <v>1.44948119804144E-10</v>
      </c>
    </row>
    <row r="353" spans="1:21" x14ac:dyDescent="0.15">
      <c r="A353" s="5" t="s">
        <v>94</v>
      </c>
      <c r="B353" t="s">
        <v>3607</v>
      </c>
      <c r="C353" s="17">
        <v>2.09480204395877E-3</v>
      </c>
      <c r="D353" s="17"/>
      <c r="E353" s="17"/>
      <c r="F353" s="17">
        <v>1.49900479948443E-3</v>
      </c>
      <c r="G353" s="17"/>
      <c r="H353" s="17"/>
      <c r="I353" s="17">
        <v>5.0403751568447498E-4</v>
      </c>
      <c r="J353" s="17"/>
      <c r="K353" s="17"/>
      <c r="L353" s="17">
        <v>9.4489415797277094E-9</v>
      </c>
      <c r="M353" s="17"/>
      <c r="N353" s="17"/>
      <c r="O353" s="17">
        <v>9.2322742768164792E-9</v>
      </c>
      <c r="P353" s="17"/>
      <c r="Q353" s="17"/>
      <c r="R353" s="17">
        <v>9.3108686696550506E-9</v>
      </c>
      <c r="S353" s="17"/>
      <c r="T353" s="17"/>
      <c r="U353" s="13">
        <v>9.9264860104748793E-9</v>
      </c>
    </row>
    <row r="354" spans="1:21" x14ac:dyDescent="0.15">
      <c r="A354" s="5" t="s">
        <v>94</v>
      </c>
      <c r="B354" t="s">
        <v>3607</v>
      </c>
      <c r="C354" s="17">
        <v>1.15981892515968E-5</v>
      </c>
      <c r="D354" s="17"/>
      <c r="E354" s="17"/>
      <c r="F354" s="17">
        <v>8.29946743827727E-6</v>
      </c>
      <c r="G354" s="17"/>
      <c r="H354" s="17"/>
      <c r="I354" s="17">
        <v>2.7906801569496301E-6</v>
      </c>
      <c r="J354" s="17"/>
      <c r="K354" s="17"/>
      <c r="L354" s="17">
        <v>5.2315498251977799E-11</v>
      </c>
      <c r="M354" s="17"/>
      <c r="N354" s="17"/>
      <c r="O354" s="17">
        <v>5.11158868657637E-11</v>
      </c>
      <c r="P354" s="17"/>
      <c r="Q354" s="17"/>
      <c r="R354" s="17">
        <v>5.15510366427486E-11</v>
      </c>
      <c r="S354" s="17"/>
      <c r="T354" s="17"/>
      <c r="U354" s="13">
        <v>5.4959495425756003E-11</v>
      </c>
    </row>
    <row r="355" spans="1:21" x14ac:dyDescent="0.15">
      <c r="A355" s="5" t="s">
        <v>94</v>
      </c>
      <c r="B355" t="s">
        <v>3607</v>
      </c>
      <c r="C355" s="17">
        <v>1.4181321559120899E-4</v>
      </c>
      <c r="D355" s="17"/>
      <c r="E355" s="17"/>
      <c r="F355" s="17">
        <v>1.0147913088714101E-4</v>
      </c>
      <c r="G355" s="17"/>
      <c r="H355" s="17"/>
      <c r="I355" s="17">
        <v>3.4122164948215598E-5</v>
      </c>
      <c r="J355" s="17"/>
      <c r="K355" s="17"/>
      <c r="L355" s="17">
        <v>6.3967132036130702E-10</v>
      </c>
      <c r="M355" s="17"/>
      <c r="N355" s="17"/>
      <c r="O355" s="17">
        <v>6.2500344898514201E-10</v>
      </c>
      <c r="P355" s="17"/>
      <c r="Q355" s="17"/>
      <c r="R355" s="17">
        <v>6.3032410618423999E-10</v>
      </c>
      <c r="S355" s="17"/>
      <c r="T355" s="17"/>
      <c r="U355" s="13">
        <v>6.7199996521213399E-10</v>
      </c>
    </row>
    <row r="356" spans="1:21" x14ac:dyDescent="0.15">
      <c r="A356" s="5" t="s">
        <v>94</v>
      </c>
      <c r="B356" t="s">
        <v>3609</v>
      </c>
      <c r="C356" s="17">
        <v>5.8376713042690598E-2</v>
      </c>
      <c r="D356" s="17"/>
      <c r="E356" s="17"/>
      <c r="F356" s="17">
        <v>0.102250481038036</v>
      </c>
      <c r="G356" s="17"/>
      <c r="H356" s="17"/>
      <c r="I356" s="17">
        <v>0.174166997795249</v>
      </c>
      <c r="J356" s="17"/>
      <c r="K356" s="17"/>
      <c r="L356" s="17">
        <v>0.242437389132001</v>
      </c>
      <c r="M356" s="17"/>
      <c r="N356" s="17"/>
      <c r="O356" s="17">
        <v>0.30503570298412502</v>
      </c>
      <c r="P356" s="17"/>
      <c r="Q356" s="17"/>
      <c r="R356" s="17">
        <v>0.35085635424684303</v>
      </c>
      <c r="S356" s="17"/>
      <c r="T356" s="17"/>
      <c r="U356">
        <v>0.389342334301023</v>
      </c>
    </row>
    <row r="357" spans="1:21" x14ac:dyDescent="0.15">
      <c r="A357" s="5" t="s">
        <v>94</v>
      </c>
      <c r="B357" t="s">
        <v>3596</v>
      </c>
      <c r="C357" s="17">
        <v>4.6813344137299001E-5</v>
      </c>
      <c r="D357" s="17"/>
      <c r="E357" s="17"/>
      <c r="F357" s="17">
        <v>9.2400512630748394E-5</v>
      </c>
      <c r="G357" s="17"/>
      <c r="H357" s="17"/>
      <c r="I357" s="17">
        <v>1.2548069515188299E-4</v>
      </c>
      <c r="J357" s="17"/>
      <c r="K357" s="17"/>
      <c r="L357" s="17">
        <v>1.1146203593348299E-4</v>
      </c>
      <c r="M357" s="17"/>
      <c r="N357" s="17"/>
      <c r="O357" s="17">
        <v>1.03625718011448E-4</v>
      </c>
      <c r="P357" s="17"/>
      <c r="Q357" s="17"/>
      <c r="R357" s="17">
        <v>9.3663717255610402E-5</v>
      </c>
      <c r="S357" s="17"/>
      <c r="T357" s="17"/>
      <c r="U357" s="13">
        <v>9.2400236063390796E-5</v>
      </c>
    </row>
    <row r="358" spans="1:21" x14ac:dyDescent="0.15">
      <c r="A358" s="5" t="s">
        <v>94</v>
      </c>
      <c r="B358" t="s">
        <v>3595</v>
      </c>
      <c r="C358" s="17">
        <v>3.8505052027071402E-6</v>
      </c>
      <c r="D358" s="17"/>
      <c r="E358" s="17"/>
      <c r="F358" s="17">
        <v>7.6001546391133499E-6</v>
      </c>
      <c r="G358" s="17"/>
      <c r="H358" s="17"/>
      <c r="I358" s="17">
        <v>1.03210757194479E-5</v>
      </c>
      <c r="J358" s="17"/>
      <c r="K358" s="17"/>
      <c r="L358" s="17">
        <v>9.1680087627888405E-6</v>
      </c>
      <c r="M358" s="17"/>
      <c r="N358" s="17"/>
      <c r="O358" s="17">
        <v>8.5234535940667494E-6</v>
      </c>
      <c r="P358" s="17"/>
      <c r="Q358" s="17"/>
      <c r="R358" s="17">
        <v>7.7040561242507795E-6</v>
      </c>
      <c r="S358" s="17"/>
      <c r="T358" s="17"/>
      <c r="U358" s="13">
        <v>7.6001318908122196E-6</v>
      </c>
    </row>
    <row r="359" spans="1:21" x14ac:dyDescent="0.15">
      <c r="A359" s="5" t="s">
        <v>94</v>
      </c>
      <c r="B359" t="s">
        <v>3583</v>
      </c>
      <c r="C359" s="17">
        <v>1.4394836351842399E-4</v>
      </c>
      <c r="D359" s="17"/>
      <c r="E359" s="17"/>
      <c r="F359" s="17">
        <v>1.94253351445978E-4</v>
      </c>
      <c r="G359" s="17"/>
      <c r="H359" s="17"/>
      <c r="I359" s="17">
        <v>1.01888444558514E-3</v>
      </c>
      <c r="J359" s="17"/>
      <c r="K359" s="17"/>
      <c r="L359" s="17">
        <v>1.31370348434265E-3</v>
      </c>
      <c r="M359" s="17"/>
      <c r="N359" s="17"/>
      <c r="O359" s="17">
        <v>1.6378779504227501E-3</v>
      </c>
      <c r="P359" s="17"/>
      <c r="Q359" s="17"/>
      <c r="R359" s="17">
        <v>2.1033282706958202E-3</v>
      </c>
      <c r="S359" s="17"/>
      <c r="T359" s="17"/>
      <c r="U359">
        <v>2.8248064022300301E-3</v>
      </c>
    </row>
    <row r="360" spans="1:21" x14ac:dyDescent="0.15">
      <c r="A360" s="5" t="s">
        <v>94</v>
      </c>
      <c r="B360" t="s">
        <v>3583</v>
      </c>
      <c r="C360" s="17">
        <v>5.6883815088266195E-4</v>
      </c>
      <c r="D360" s="17"/>
      <c r="E360" s="17"/>
      <c r="F360" s="17">
        <v>7.6762746403259501E-4</v>
      </c>
      <c r="G360" s="17"/>
      <c r="H360" s="17"/>
      <c r="I360" s="17">
        <v>4.0263072800795002E-3</v>
      </c>
      <c r="J360" s="17"/>
      <c r="K360" s="17"/>
      <c r="L360" s="17">
        <v>5.1913383561734E-3</v>
      </c>
      <c r="M360" s="17"/>
      <c r="N360" s="17"/>
      <c r="O360" s="17">
        <v>6.4723727447635396E-3</v>
      </c>
      <c r="P360" s="17"/>
      <c r="Q360" s="17"/>
      <c r="R360" s="17">
        <v>8.3116843773545293E-3</v>
      </c>
      <c r="S360" s="17"/>
      <c r="T360" s="17"/>
      <c r="U360">
        <v>1.11627364922448E-2</v>
      </c>
    </row>
    <row r="361" spans="1:21" x14ac:dyDescent="0.15">
      <c r="A361" s="5" t="s">
        <v>94</v>
      </c>
      <c r="B361" t="s">
        <v>3583</v>
      </c>
      <c r="C361" s="17">
        <v>2.7275353527839299E-4</v>
      </c>
      <c r="D361" s="17"/>
      <c r="E361" s="17"/>
      <c r="F361" s="17">
        <v>3.6807148793869599E-4</v>
      </c>
      <c r="G361" s="17"/>
      <c r="H361" s="17"/>
      <c r="I361" s="17">
        <v>1.9305834938369701E-3</v>
      </c>
      <c r="J361" s="17"/>
      <c r="K361" s="17"/>
      <c r="L361" s="17">
        <v>2.4892069691097298E-3</v>
      </c>
      <c r="M361" s="17"/>
      <c r="N361" s="17"/>
      <c r="O361" s="17">
        <v>3.10345314398212E-3</v>
      </c>
      <c r="P361" s="17"/>
      <c r="Q361" s="17"/>
      <c r="R361" s="17">
        <v>3.9853889801939003E-3</v>
      </c>
      <c r="S361" s="17"/>
      <c r="T361" s="17"/>
      <c r="U361">
        <v>5.3524466263672804E-3</v>
      </c>
    </row>
    <row r="362" spans="1:21" x14ac:dyDescent="0.15">
      <c r="A362" s="5" t="s">
        <v>94</v>
      </c>
      <c r="B362" t="s">
        <v>3583</v>
      </c>
      <c r="C362" s="17">
        <v>4.2260070023755097E-5</v>
      </c>
      <c r="D362" s="17"/>
      <c r="E362" s="17"/>
      <c r="F362" s="17">
        <v>5.7028506846522397E-5</v>
      </c>
      <c r="G362" s="17"/>
      <c r="H362" s="17"/>
      <c r="I362" s="17">
        <v>2.99122039070852E-4</v>
      </c>
      <c r="J362" s="17"/>
      <c r="K362" s="17"/>
      <c r="L362" s="17">
        <v>3.8567441742167499E-4</v>
      </c>
      <c r="M362" s="17"/>
      <c r="N362" s="17"/>
      <c r="O362" s="17">
        <v>4.8084490287637698E-4</v>
      </c>
      <c r="P362" s="17"/>
      <c r="Q362" s="17"/>
      <c r="R362" s="17">
        <v>6.1749086846112295E-4</v>
      </c>
      <c r="S362" s="17"/>
      <c r="T362" s="17"/>
      <c r="U362">
        <v>8.2930096212253197E-4</v>
      </c>
    </row>
    <row r="363" spans="1:21" x14ac:dyDescent="0.15">
      <c r="A363" s="5" t="s">
        <v>94</v>
      </c>
      <c r="B363" t="s">
        <v>3583</v>
      </c>
      <c r="C363" s="17">
        <v>5.6786969094357402E-5</v>
      </c>
      <c r="D363" s="17"/>
      <c r="E363" s="17"/>
      <c r="F363" s="17">
        <v>7.6632056074928806E-5</v>
      </c>
      <c r="G363" s="17"/>
      <c r="H363" s="17"/>
      <c r="I363" s="17">
        <v>4.0194524000100698E-4</v>
      </c>
      <c r="J363" s="17"/>
      <c r="K363" s="17"/>
      <c r="L363" s="17">
        <v>5.1824999840979703E-4</v>
      </c>
      <c r="M363" s="17"/>
      <c r="N363" s="17"/>
      <c r="O363" s="17">
        <v>6.4613533823940897E-4</v>
      </c>
      <c r="P363" s="17"/>
      <c r="Q363" s="17"/>
      <c r="R363" s="17">
        <v>8.2975335449370503E-4</v>
      </c>
      <c r="S363" s="17"/>
      <c r="T363" s="17"/>
      <c r="U363">
        <v>1.1143731678508999E-3</v>
      </c>
    </row>
    <row r="364" spans="1:21" x14ac:dyDescent="0.15">
      <c r="A364" s="5" t="s">
        <v>94</v>
      </c>
      <c r="B364" t="s">
        <v>3599</v>
      </c>
      <c r="C364" s="17">
        <v>9.2136583900655797E-4</v>
      </c>
      <c r="D364" s="17"/>
      <c r="E364" s="17"/>
      <c r="F364" s="17">
        <v>1.2948478943462999E-3</v>
      </c>
      <c r="G364" s="17"/>
      <c r="H364" s="17"/>
      <c r="I364" s="17">
        <v>1.71177678550046E-3</v>
      </c>
      <c r="J364" s="17"/>
      <c r="K364" s="17"/>
      <c r="L364" s="17">
        <v>1.95311369132452E-3</v>
      </c>
      <c r="M364" s="17"/>
      <c r="N364" s="17"/>
      <c r="O364" s="17">
        <v>2.1019517524615999E-3</v>
      </c>
      <c r="P364" s="17"/>
      <c r="Q364" s="17"/>
      <c r="R364" s="17">
        <v>2.2890861600113901E-3</v>
      </c>
      <c r="S364" s="17"/>
      <c r="T364" s="17"/>
      <c r="U364">
        <v>2.7385660079345402E-3</v>
      </c>
    </row>
    <row r="365" spans="1:21" x14ac:dyDescent="0.15">
      <c r="A365" s="5" t="s">
        <v>94</v>
      </c>
      <c r="B365" t="s">
        <v>3599</v>
      </c>
      <c r="C365" s="17">
        <v>1.3122483161608501E-4</v>
      </c>
      <c r="D365" s="17"/>
      <c r="E365" s="17"/>
      <c r="F365" s="17">
        <v>1.84417730406897E-4</v>
      </c>
      <c r="G365" s="17"/>
      <c r="H365" s="17"/>
      <c r="I365" s="17">
        <v>2.4379851187430701E-4</v>
      </c>
      <c r="J365" s="17"/>
      <c r="K365" s="17"/>
      <c r="L365" s="17">
        <v>2.7817073785530903E-4</v>
      </c>
      <c r="M365" s="17"/>
      <c r="N365" s="17"/>
      <c r="O365" s="17">
        <v>2.9936888595665098E-4</v>
      </c>
      <c r="P365" s="17"/>
      <c r="Q365" s="17"/>
      <c r="R365" s="17">
        <v>3.2602136218343902E-4</v>
      </c>
      <c r="S365" s="17"/>
      <c r="T365" s="17"/>
      <c r="U365">
        <v>3.9003818900885798E-4</v>
      </c>
    </row>
    <row r="366" spans="1:21" x14ac:dyDescent="0.15">
      <c r="A366" s="5" t="s">
        <v>94</v>
      </c>
      <c r="B366" t="s">
        <v>3599</v>
      </c>
      <c r="C366" s="17">
        <v>1.2284877853420699E-3</v>
      </c>
      <c r="D366" s="17"/>
      <c r="E366" s="17"/>
      <c r="F366" s="17">
        <v>1.7264638591284001E-3</v>
      </c>
      <c r="G366" s="17"/>
      <c r="H366" s="17"/>
      <c r="I366" s="17">
        <v>2.28236904733394E-3</v>
      </c>
      <c r="J366" s="17"/>
      <c r="K366" s="17"/>
      <c r="L366" s="17">
        <v>2.60415158843269E-3</v>
      </c>
      <c r="M366" s="17"/>
      <c r="N366" s="17"/>
      <c r="O366" s="17">
        <v>2.8026023366154599E-3</v>
      </c>
      <c r="P366" s="17"/>
      <c r="Q366" s="17"/>
      <c r="R366" s="17">
        <v>3.05211488001518E-3</v>
      </c>
      <c r="S366" s="17"/>
      <c r="T366" s="17"/>
      <c r="U366">
        <v>3.6514213439127201E-3</v>
      </c>
    </row>
    <row r="367" spans="1:21" x14ac:dyDescent="0.15">
      <c r="A367" s="5" t="s">
        <v>94</v>
      </c>
      <c r="B367" t="s">
        <v>3599</v>
      </c>
      <c r="C367" s="17">
        <v>1.28432813922125E-4</v>
      </c>
      <c r="D367" s="17"/>
      <c r="E367" s="17"/>
      <c r="F367" s="17">
        <v>1.8049394890887801E-4</v>
      </c>
      <c r="G367" s="17"/>
      <c r="H367" s="17"/>
      <c r="I367" s="17">
        <v>2.38611309494003E-4</v>
      </c>
      <c r="J367" s="17"/>
      <c r="K367" s="17"/>
      <c r="L367" s="17">
        <v>2.7225221151796201E-4</v>
      </c>
      <c r="M367" s="17"/>
      <c r="N367" s="17"/>
      <c r="O367" s="17">
        <v>2.92999335191616E-4</v>
      </c>
      <c r="P367" s="17"/>
      <c r="Q367" s="17"/>
      <c r="R367" s="17">
        <v>3.1908473745613199E-4</v>
      </c>
      <c r="S367" s="17"/>
      <c r="T367" s="17"/>
      <c r="U367">
        <v>3.8173950413632901E-4</v>
      </c>
    </row>
    <row r="368" spans="1:21" x14ac:dyDescent="0.15">
      <c r="A368" s="5" t="s">
        <v>94</v>
      </c>
      <c r="B368" t="s">
        <v>3599</v>
      </c>
      <c r="C368" s="17">
        <v>8.6552548512736907E-5</v>
      </c>
      <c r="D368" s="17"/>
      <c r="E368" s="17"/>
      <c r="F368" s="17">
        <v>1.21637226438591E-4</v>
      </c>
      <c r="G368" s="17"/>
      <c r="H368" s="17"/>
      <c r="I368" s="17">
        <v>1.60803273789436E-4</v>
      </c>
      <c r="J368" s="17"/>
      <c r="K368" s="17"/>
      <c r="L368" s="17">
        <v>1.8347431645775701E-4</v>
      </c>
      <c r="M368" s="17"/>
      <c r="N368" s="17"/>
      <c r="O368" s="17">
        <v>1.9745607371608899E-4</v>
      </c>
      <c r="P368" s="17"/>
      <c r="Q368" s="17"/>
      <c r="R368" s="17">
        <v>2.1503536654652401E-4</v>
      </c>
      <c r="S368" s="17"/>
      <c r="T368" s="17"/>
      <c r="U368">
        <v>2.5725923104839501E-4</v>
      </c>
    </row>
    <row r="369" spans="1:21" x14ac:dyDescent="0.15">
      <c r="A369" s="5" t="s">
        <v>94</v>
      </c>
      <c r="B369" t="s">
        <v>3599</v>
      </c>
      <c r="C369" s="17">
        <v>7.5384477736899799E-5</v>
      </c>
      <c r="D369" s="17"/>
      <c r="E369" s="17"/>
      <c r="F369" s="17">
        <v>1.0594210044651499E-4</v>
      </c>
      <c r="G369" s="17"/>
      <c r="H369" s="17"/>
      <c r="I369" s="17">
        <v>1.40054464268218E-4</v>
      </c>
      <c r="J369" s="17"/>
      <c r="K369" s="17"/>
      <c r="L369" s="17">
        <v>1.5980021110836799E-4</v>
      </c>
      <c r="M369" s="17"/>
      <c r="N369" s="17"/>
      <c r="O369" s="17">
        <v>1.71977870655948E-4</v>
      </c>
      <c r="P369" s="17"/>
      <c r="Q369" s="17"/>
      <c r="R369" s="17">
        <v>1.8728886763729399E-4</v>
      </c>
      <c r="S369" s="17"/>
      <c r="T369" s="17"/>
      <c r="U369">
        <v>2.24064491558279E-4</v>
      </c>
    </row>
    <row r="370" spans="1:21" x14ac:dyDescent="0.15">
      <c r="A370" s="5" t="s">
        <v>94</v>
      </c>
      <c r="B370" t="s">
        <v>3599</v>
      </c>
      <c r="C370" s="17">
        <v>1.36808867004003E-4</v>
      </c>
      <c r="D370" s="17"/>
      <c r="E370" s="17"/>
      <c r="F370" s="17">
        <v>1.9226529340293501E-4</v>
      </c>
      <c r="G370" s="17"/>
      <c r="H370" s="17"/>
      <c r="I370" s="17">
        <v>2.5417291663491602E-4</v>
      </c>
      <c r="J370" s="17"/>
      <c r="K370" s="17"/>
      <c r="L370" s="17">
        <v>2.9000779053000398E-4</v>
      </c>
      <c r="M370" s="17"/>
      <c r="N370" s="17"/>
      <c r="O370" s="17">
        <v>3.12107987486722E-4</v>
      </c>
      <c r="P370" s="17"/>
      <c r="Q370" s="17"/>
      <c r="R370" s="17">
        <v>3.3989461163805399E-4</v>
      </c>
      <c r="S370" s="17"/>
      <c r="T370" s="17"/>
      <c r="U370">
        <v>4.0663555875391702E-4</v>
      </c>
    </row>
    <row r="371" spans="1:21" x14ac:dyDescent="0.15">
      <c r="A371" s="5" t="s">
        <v>94</v>
      </c>
      <c r="B371" t="s">
        <v>3599</v>
      </c>
      <c r="C371" s="17">
        <v>7.4421103953873898E-4</v>
      </c>
      <c r="D371" s="17"/>
      <c r="E371" s="17"/>
      <c r="F371" s="17">
        <v>1.04588216395675E-3</v>
      </c>
      <c r="G371" s="17"/>
      <c r="H371" s="17"/>
      <c r="I371" s="17">
        <v>1.38264642236916E-3</v>
      </c>
      <c r="J371" s="17"/>
      <c r="K371" s="17"/>
      <c r="L371" s="17">
        <v>1.5775804886853601E-3</v>
      </c>
      <c r="M371" s="17"/>
      <c r="N371" s="17"/>
      <c r="O371" s="17">
        <v>1.69780084363274E-3</v>
      </c>
      <c r="P371" s="17"/>
      <c r="Q371" s="17"/>
      <c r="R371" s="17">
        <v>1.8489541489541701E-3</v>
      </c>
      <c r="S371" s="17"/>
      <c r="T371" s="17"/>
      <c r="U371">
        <v>2.2120106577946498E-3</v>
      </c>
    </row>
    <row r="372" spans="1:21" x14ac:dyDescent="0.15">
      <c r="A372" s="5" t="s">
        <v>94</v>
      </c>
      <c r="B372" t="s">
        <v>3599</v>
      </c>
      <c r="C372" s="17">
        <v>2.1768596024063398E-3</v>
      </c>
      <c r="D372" s="17"/>
      <c r="E372" s="17"/>
      <c r="F372" s="17">
        <v>3.0592647926936298E-3</v>
      </c>
      <c r="G372" s="17"/>
      <c r="H372" s="17"/>
      <c r="I372" s="17">
        <v>4.0443193951175196E-3</v>
      </c>
      <c r="J372" s="17"/>
      <c r="K372" s="17"/>
      <c r="L372" s="17">
        <v>4.61451262197363E-3</v>
      </c>
      <c r="M372" s="17"/>
      <c r="N372" s="17"/>
      <c r="O372" s="17">
        <v>4.9661639952643302E-3</v>
      </c>
      <c r="P372" s="17"/>
      <c r="Q372" s="17"/>
      <c r="R372" s="17">
        <v>5.4082960070769501E-3</v>
      </c>
      <c r="S372" s="17"/>
      <c r="T372" s="17"/>
      <c r="U372">
        <v>6.4702569368360304E-3</v>
      </c>
    </row>
    <row r="373" spans="1:21" x14ac:dyDescent="0.15">
      <c r="A373" s="5" t="s">
        <v>94</v>
      </c>
      <c r="B373" t="s">
        <v>3599</v>
      </c>
      <c r="C373" s="17">
        <v>7.9293302508442898E-3</v>
      </c>
      <c r="D373" s="17"/>
      <c r="E373" s="17"/>
      <c r="F373" s="17">
        <v>1.1143539454374201E-2</v>
      </c>
      <c r="G373" s="17"/>
      <c r="H373" s="17"/>
      <c r="I373" s="17">
        <v>1.4731654760064499E-2</v>
      </c>
      <c r="J373" s="17"/>
      <c r="K373" s="17"/>
      <c r="L373" s="17">
        <v>1.6808614798065499E-2</v>
      </c>
      <c r="M373" s="17"/>
      <c r="N373" s="17"/>
      <c r="O373" s="17">
        <v>1.8089524172699701E-2</v>
      </c>
      <c r="P373" s="17"/>
      <c r="Q373" s="17"/>
      <c r="R373" s="17">
        <v>1.9700014225552499E-2</v>
      </c>
      <c r="S373" s="17"/>
      <c r="T373" s="17"/>
      <c r="U373">
        <v>2.3568265037982001E-2</v>
      </c>
    </row>
    <row r="374" spans="1:21" x14ac:dyDescent="0.15">
      <c r="A374" s="5" t="s">
        <v>94</v>
      </c>
      <c r="B374" t="s">
        <v>3599</v>
      </c>
      <c r="C374" s="17">
        <v>2.6244966323216998E-3</v>
      </c>
      <c r="D374" s="17"/>
      <c r="E374" s="17"/>
      <c r="F374" s="17">
        <v>3.6883546081379502E-3</v>
      </c>
      <c r="G374" s="17"/>
      <c r="H374" s="17"/>
      <c r="I374" s="17">
        <v>4.8759702374861604E-3</v>
      </c>
      <c r="J374" s="17"/>
      <c r="K374" s="17"/>
      <c r="L374" s="17">
        <v>5.5634147571061903E-3</v>
      </c>
      <c r="M374" s="17"/>
      <c r="N374" s="17"/>
      <c r="O374" s="17">
        <v>5.9873777191330304E-3</v>
      </c>
      <c r="P374" s="17"/>
      <c r="Q374" s="17"/>
      <c r="R374" s="17">
        <v>6.5204272436688001E-3</v>
      </c>
      <c r="S374" s="17"/>
      <c r="T374" s="17"/>
      <c r="U374">
        <v>7.8007637801771803E-3</v>
      </c>
    </row>
    <row r="375" spans="1:21" x14ac:dyDescent="0.15">
      <c r="A375" s="5" t="s">
        <v>94</v>
      </c>
      <c r="B375" t="s">
        <v>3599</v>
      </c>
      <c r="C375" s="17">
        <v>7.8176495430859504E-4</v>
      </c>
      <c r="D375" s="17"/>
      <c r="E375" s="17"/>
      <c r="F375" s="17">
        <v>1.0986588194453501E-3</v>
      </c>
      <c r="G375" s="17"/>
      <c r="H375" s="17"/>
      <c r="I375" s="17">
        <v>1.45241666648524E-3</v>
      </c>
      <c r="J375" s="17"/>
      <c r="K375" s="17"/>
      <c r="L375" s="17">
        <v>1.65718737445717E-3</v>
      </c>
      <c r="M375" s="17"/>
      <c r="N375" s="17"/>
      <c r="O375" s="17">
        <v>1.7834742142098399E-3</v>
      </c>
      <c r="P375" s="17"/>
      <c r="Q375" s="17"/>
      <c r="R375" s="17">
        <v>1.9422549236460299E-3</v>
      </c>
      <c r="S375" s="17"/>
      <c r="T375" s="17"/>
      <c r="U375">
        <v>2.3236317643080999E-3</v>
      </c>
    </row>
    <row r="376" spans="1:21" x14ac:dyDescent="0.15">
      <c r="A376" s="5" t="s">
        <v>94</v>
      </c>
      <c r="B376" t="s">
        <v>3599</v>
      </c>
      <c r="C376" s="17">
        <v>2.17777380128822E-4</v>
      </c>
      <c r="D376" s="17"/>
      <c r="E376" s="17"/>
      <c r="F376" s="17">
        <v>3.0605495684548901E-4</v>
      </c>
      <c r="G376" s="17"/>
      <c r="H376" s="17"/>
      <c r="I376" s="17">
        <v>4.0460178566374498E-4</v>
      </c>
      <c r="J376" s="17"/>
      <c r="K376" s="17"/>
      <c r="L376" s="17">
        <v>4.6164505431306701E-4</v>
      </c>
      <c r="M376" s="17"/>
      <c r="N376" s="17"/>
      <c r="O376" s="17">
        <v>4.96824959672741E-4</v>
      </c>
      <c r="P376" s="17"/>
      <c r="Q376" s="17"/>
      <c r="R376" s="17">
        <v>5.4105672872996498E-4</v>
      </c>
      <c r="S376" s="17"/>
      <c r="T376" s="17"/>
      <c r="U376">
        <v>6.4729742005725495E-4</v>
      </c>
    </row>
    <row r="377" spans="1:21" x14ac:dyDescent="0.15">
      <c r="A377" s="5" t="s">
        <v>94</v>
      </c>
      <c r="B377" t="s">
        <v>3599</v>
      </c>
      <c r="C377" s="17">
        <v>3.5179422943886602E-3</v>
      </c>
      <c r="D377" s="17"/>
      <c r="E377" s="17"/>
      <c r="F377" s="17">
        <v>4.9439646875040497E-3</v>
      </c>
      <c r="G377" s="17"/>
      <c r="H377" s="17"/>
      <c r="I377" s="17">
        <v>6.5358749991835698E-3</v>
      </c>
      <c r="J377" s="17"/>
      <c r="K377" s="17"/>
      <c r="L377" s="17">
        <v>7.4573431850572299E-3</v>
      </c>
      <c r="M377" s="17"/>
      <c r="N377" s="17"/>
      <c r="O377" s="17">
        <v>8.0256339639442707E-3</v>
      </c>
      <c r="P377" s="17"/>
      <c r="Q377" s="17"/>
      <c r="R377" s="17">
        <v>8.7401471564071097E-3</v>
      </c>
      <c r="S377" s="17"/>
      <c r="T377" s="17"/>
      <c r="U377">
        <v>1.0456342939386401E-2</v>
      </c>
    </row>
    <row r="378" spans="1:21" x14ac:dyDescent="0.15">
      <c r="A378" s="5" t="s">
        <v>94</v>
      </c>
      <c r="B378" t="s">
        <v>3599</v>
      </c>
      <c r="C378" s="17">
        <v>1.68587935732768E-3</v>
      </c>
      <c r="D378" s="17"/>
      <c r="E378" s="17"/>
      <c r="F378" s="17">
        <v>2.3692622881605601E-3</v>
      </c>
      <c r="G378" s="17"/>
      <c r="H378" s="17"/>
      <c r="I378" s="17">
        <v>3.13214254843611E-3</v>
      </c>
      <c r="J378" s="17"/>
      <c r="K378" s="17"/>
      <c r="L378" s="17">
        <v>3.5737314271043299E-3</v>
      </c>
      <c r="M378" s="17"/>
      <c r="N378" s="17"/>
      <c r="O378" s="17">
        <v>3.8460695193503298E-3</v>
      </c>
      <c r="P378" s="17"/>
      <c r="Q378" s="17"/>
      <c r="R378" s="17">
        <v>4.1884807759627E-3</v>
      </c>
      <c r="S378" s="17"/>
      <c r="T378" s="17"/>
      <c r="U378">
        <v>5.0109215102159699E-3</v>
      </c>
    </row>
    <row r="379" spans="1:21" x14ac:dyDescent="0.15">
      <c r="A379" s="5" t="s">
        <v>94</v>
      </c>
      <c r="B379" t="s">
        <v>3599</v>
      </c>
      <c r="C379" s="17">
        <v>8.9344566206696102E-5</v>
      </c>
      <c r="D379" s="17"/>
      <c r="E379" s="17"/>
      <c r="F379" s="17">
        <v>1.2556100793661E-4</v>
      </c>
      <c r="G379" s="17"/>
      <c r="H379" s="17"/>
      <c r="I379" s="17">
        <v>1.6599047616974101E-4</v>
      </c>
      <c r="J379" s="17"/>
      <c r="K379" s="17"/>
      <c r="L379" s="17">
        <v>1.89392842795104E-4</v>
      </c>
      <c r="M379" s="17"/>
      <c r="N379" s="17"/>
      <c r="O379" s="17">
        <v>2.0382562448112299E-4</v>
      </c>
      <c r="P379" s="17"/>
      <c r="Q379" s="17"/>
      <c r="R379" s="17">
        <v>2.2197199127383101E-4</v>
      </c>
      <c r="S379" s="17"/>
      <c r="T379" s="17"/>
      <c r="U379">
        <v>2.6555791592092399E-4</v>
      </c>
    </row>
    <row r="380" spans="1:21" x14ac:dyDescent="0.15">
      <c r="A380" s="5" t="s">
        <v>94</v>
      </c>
      <c r="B380" t="s">
        <v>3599</v>
      </c>
      <c r="C380" s="17">
        <v>9.2136583900655799E-5</v>
      </c>
      <c r="D380" s="17"/>
      <c r="E380" s="17"/>
      <c r="F380" s="17">
        <v>1.2948478943462999E-4</v>
      </c>
      <c r="G380" s="17"/>
      <c r="H380" s="17"/>
      <c r="I380" s="17">
        <v>1.7117767855004599E-4</v>
      </c>
      <c r="J380" s="17"/>
      <c r="K380" s="17"/>
      <c r="L380" s="17">
        <v>1.95311369132452E-4</v>
      </c>
      <c r="M380" s="17"/>
      <c r="N380" s="17"/>
      <c r="O380" s="17">
        <v>2.1019517524615999E-4</v>
      </c>
      <c r="P380" s="17"/>
      <c r="Q380" s="17"/>
      <c r="R380" s="17">
        <v>2.2890861600113901E-4</v>
      </c>
      <c r="S380" s="17"/>
      <c r="T380" s="17"/>
      <c r="U380">
        <v>2.73856600793454E-4</v>
      </c>
    </row>
    <row r="381" spans="1:21" x14ac:dyDescent="0.15">
      <c r="A381" s="5" t="s">
        <v>94</v>
      </c>
      <c r="B381" t="s">
        <v>3599</v>
      </c>
      <c r="C381" s="17">
        <v>7.8176495430859504E-4</v>
      </c>
      <c r="D381" s="17"/>
      <c r="E381" s="17"/>
      <c r="F381" s="17">
        <v>1.0986588194453501E-3</v>
      </c>
      <c r="G381" s="17"/>
      <c r="H381" s="17"/>
      <c r="I381" s="17">
        <v>1.45241666648524E-3</v>
      </c>
      <c r="J381" s="17"/>
      <c r="K381" s="17"/>
      <c r="L381" s="17">
        <v>1.65718737445717E-3</v>
      </c>
      <c r="M381" s="17"/>
      <c r="N381" s="17"/>
      <c r="O381" s="17">
        <v>1.7834742142098399E-3</v>
      </c>
      <c r="P381" s="17"/>
      <c r="Q381" s="17"/>
      <c r="R381" s="17">
        <v>1.9422549236460299E-3</v>
      </c>
      <c r="S381" s="17"/>
      <c r="T381" s="17"/>
      <c r="U381">
        <v>2.3236317643080999E-3</v>
      </c>
    </row>
    <row r="382" spans="1:21" x14ac:dyDescent="0.15">
      <c r="A382" s="5" t="s">
        <v>94</v>
      </c>
      <c r="B382" t="s">
        <v>3599</v>
      </c>
      <c r="C382" s="17">
        <v>1.0051263698253299E-3</v>
      </c>
      <c r="D382" s="17"/>
      <c r="E382" s="17"/>
      <c r="F382" s="17">
        <v>1.41256133928687E-3</v>
      </c>
      <c r="G382" s="17"/>
      <c r="H382" s="17"/>
      <c r="I382" s="17">
        <v>1.86739285690959E-3</v>
      </c>
      <c r="J382" s="17"/>
      <c r="K382" s="17"/>
      <c r="L382" s="17">
        <v>2.1306694814449199E-3</v>
      </c>
      <c r="M382" s="17"/>
      <c r="N382" s="17"/>
      <c r="O382" s="17">
        <v>2.29303827541264E-3</v>
      </c>
      <c r="P382" s="17"/>
      <c r="Q382" s="17"/>
      <c r="R382" s="17">
        <v>2.4971849018306002E-3</v>
      </c>
      <c r="S382" s="17"/>
      <c r="T382" s="17"/>
      <c r="U382">
        <v>2.9875265541103998E-3</v>
      </c>
    </row>
    <row r="383" spans="1:21" x14ac:dyDescent="0.15">
      <c r="A383" s="5" t="s">
        <v>94</v>
      </c>
      <c r="B383" t="s">
        <v>3599</v>
      </c>
      <c r="C383" s="17">
        <v>7.2592460042940603E-5</v>
      </c>
      <c r="D383" s="17"/>
      <c r="E383" s="17"/>
      <c r="F383" s="17">
        <v>1.02018318948496E-4</v>
      </c>
      <c r="G383" s="17"/>
      <c r="H383" s="17"/>
      <c r="I383" s="17">
        <v>1.3486726188791399E-4</v>
      </c>
      <c r="J383" s="17"/>
      <c r="K383" s="17"/>
      <c r="L383" s="17">
        <v>1.53881684771022E-4</v>
      </c>
      <c r="M383" s="17"/>
      <c r="N383" s="17"/>
      <c r="O383" s="17">
        <v>1.65608319890913E-4</v>
      </c>
      <c r="P383" s="17"/>
      <c r="Q383" s="17"/>
      <c r="R383" s="17">
        <v>1.8035224290998699E-4</v>
      </c>
      <c r="S383" s="17"/>
      <c r="T383" s="17"/>
      <c r="U383">
        <v>2.15765806685751E-4</v>
      </c>
    </row>
    <row r="384" spans="1:21" x14ac:dyDescent="0.15">
      <c r="A384" s="5" t="s">
        <v>94</v>
      </c>
      <c r="B384" t="s">
        <v>3599</v>
      </c>
      <c r="C384" s="17">
        <v>1.4239290239192199E-3</v>
      </c>
      <c r="D384" s="17"/>
      <c r="E384" s="17"/>
      <c r="F384" s="17">
        <v>2.0011285639897299E-3</v>
      </c>
      <c r="G384" s="17"/>
      <c r="H384" s="17"/>
      <c r="I384" s="17">
        <v>2.64547321395525E-3</v>
      </c>
      <c r="J384" s="17"/>
      <c r="K384" s="17"/>
      <c r="L384" s="17">
        <v>3.0184484320469702E-3</v>
      </c>
      <c r="M384" s="17"/>
      <c r="N384" s="17"/>
      <c r="O384" s="17">
        <v>3.2484708901679101E-3</v>
      </c>
      <c r="P384" s="17"/>
      <c r="Q384" s="17"/>
      <c r="R384" s="17">
        <v>3.5376786109266802E-3</v>
      </c>
      <c r="S384" s="17"/>
      <c r="T384" s="17"/>
      <c r="U384">
        <v>4.2323292849897401E-3</v>
      </c>
    </row>
    <row r="385" spans="1:21" x14ac:dyDescent="0.15">
      <c r="A385" s="5" t="s">
        <v>94</v>
      </c>
      <c r="B385" t="s">
        <v>3599</v>
      </c>
      <c r="C385" s="17">
        <v>7.45519636726447E-4</v>
      </c>
      <c r="D385" s="17"/>
      <c r="E385" s="17"/>
      <c r="F385" s="17">
        <v>1.0477212101220399E-3</v>
      </c>
      <c r="G385" s="17"/>
      <c r="H385" s="17"/>
      <c r="I385" s="17">
        <v>1.3850776241705E-3</v>
      </c>
      <c r="J385" s="17"/>
      <c r="K385" s="17"/>
      <c r="L385" s="17">
        <v>1.5803544563923601E-3</v>
      </c>
      <c r="M385" s="17"/>
      <c r="N385" s="17"/>
      <c r="O385" s="17">
        <v>1.7007862030149899E-3</v>
      </c>
      <c r="P385" s="17"/>
      <c r="Q385" s="17"/>
      <c r="R385" s="17">
        <v>1.8522052915346701E-3</v>
      </c>
      <c r="S385" s="17"/>
      <c r="T385" s="17"/>
      <c r="U385">
        <v>2.2159001874739802E-3</v>
      </c>
    </row>
    <row r="386" spans="1:21" x14ac:dyDescent="0.15">
      <c r="A386" s="5" t="s">
        <v>94</v>
      </c>
      <c r="B386" t="s">
        <v>3599</v>
      </c>
      <c r="C386" s="17">
        <v>1.3122483161608501E-4</v>
      </c>
      <c r="D386" s="17"/>
      <c r="E386" s="17"/>
      <c r="F386" s="17">
        <v>1.84417730406897E-4</v>
      </c>
      <c r="G386" s="17"/>
      <c r="H386" s="17"/>
      <c r="I386" s="17">
        <v>2.4379851187430701E-4</v>
      </c>
      <c r="J386" s="17"/>
      <c r="K386" s="17"/>
      <c r="L386" s="17">
        <v>2.7817073785530903E-4</v>
      </c>
      <c r="M386" s="17"/>
      <c r="N386" s="17"/>
      <c r="O386" s="17">
        <v>2.9936888595665098E-4</v>
      </c>
      <c r="P386" s="17"/>
      <c r="Q386" s="17"/>
      <c r="R386" s="17">
        <v>3.2602136218343902E-4</v>
      </c>
      <c r="S386" s="17"/>
      <c r="T386" s="17"/>
      <c r="U386">
        <v>3.9003818900885798E-4</v>
      </c>
    </row>
    <row r="387" spans="1:21" x14ac:dyDescent="0.15">
      <c r="A387" s="5" t="s">
        <v>94</v>
      </c>
      <c r="B387" t="s">
        <v>3599</v>
      </c>
      <c r="C387" s="17">
        <v>6.4862610640672004E-4</v>
      </c>
      <c r="D387" s="17"/>
      <c r="E387" s="17"/>
      <c r="F387" s="17">
        <v>9.1155121293009502E-4</v>
      </c>
      <c r="G387" s="17"/>
      <c r="H387" s="17"/>
      <c r="I387" s="17">
        <v>1.2050621635958799E-3</v>
      </c>
      <c r="J387" s="17"/>
      <c r="K387" s="17"/>
      <c r="L387" s="17">
        <v>1.3749592999230599E-3</v>
      </c>
      <c r="M387" s="17"/>
      <c r="N387" s="17"/>
      <c r="O387" s="17">
        <v>1.47973880008833E-3</v>
      </c>
      <c r="P387" s="17"/>
      <c r="Q387" s="17"/>
      <c r="R387" s="17">
        <v>1.6114782861915201E-3</v>
      </c>
      <c r="S387" s="17"/>
      <c r="T387" s="17"/>
      <c r="U387">
        <v>1.9279045647922399E-3</v>
      </c>
    </row>
    <row r="388" spans="1:21" x14ac:dyDescent="0.15">
      <c r="A388" s="5" t="s">
        <v>94</v>
      </c>
      <c r="B388" t="s">
        <v>3599</v>
      </c>
      <c r="C388" s="17">
        <v>1.3680886700400299E-3</v>
      </c>
      <c r="D388" s="17"/>
      <c r="E388" s="17"/>
      <c r="F388" s="17">
        <v>1.9226529340293499E-3</v>
      </c>
      <c r="G388" s="17"/>
      <c r="H388" s="17"/>
      <c r="I388" s="17">
        <v>2.5417291663491601E-3</v>
      </c>
      <c r="J388" s="17"/>
      <c r="K388" s="17"/>
      <c r="L388" s="17">
        <v>2.9000779053000398E-3</v>
      </c>
      <c r="M388" s="17"/>
      <c r="N388" s="17"/>
      <c r="O388" s="17">
        <v>3.12107987486722E-3</v>
      </c>
      <c r="P388" s="17"/>
      <c r="Q388" s="17"/>
      <c r="R388" s="17">
        <v>3.3989461163805401E-3</v>
      </c>
      <c r="S388" s="17"/>
      <c r="T388" s="17"/>
      <c r="U388">
        <v>4.0663555875391699E-3</v>
      </c>
    </row>
    <row r="389" spans="1:21" x14ac:dyDescent="0.15">
      <c r="A389" s="5" t="s">
        <v>94</v>
      </c>
      <c r="B389" t="s">
        <v>3600</v>
      </c>
      <c r="C389" s="17">
        <v>4.81363850656961E-4</v>
      </c>
      <c r="D389" s="17"/>
      <c r="E389" s="17"/>
      <c r="F389" s="17">
        <v>6.7648803770459503E-4</v>
      </c>
      <c r="G389" s="17"/>
      <c r="H389" s="17"/>
      <c r="I389" s="17">
        <v>8.9431084814490603E-4</v>
      </c>
      <c r="J389" s="17"/>
      <c r="K389" s="17"/>
      <c r="L389" s="17">
        <v>1.02039633707334E-3</v>
      </c>
      <c r="M389" s="17"/>
      <c r="N389" s="17"/>
      <c r="O389" s="17">
        <v>1.0981561792555901E-3</v>
      </c>
      <c r="P389" s="17"/>
      <c r="Q389" s="17"/>
      <c r="R389" s="17">
        <v>1.19592379250431E-3</v>
      </c>
      <c r="S389" s="17"/>
      <c r="T389" s="17"/>
      <c r="U389">
        <v>1.4307527184630601E-3</v>
      </c>
    </row>
    <row r="390" spans="1:21" x14ac:dyDescent="0.15">
      <c r="A390" s="5" t="s">
        <v>94</v>
      </c>
      <c r="B390" t="s">
        <v>3600</v>
      </c>
      <c r="C390" s="17">
        <v>5.8088126065567001E-4</v>
      </c>
      <c r="D390" s="17"/>
      <c r="E390" s="17"/>
      <c r="F390" s="17">
        <v>8.1634552246501104E-4</v>
      </c>
      <c r="G390" s="17"/>
      <c r="H390" s="17"/>
      <c r="I390" s="17">
        <v>1.0792011327386999E-3</v>
      </c>
      <c r="J390" s="17"/>
      <c r="K390" s="17"/>
      <c r="L390" s="17">
        <v>1.23135360048047E-3</v>
      </c>
      <c r="M390" s="17"/>
      <c r="N390" s="17"/>
      <c r="O390" s="17">
        <v>1.3251895524190301E-3</v>
      </c>
      <c r="P390" s="17"/>
      <c r="Q390" s="17"/>
      <c r="R390" s="17">
        <v>1.4431696923022099E-3</v>
      </c>
      <c r="S390" s="17"/>
      <c r="T390" s="17"/>
      <c r="U390">
        <v>1.7265472711610499E-3</v>
      </c>
    </row>
    <row r="391" spans="1:21" x14ac:dyDescent="0.15">
      <c r="A391" s="5" t="s">
        <v>94</v>
      </c>
      <c r="B391" t="s">
        <v>3600</v>
      </c>
      <c r="C391" s="17">
        <v>2.2421906750001299E-4</v>
      </c>
      <c r="D391" s="17"/>
      <c r="E391" s="17"/>
      <c r="F391" s="17">
        <v>3.1510782702528302E-4</v>
      </c>
      <c r="G391" s="17"/>
      <c r="H391" s="17"/>
      <c r="I391" s="17">
        <v>4.1656959522931803E-4</v>
      </c>
      <c r="J391" s="17"/>
      <c r="K391" s="17"/>
      <c r="L391" s="17">
        <v>4.7530015988271802E-4</v>
      </c>
      <c r="M391" s="17"/>
      <c r="N391" s="17"/>
      <c r="O391" s="17">
        <v>5.1152065977953299E-4</v>
      </c>
      <c r="P391" s="17"/>
      <c r="Q391" s="17"/>
      <c r="R391" s="17">
        <v>5.5706077053860304E-4</v>
      </c>
      <c r="S391" s="17"/>
      <c r="T391" s="17"/>
      <c r="U391">
        <v>6.6644397978591295E-4</v>
      </c>
    </row>
    <row r="392" spans="1:21" x14ac:dyDescent="0.15">
      <c r="A392" s="5" t="s">
        <v>94</v>
      </c>
      <c r="B392" t="s">
        <v>3600</v>
      </c>
      <c r="C392" s="17">
        <v>3.3978624752255997E-4</v>
      </c>
      <c r="D392" s="17"/>
      <c r="E392" s="17"/>
      <c r="F392" s="17">
        <v>4.77520967791479E-4</v>
      </c>
      <c r="G392" s="17"/>
      <c r="H392" s="17"/>
      <c r="I392" s="17">
        <v>6.3127824574934501E-4</v>
      </c>
      <c r="J392" s="17"/>
      <c r="K392" s="17"/>
      <c r="L392" s="17">
        <v>7.2027976734589103E-4</v>
      </c>
      <c r="M392" s="17"/>
      <c r="N392" s="17"/>
      <c r="O392" s="17">
        <v>7.7516906770982899E-4</v>
      </c>
      <c r="P392" s="17"/>
      <c r="Q392" s="17"/>
      <c r="R392" s="17">
        <v>8.4418150059127899E-4</v>
      </c>
      <c r="S392" s="17"/>
      <c r="T392" s="17"/>
      <c r="U392">
        <v>1.0099430953856899E-3</v>
      </c>
    </row>
    <row r="393" spans="1:21" x14ac:dyDescent="0.15">
      <c r="A393" s="5" t="s">
        <v>94</v>
      </c>
      <c r="B393" t="s">
        <v>3600</v>
      </c>
      <c r="C393" s="17">
        <v>7.5252608602128504E-4</v>
      </c>
      <c r="D393" s="17"/>
      <c r="E393" s="17"/>
      <c r="F393" s="17">
        <v>1.0575677724018501E-3</v>
      </c>
      <c r="G393" s="17"/>
      <c r="H393" s="17"/>
      <c r="I393" s="17">
        <v>1.3980946872565699E-3</v>
      </c>
      <c r="J393" s="17"/>
      <c r="K393" s="17"/>
      <c r="L393" s="17">
        <v>1.59520674575016E-3</v>
      </c>
      <c r="M393" s="17"/>
      <c r="N393" s="17"/>
      <c r="O393" s="17">
        <v>1.71677031893327E-3</v>
      </c>
      <c r="P393" s="17"/>
      <c r="Q393" s="17"/>
      <c r="R393" s="17">
        <v>1.86961245536975E-3</v>
      </c>
      <c r="S393" s="17"/>
      <c r="T393" s="17"/>
      <c r="U393">
        <v>2.2367253831376802E-3</v>
      </c>
    </row>
    <row r="394" spans="1:21" x14ac:dyDescent="0.15">
      <c r="A394" s="5" t="s">
        <v>94</v>
      </c>
      <c r="B394" t="s">
        <v>3600</v>
      </c>
      <c r="C394" s="17">
        <v>4.1529430252757398E-4</v>
      </c>
      <c r="D394" s="17"/>
      <c r="E394" s="17"/>
      <c r="F394" s="17">
        <v>5.8363673841180805E-4</v>
      </c>
      <c r="G394" s="17"/>
      <c r="H394" s="17"/>
      <c r="I394" s="17">
        <v>7.71562300360311E-4</v>
      </c>
      <c r="J394" s="17"/>
      <c r="K394" s="17"/>
      <c r="L394" s="17">
        <v>8.8034193786720098E-4</v>
      </c>
      <c r="M394" s="17"/>
      <c r="N394" s="17"/>
      <c r="O394" s="17">
        <v>9.4742886053423496E-4</v>
      </c>
      <c r="P394" s="17"/>
      <c r="Q394" s="17"/>
      <c r="R394" s="17">
        <v>1.03177738961156E-3</v>
      </c>
      <c r="S394" s="17"/>
      <c r="T394" s="17"/>
      <c r="U394">
        <v>1.2343748943602899E-3</v>
      </c>
    </row>
    <row r="395" spans="1:21" x14ac:dyDescent="0.15">
      <c r="A395" s="5" t="s">
        <v>94</v>
      </c>
      <c r="B395" t="s">
        <v>3600</v>
      </c>
      <c r="C395" s="17">
        <v>2.5755883080475303E-4</v>
      </c>
      <c r="D395" s="17"/>
      <c r="E395" s="17"/>
      <c r="F395" s="17">
        <v>3.6196209542283301E-4</v>
      </c>
      <c r="G395" s="17"/>
      <c r="H395" s="17"/>
      <c r="I395" s="17">
        <v>4.7851049909511601E-4</v>
      </c>
      <c r="J395" s="17"/>
      <c r="K395" s="17"/>
      <c r="L395" s="17">
        <v>5.4597387646658599E-4</v>
      </c>
      <c r="M395" s="17"/>
      <c r="N395" s="17"/>
      <c r="O395" s="17">
        <v>5.87580104289235E-4</v>
      </c>
      <c r="P395" s="17"/>
      <c r="Q395" s="17"/>
      <c r="R395" s="17">
        <v>6.3989170210561796E-4</v>
      </c>
      <c r="S395" s="17"/>
      <c r="T395" s="17"/>
      <c r="U395">
        <v>7.6553940815277197E-4</v>
      </c>
    </row>
    <row r="396" spans="1:21" x14ac:dyDescent="0.15">
      <c r="A396" s="5" t="s">
        <v>94</v>
      </c>
      <c r="B396" t="s">
        <v>3600</v>
      </c>
      <c r="C396" s="17">
        <v>7.3620353629888396E-5</v>
      </c>
      <c r="D396" s="17"/>
      <c r="E396" s="17"/>
      <c r="F396" s="17">
        <v>1.0346287635482E-4</v>
      </c>
      <c r="G396" s="17"/>
      <c r="H396" s="17"/>
      <c r="I396" s="17">
        <v>1.3677695324569201E-4</v>
      </c>
      <c r="J396" s="17"/>
      <c r="K396" s="17"/>
      <c r="L396" s="17">
        <v>1.5606061625827699E-4</v>
      </c>
      <c r="M396" s="17"/>
      <c r="N396" s="17"/>
      <c r="O396" s="17">
        <v>1.6795329800379599E-4</v>
      </c>
      <c r="P396" s="17"/>
      <c r="Q396" s="17"/>
      <c r="R396" s="17">
        <v>1.82905991794777E-4</v>
      </c>
      <c r="S396" s="17"/>
      <c r="T396" s="17"/>
      <c r="U396">
        <v>2.1882100400023399E-4</v>
      </c>
    </row>
    <row r="397" spans="1:21" x14ac:dyDescent="0.15">
      <c r="A397" s="5" t="s">
        <v>94</v>
      </c>
      <c r="B397" t="s">
        <v>3600</v>
      </c>
      <c r="C397" s="17">
        <v>3.1147072689567998E-4</v>
      </c>
      <c r="D397" s="17"/>
      <c r="E397" s="17"/>
      <c r="F397" s="17">
        <v>4.3772755380885598E-4</v>
      </c>
      <c r="G397" s="17"/>
      <c r="H397" s="17"/>
      <c r="I397" s="17">
        <v>5.7867172527023298E-4</v>
      </c>
      <c r="J397" s="17"/>
      <c r="K397" s="17"/>
      <c r="L397" s="17">
        <v>6.6025645340040003E-4</v>
      </c>
      <c r="M397" s="17"/>
      <c r="N397" s="17"/>
      <c r="O397" s="17">
        <v>7.1057164540067595E-4</v>
      </c>
      <c r="P397" s="17"/>
      <c r="Q397" s="17"/>
      <c r="R397" s="17">
        <v>7.73833042208673E-4</v>
      </c>
      <c r="S397" s="17"/>
      <c r="T397" s="17"/>
      <c r="U397">
        <v>9.2578117077021804E-4</v>
      </c>
    </row>
    <row r="398" spans="1:21" x14ac:dyDescent="0.15">
      <c r="A398" s="5" t="s">
        <v>94</v>
      </c>
      <c r="B398" t="s">
        <v>3600</v>
      </c>
      <c r="C398" s="17">
        <v>2.6805359526779799E-3</v>
      </c>
      <c r="D398" s="17"/>
      <c r="E398" s="17"/>
      <c r="F398" s="17">
        <v>3.76710985702167E-3</v>
      </c>
      <c r="G398" s="17"/>
      <c r="H398" s="17"/>
      <c r="I398" s="17">
        <v>4.9800839386892797E-3</v>
      </c>
      <c r="J398" s="17"/>
      <c r="K398" s="17"/>
      <c r="L398" s="17">
        <v>5.6822070535064804E-3</v>
      </c>
      <c r="M398" s="17"/>
      <c r="N398" s="17"/>
      <c r="O398" s="17">
        <v>6.1152226452664297E-3</v>
      </c>
      <c r="P398" s="17"/>
      <c r="Q398" s="17"/>
      <c r="R398" s="17">
        <v>6.6596540602200998E-3</v>
      </c>
      <c r="S398" s="17"/>
      <c r="T398" s="17"/>
      <c r="U398">
        <v>7.9673288635982494E-3</v>
      </c>
    </row>
    <row r="399" spans="1:21" x14ac:dyDescent="0.15">
      <c r="A399" s="5" t="s">
        <v>94</v>
      </c>
      <c r="B399" t="s">
        <v>3600</v>
      </c>
      <c r="C399" s="17">
        <v>2.64278192517547E-4</v>
      </c>
      <c r="D399" s="17"/>
      <c r="E399" s="17"/>
      <c r="F399" s="17">
        <v>3.7140519717115001E-4</v>
      </c>
      <c r="G399" s="17"/>
      <c r="H399" s="17"/>
      <c r="I399" s="17">
        <v>4.9099419113837999E-4</v>
      </c>
      <c r="J399" s="17"/>
      <c r="K399" s="17"/>
      <c r="L399" s="17">
        <v>5.6021759682458195E-4</v>
      </c>
      <c r="M399" s="17"/>
      <c r="N399" s="17"/>
      <c r="O399" s="17">
        <v>6.0290927488542204E-4</v>
      </c>
      <c r="P399" s="17"/>
      <c r="Q399" s="17"/>
      <c r="R399" s="17">
        <v>6.5658561157099502E-4</v>
      </c>
      <c r="S399" s="17"/>
      <c r="T399" s="17"/>
      <c r="U399">
        <v>7.8551129641109404E-4</v>
      </c>
    </row>
    <row r="400" spans="1:21" x14ac:dyDescent="0.15">
      <c r="A400" s="5" t="s">
        <v>94</v>
      </c>
      <c r="B400" t="s">
        <v>3600</v>
      </c>
      <c r="C400" s="17">
        <v>8.8721964630891E-4</v>
      </c>
      <c r="D400" s="17"/>
      <c r="E400" s="17"/>
      <c r="F400" s="17">
        <v>1.24686030478886E-3</v>
      </c>
      <c r="G400" s="17"/>
      <c r="H400" s="17"/>
      <c r="I400" s="17">
        <v>1.64833764167884E-3</v>
      </c>
      <c r="J400" s="17"/>
      <c r="K400" s="17"/>
      <c r="L400" s="17">
        <v>1.8807305036253801E-3</v>
      </c>
      <c r="M400" s="17"/>
      <c r="N400" s="17"/>
      <c r="O400" s="17">
        <v>2.0240525656867701E-3</v>
      </c>
      <c r="P400" s="17"/>
      <c r="Q400" s="17"/>
      <c r="R400" s="17">
        <v>2.2042516959883398E-3</v>
      </c>
      <c r="S400" s="17"/>
      <c r="T400" s="17"/>
      <c r="U400">
        <v>2.6370736379515299E-3</v>
      </c>
    </row>
    <row r="401" spans="1:21" x14ac:dyDescent="0.15">
      <c r="A401" s="5" t="s">
        <v>94</v>
      </c>
      <c r="B401" t="s">
        <v>3600</v>
      </c>
      <c r="C401" s="17">
        <v>2.64278192517547E-4</v>
      </c>
      <c r="D401" s="17"/>
      <c r="E401" s="17"/>
      <c r="F401" s="17">
        <v>3.7140519717115001E-4</v>
      </c>
      <c r="G401" s="17"/>
      <c r="H401" s="17"/>
      <c r="I401" s="17">
        <v>4.9099419113837999E-4</v>
      </c>
      <c r="J401" s="17"/>
      <c r="K401" s="17"/>
      <c r="L401" s="17">
        <v>5.6021759682458195E-4</v>
      </c>
      <c r="M401" s="17"/>
      <c r="N401" s="17"/>
      <c r="O401" s="17">
        <v>6.0290927488542204E-4</v>
      </c>
      <c r="P401" s="17"/>
      <c r="Q401" s="17"/>
      <c r="R401" s="17">
        <v>6.5658561157099502E-4</v>
      </c>
      <c r="S401" s="17"/>
      <c r="T401" s="17"/>
      <c r="U401">
        <v>7.8551129641109404E-4</v>
      </c>
    </row>
    <row r="402" spans="1:21" x14ac:dyDescent="0.15">
      <c r="A402" s="5" t="s">
        <v>94</v>
      </c>
      <c r="B402" t="s">
        <v>3600</v>
      </c>
      <c r="C402" s="17">
        <v>1.1892518663289601E-3</v>
      </c>
      <c r="D402" s="17"/>
      <c r="E402" s="17"/>
      <c r="F402" s="17">
        <v>1.6713233872701701E-3</v>
      </c>
      <c r="G402" s="17"/>
      <c r="H402" s="17"/>
      <c r="I402" s="17">
        <v>2.2094738601227001E-3</v>
      </c>
      <c r="J402" s="17"/>
      <c r="K402" s="17"/>
      <c r="L402" s="17">
        <v>2.5209791857106101E-3</v>
      </c>
      <c r="M402" s="17"/>
      <c r="N402" s="17"/>
      <c r="O402" s="17">
        <v>2.7130917369843901E-3</v>
      </c>
      <c r="P402" s="17"/>
      <c r="Q402" s="17"/>
      <c r="R402" s="17">
        <v>2.9546352520694701E-3</v>
      </c>
      <c r="S402" s="17"/>
      <c r="T402" s="17"/>
      <c r="U402">
        <v>3.5348008338499199E-3</v>
      </c>
    </row>
    <row r="403" spans="1:21" x14ac:dyDescent="0.15">
      <c r="A403" s="5" t="s">
        <v>94</v>
      </c>
      <c r="B403" t="s">
        <v>3600</v>
      </c>
      <c r="C403" s="17">
        <v>4.6248683690570702E-4</v>
      </c>
      <c r="D403" s="17"/>
      <c r="E403" s="17"/>
      <c r="F403" s="17">
        <v>6.4995909504951305E-4</v>
      </c>
      <c r="G403" s="17"/>
      <c r="H403" s="17"/>
      <c r="I403" s="17">
        <v>8.5923983449216496E-4</v>
      </c>
      <c r="J403" s="17"/>
      <c r="K403" s="17"/>
      <c r="L403" s="17">
        <v>9.8038079444301906E-4</v>
      </c>
      <c r="M403" s="17"/>
      <c r="N403" s="17"/>
      <c r="O403" s="17">
        <v>1.0550912310494801E-3</v>
      </c>
      <c r="P403" s="17"/>
      <c r="Q403" s="17"/>
      <c r="R403" s="17">
        <v>1.1490248202492401E-3</v>
      </c>
      <c r="S403" s="17"/>
      <c r="T403" s="17"/>
      <c r="U403">
        <v>1.3746447687194099E-3</v>
      </c>
    </row>
    <row r="404" spans="1:21" x14ac:dyDescent="0.15">
      <c r="A404" s="5" t="s">
        <v>94</v>
      </c>
      <c r="B404" t="s">
        <v>3656</v>
      </c>
      <c r="C404" s="17">
        <v>2.2107743930528099E-3</v>
      </c>
      <c r="D404" s="17"/>
      <c r="E404" s="17"/>
      <c r="F404" s="17">
        <v>3.1069271797679399E-3</v>
      </c>
      <c r="G404" s="17"/>
      <c r="H404" s="17"/>
      <c r="I404" s="17">
        <v>4.1073286243031096E-3</v>
      </c>
      <c r="J404" s="17"/>
      <c r="K404" s="17"/>
      <c r="L404" s="17">
        <v>4.6864052830054804E-3</v>
      </c>
      <c r="M404" s="17"/>
      <c r="N404" s="17"/>
      <c r="O404" s="17">
        <v>5.0435352745279299E-3</v>
      </c>
      <c r="P404" s="17"/>
      <c r="Q404" s="17"/>
      <c r="R404" s="17">
        <v>5.4925555645750097E-3</v>
      </c>
      <c r="S404" s="17"/>
      <c r="T404" s="17"/>
      <c r="U404">
        <v>6.5710615129323004E-3</v>
      </c>
    </row>
    <row r="405" spans="1:21" x14ac:dyDescent="0.15">
      <c r="A405" s="5" t="s">
        <v>94</v>
      </c>
      <c r="B405" t="s">
        <v>3656</v>
      </c>
      <c r="C405" s="17">
        <v>7.7612292522066901E-5</v>
      </c>
      <c r="D405" s="17"/>
      <c r="E405" s="17"/>
      <c r="F405" s="17">
        <v>1.0907297545993801E-4</v>
      </c>
      <c r="G405" s="17"/>
      <c r="H405" s="17"/>
      <c r="I405" s="17">
        <v>1.4419345170425799E-4</v>
      </c>
      <c r="J405" s="17"/>
      <c r="K405" s="17"/>
      <c r="L405" s="17">
        <v>1.64522738658703E-4</v>
      </c>
      <c r="M405" s="17"/>
      <c r="N405" s="17"/>
      <c r="O405" s="17">
        <v>1.7706028091427799E-4</v>
      </c>
      <c r="P405" s="17"/>
      <c r="Q405" s="17"/>
      <c r="R405" s="17">
        <v>1.9282375918188799E-4</v>
      </c>
      <c r="S405" s="17"/>
      <c r="T405" s="17"/>
      <c r="U405">
        <v>2.3068620204975E-4</v>
      </c>
    </row>
    <row r="406" spans="1:21" x14ac:dyDescent="0.15">
      <c r="A406" s="5" t="s">
        <v>94</v>
      </c>
      <c r="B406" t="s">
        <v>3656</v>
      </c>
      <c r="C406" s="17">
        <v>7.2908517217699294E-5</v>
      </c>
      <c r="D406" s="17"/>
      <c r="E406" s="17"/>
      <c r="F406" s="17">
        <v>1.0246249209873001E-4</v>
      </c>
      <c r="G406" s="17"/>
      <c r="H406" s="17"/>
      <c r="I406" s="17">
        <v>1.35454454631273E-4</v>
      </c>
      <c r="J406" s="17"/>
      <c r="K406" s="17"/>
      <c r="L406" s="17">
        <v>1.5455166358847801E-4</v>
      </c>
      <c r="M406" s="17"/>
      <c r="N406" s="17"/>
      <c r="O406" s="17">
        <v>1.66329354798261E-4</v>
      </c>
      <c r="P406" s="17"/>
      <c r="Q406" s="17"/>
      <c r="R406" s="17">
        <v>1.8113747074662199E-4</v>
      </c>
      <c r="S406" s="17"/>
      <c r="T406" s="17"/>
      <c r="U406">
        <v>2.16705220107342E-4</v>
      </c>
    </row>
    <row r="407" spans="1:21" x14ac:dyDescent="0.15">
      <c r="A407" s="5" t="s">
        <v>94</v>
      </c>
      <c r="B407" t="s">
        <v>3656</v>
      </c>
      <c r="C407" s="17">
        <v>6.6793609322021398E-3</v>
      </c>
      <c r="D407" s="17"/>
      <c r="E407" s="17"/>
      <c r="F407" s="17">
        <v>9.3868863729159296E-3</v>
      </c>
      <c r="G407" s="17"/>
      <c r="H407" s="17"/>
      <c r="I407" s="17">
        <v>1.24093758436392E-2</v>
      </c>
      <c r="J407" s="17"/>
      <c r="K407" s="17"/>
      <c r="L407" s="17">
        <v>1.4158926599718701E-2</v>
      </c>
      <c r="M407" s="17"/>
      <c r="N407" s="17"/>
      <c r="O407" s="17">
        <v>1.5237915084743999E-2</v>
      </c>
      <c r="P407" s="17"/>
      <c r="Q407" s="17"/>
      <c r="R407" s="17">
        <v>1.6594529578077701E-2</v>
      </c>
      <c r="S407" s="17"/>
      <c r="T407" s="17"/>
      <c r="U407">
        <v>1.9852994358221E-2</v>
      </c>
    </row>
    <row r="408" spans="1:21" x14ac:dyDescent="0.15">
      <c r="A408" s="5" t="s">
        <v>94</v>
      </c>
      <c r="B408" t="s">
        <v>3656</v>
      </c>
      <c r="C408" s="17">
        <v>2.96337844175165E-3</v>
      </c>
      <c r="D408" s="17"/>
      <c r="E408" s="17"/>
      <c r="F408" s="17">
        <v>4.1646045175612904E-3</v>
      </c>
      <c r="G408" s="17"/>
      <c r="H408" s="17"/>
      <c r="I408" s="17">
        <v>5.5055681559807801E-3</v>
      </c>
      <c r="J408" s="17"/>
      <c r="K408" s="17"/>
      <c r="L408" s="17">
        <v>6.2817772942414E-3</v>
      </c>
      <c r="M408" s="17"/>
      <c r="N408" s="17"/>
      <c r="O408" s="17">
        <v>6.7604834530906504E-3</v>
      </c>
      <c r="P408" s="17"/>
      <c r="Q408" s="17"/>
      <c r="R408" s="17">
        <v>7.3623617142175796E-3</v>
      </c>
      <c r="S408" s="17"/>
      <c r="T408" s="17"/>
      <c r="U408">
        <v>8.80801862371779E-3</v>
      </c>
    </row>
    <row r="409" spans="1:21" x14ac:dyDescent="0.15">
      <c r="A409" s="5" t="s">
        <v>94</v>
      </c>
      <c r="B409" t="s">
        <v>3656</v>
      </c>
      <c r="C409" s="17">
        <v>7.5260404869883097E-5</v>
      </c>
      <c r="D409" s="17"/>
      <c r="E409" s="17"/>
      <c r="F409" s="17">
        <v>1.05767733779334E-4</v>
      </c>
      <c r="G409" s="17"/>
      <c r="H409" s="17"/>
      <c r="I409" s="17">
        <v>1.3982395316776501E-4</v>
      </c>
      <c r="J409" s="17"/>
      <c r="K409" s="17"/>
      <c r="L409" s="17">
        <v>1.5953720112358999E-4</v>
      </c>
      <c r="M409" s="17"/>
      <c r="N409" s="17"/>
      <c r="O409" s="17">
        <v>1.7169481785627E-4</v>
      </c>
      <c r="P409" s="17"/>
      <c r="Q409" s="17"/>
      <c r="R409" s="17">
        <v>1.86980614964255E-4</v>
      </c>
      <c r="S409" s="17"/>
      <c r="T409" s="17"/>
      <c r="U409">
        <v>2.23695711078546E-4</v>
      </c>
    </row>
    <row r="410" spans="1:21" x14ac:dyDescent="0.15">
      <c r="A410" s="5" t="s">
        <v>94</v>
      </c>
      <c r="B410" t="s">
        <v>3656</v>
      </c>
      <c r="C410" s="17">
        <v>6.5852854261147899E-4</v>
      </c>
      <c r="D410" s="17"/>
      <c r="E410" s="17"/>
      <c r="F410" s="17">
        <v>9.2546767056917703E-4</v>
      </c>
      <c r="G410" s="17"/>
      <c r="H410" s="17"/>
      <c r="I410" s="17">
        <v>1.2234595902179499E-3</v>
      </c>
      <c r="J410" s="17"/>
      <c r="K410" s="17"/>
      <c r="L410" s="17">
        <v>1.3959505098314201E-3</v>
      </c>
      <c r="M410" s="17"/>
      <c r="N410" s="17"/>
      <c r="O410" s="17">
        <v>1.5023296562423601E-3</v>
      </c>
      <c r="P410" s="17"/>
      <c r="Q410" s="17"/>
      <c r="R410" s="17">
        <v>1.6360803809372399E-3</v>
      </c>
      <c r="S410" s="17"/>
      <c r="T410" s="17"/>
      <c r="U410">
        <v>1.95733747193728E-3</v>
      </c>
    </row>
    <row r="411" spans="1:21" x14ac:dyDescent="0.15">
      <c r="A411" s="5" t="s">
        <v>94</v>
      </c>
      <c r="B411" t="s">
        <v>3656</v>
      </c>
      <c r="C411" s="17">
        <v>1.10538719652641E-4</v>
      </c>
      <c r="D411" s="17"/>
      <c r="E411" s="17"/>
      <c r="F411" s="17">
        <v>1.5534635898839701E-4</v>
      </c>
      <c r="G411" s="17"/>
      <c r="H411" s="17"/>
      <c r="I411" s="17">
        <v>2.0536643121515599E-4</v>
      </c>
      <c r="J411" s="17"/>
      <c r="K411" s="17"/>
      <c r="L411" s="17">
        <v>2.3432026415027399E-4</v>
      </c>
      <c r="M411" s="17"/>
      <c r="N411" s="17"/>
      <c r="O411" s="17">
        <v>2.5217676372639702E-4</v>
      </c>
      <c r="P411" s="17"/>
      <c r="Q411" s="17"/>
      <c r="R411" s="17">
        <v>2.7462777822875103E-4</v>
      </c>
      <c r="S411" s="17"/>
      <c r="T411" s="17"/>
      <c r="U411">
        <v>3.2855307564661602E-4</v>
      </c>
    </row>
    <row r="412" spans="1:21" x14ac:dyDescent="0.15">
      <c r="A412" s="5" t="s">
        <v>94</v>
      </c>
      <c r="B412" t="s">
        <v>3656</v>
      </c>
      <c r="C412" s="17">
        <v>7.7612292522066903E-4</v>
      </c>
      <c r="D412" s="17"/>
      <c r="E412" s="17"/>
      <c r="F412" s="17">
        <v>1.0907297545993801E-3</v>
      </c>
      <c r="G412" s="17"/>
      <c r="H412" s="17"/>
      <c r="I412" s="17">
        <v>1.4419345170425799E-3</v>
      </c>
      <c r="J412" s="17"/>
      <c r="K412" s="17"/>
      <c r="L412" s="17">
        <v>1.6452273865870299E-3</v>
      </c>
      <c r="M412" s="17"/>
      <c r="N412" s="17"/>
      <c r="O412" s="17">
        <v>1.7706028091427799E-3</v>
      </c>
      <c r="P412" s="17"/>
      <c r="Q412" s="17"/>
      <c r="R412" s="17">
        <v>1.9282375918188801E-3</v>
      </c>
      <c r="S412" s="17"/>
      <c r="T412" s="17"/>
      <c r="U412">
        <v>2.3068620204975002E-3</v>
      </c>
    </row>
    <row r="413" spans="1:21" x14ac:dyDescent="0.15">
      <c r="A413" s="5" t="s">
        <v>94</v>
      </c>
      <c r="B413" t="s">
        <v>3656</v>
      </c>
      <c r="C413" s="17">
        <v>1.42011952580195E-3</v>
      </c>
      <c r="D413" s="17"/>
      <c r="E413" s="17"/>
      <c r="F413" s="17">
        <v>1.9957748592973799E-3</v>
      </c>
      <c r="G413" s="17"/>
      <c r="H413" s="17"/>
      <c r="I413" s="17">
        <v>2.6383956665083199E-3</v>
      </c>
      <c r="J413" s="17"/>
      <c r="K413" s="17"/>
      <c r="L413" s="17">
        <v>3.01037304807362E-3</v>
      </c>
      <c r="M413" s="17"/>
      <c r="N413" s="17"/>
      <c r="O413" s="17">
        <v>3.2397801172907499E-3</v>
      </c>
      <c r="P413" s="17"/>
      <c r="Q413" s="17"/>
      <c r="R413" s="17">
        <v>3.5282141082854501E-3</v>
      </c>
      <c r="S413" s="17"/>
      <c r="T413" s="17"/>
      <c r="U413">
        <v>4.2210063537396697E-3</v>
      </c>
    </row>
    <row r="414" spans="1:21" x14ac:dyDescent="0.15">
      <c r="A414" s="5" t="s">
        <v>94</v>
      </c>
      <c r="B414" t="s">
        <v>3656</v>
      </c>
      <c r="C414" s="17">
        <v>1.10538719652641E-4</v>
      </c>
      <c r="D414" s="17"/>
      <c r="E414" s="17"/>
      <c r="F414" s="17">
        <v>1.5534635898839701E-4</v>
      </c>
      <c r="G414" s="17"/>
      <c r="H414" s="17"/>
      <c r="I414" s="17">
        <v>2.0536643121515599E-4</v>
      </c>
      <c r="J414" s="17"/>
      <c r="K414" s="17"/>
      <c r="L414" s="17">
        <v>2.3432026415027399E-4</v>
      </c>
      <c r="M414" s="17"/>
      <c r="N414" s="17"/>
      <c r="O414" s="17">
        <v>2.5217676372639702E-4</v>
      </c>
      <c r="P414" s="17"/>
      <c r="Q414" s="17"/>
      <c r="R414" s="17">
        <v>2.7462777822875103E-4</v>
      </c>
      <c r="S414" s="17"/>
      <c r="T414" s="17"/>
      <c r="U414">
        <v>3.2855307564661602E-4</v>
      </c>
    </row>
    <row r="415" spans="1:21" x14ac:dyDescent="0.15">
      <c r="A415" s="5" t="s">
        <v>94</v>
      </c>
      <c r="B415" t="s">
        <v>3656</v>
      </c>
      <c r="C415" s="17">
        <v>1.0348305669608899E-3</v>
      </c>
      <c r="D415" s="17"/>
      <c r="E415" s="17"/>
      <c r="F415" s="17">
        <v>1.45430633946584E-3</v>
      </c>
      <c r="G415" s="17"/>
      <c r="H415" s="17"/>
      <c r="I415" s="17">
        <v>1.92257935605677E-3</v>
      </c>
      <c r="J415" s="17"/>
      <c r="K415" s="17"/>
      <c r="L415" s="17">
        <v>2.1936365154493699E-3</v>
      </c>
      <c r="M415" s="17"/>
      <c r="N415" s="17"/>
      <c r="O415" s="17">
        <v>2.3608037455237099E-3</v>
      </c>
      <c r="P415" s="17"/>
      <c r="Q415" s="17"/>
      <c r="R415" s="17">
        <v>2.5709834557585101E-3</v>
      </c>
      <c r="S415" s="17"/>
      <c r="T415" s="17"/>
      <c r="U415">
        <v>3.0758160273300101E-3</v>
      </c>
    </row>
    <row r="416" spans="1:21" x14ac:dyDescent="0.15">
      <c r="A416" s="5" t="s">
        <v>94</v>
      </c>
      <c r="B416" t="s">
        <v>3656</v>
      </c>
      <c r="C416" s="17">
        <v>8.4667955478618902E-4</v>
      </c>
      <c r="D416" s="17"/>
      <c r="E416" s="17"/>
      <c r="F416" s="17">
        <v>1.18988700501751E-3</v>
      </c>
      <c r="G416" s="17"/>
      <c r="H416" s="17"/>
      <c r="I416" s="17">
        <v>1.57301947313736E-3</v>
      </c>
      <c r="J416" s="17"/>
      <c r="K416" s="17"/>
      <c r="L416" s="17">
        <v>1.7947935126404E-3</v>
      </c>
      <c r="M416" s="17"/>
      <c r="N416" s="17"/>
      <c r="O416" s="17">
        <v>1.93156670088304E-3</v>
      </c>
      <c r="P416" s="17"/>
      <c r="Q416" s="17"/>
      <c r="R416" s="17">
        <v>2.10353191834788E-3</v>
      </c>
      <c r="S416" s="17"/>
      <c r="T416" s="17"/>
      <c r="U416">
        <v>2.5165767496336598E-3</v>
      </c>
    </row>
    <row r="417" spans="1:21" x14ac:dyDescent="0.15">
      <c r="A417" s="5" t="s">
        <v>94</v>
      </c>
      <c r="B417" t="s">
        <v>3656</v>
      </c>
      <c r="C417" s="17">
        <v>5.4637752971276E-4</v>
      </c>
      <c r="D417" s="17"/>
      <c r="E417" s="17"/>
      <c r="F417" s="17">
        <v>7.6785546404620696E-4</v>
      </c>
      <c r="G417" s="17"/>
      <c r="H417" s="17"/>
      <c r="I417" s="17">
        <v>1.0150977297897501E-3</v>
      </c>
      <c r="J417" s="17"/>
      <c r="K417" s="17"/>
      <c r="L417" s="17">
        <v>1.1582125022832101E-3</v>
      </c>
      <c r="M417" s="17"/>
      <c r="N417" s="17"/>
      <c r="O417" s="17">
        <v>1.2464746981760001E-3</v>
      </c>
      <c r="P417" s="17"/>
      <c r="Q417" s="17"/>
      <c r="R417" s="17">
        <v>1.3574469428508801E-3</v>
      </c>
      <c r="S417" s="17"/>
      <c r="T417" s="17"/>
      <c r="U417">
        <v>1.6239921940061899E-3</v>
      </c>
    </row>
    <row r="418" spans="1:21" x14ac:dyDescent="0.15">
      <c r="A418" s="5" t="s">
        <v>94</v>
      </c>
      <c r="B418" t="s">
        <v>3656</v>
      </c>
      <c r="C418" s="17">
        <v>1.08186832000457E-4</v>
      </c>
      <c r="D418" s="17"/>
      <c r="E418" s="17"/>
      <c r="F418" s="17">
        <v>1.5204111730779301E-4</v>
      </c>
      <c r="G418" s="17"/>
      <c r="H418" s="17"/>
      <c r="I418" s="17">
        <v>2.0099693267866301E-4</v>
      </c>
      <c r="J418" s="17"/>
      <c r="K418" s="17"/>
      <c r="L418" s="17">
        <v>2.2933472661516201E-4</v>
      </c>
      <c r="M418" s="17"/>
      <c r="N418" s="17"/>
      <c r="O418" s="17">
        <v>2.46811300668389E-4</v>
      </c>
      <c r="P418" s="17"/>
      <c r="Q418" s="17"/>
      <c r="R418" s="17">
        <v>2.6878463401111801E-4</v>
      </c>
      <c r="S418" s="17"/>
      <c r="T418" s="17"/>
      <c r="U418">
        <v>3.2156258467541101E-4</v>
      </c>
    </row>
    <row r="419" spans="1:21" x14ac:dyDescent="0.15">
      <c r="A419" s="5" t="s">
        <v>94</v>
      </c>
      <c r="B419" t="s">
        <v>3656</v>
      </c>
      <c r="C419" s="17">
        <v>6.3500966608964201E-5</v>
      </c>
      <c r="D419" s="17"/>
      <c r="E419" s="17"/>
      <c r="F419" s="17">
        <v>8.9241525376313602E-5</v>
      </c>
      <c r="G419" s="17"/>
      <c r="H419" s="17"/>
      <c r="I419" s="17">
        <v>1.17976460485302E-4</v>
      </c>
      <c r="J419" s="17"/>
      <c r="K419" s="17"/>
      <c r="L419" s="17">
        <v>1.3460951344802999E-4</v>
      </c>
      <c r="M419" s="17"/>
      <c r="N419" s="17"/>
      <c r="O419" s="17">
        <v>1.4486750256622799E-4</v>
      </c>
      <c r="P419" s="17"/>
      <c r="Q419" s="17"/>
      <c r="R419" s="17">
        <v>1.57764893876091E-4</v>
      </c>
      <c r="S419" s="17"/>
      <c r="T419" s="17"/>
      <c r="U419">
        <v>1.88743256222524E-4</v>
      </c>
    </row>
    <row r="420" spans="1:21" x14ac:dyDescent="0.15">
      <c r="A420" s="5" t="s">
        <v>94</v>
      </c>
      <c r="B420" t="s">
        <v>3656</v>
      </c>
      <c r="C420" s="17">
        <v>6.5852854261147899E-4</v>
      </c>
      <c r="D420" s="17"/>
      <c r="E420" s="17"/>
      <c r="F420" s="17">
        <v>9.2546767056917703E-4</v>
      </c>
      <c r="G420" s="17"/>
      <c r="H420" s="17"/>
      <c r="I420" s="17">
        <v>1.2234595902179499E-3</v>
      </c>
      <c r="J420" s="17"/>
      <c r="K420" s="17"/>
      <c r="L420" s="17">
        <v>1.3959505098314201E-3</v>
      </c>
      <c r="M420" s="17"/>
      <c r="N420" s="17"/>
      <c r="O420" s="17">
        <v>1.5023296562423601E-3</v>
      </c>
      <c r="P420" s="17"/>
      <c r="Q420" s="17"/>
      <c r="R420" s="17">
        <v>1.6360803809372399E-3</v>
      </c>
      <c r="S420" s="17"/>
      <c r="T420" s="17"/>
      <c r="U420">
        <v>1.95733747193728E-3</v>
      </c>
    </row>
    <row r="421" spans="1:21" x14ac:dyDescent="0.15">
      <c r="A421" s="5" t="s">
        <v>94</v>
      </c>
      <c r="B421" t="s">
        <v>3656</v>
      </c>
      <c r="C421" s="17">
        <v>1.15242494957008E-4</v>
      </c>
      <c r="D421" s="17"/>
      <c r="E421" s="17"/>
      <c r="F421" s="17">
        <v>1.6195684234960499E-4</v>
      </c>
      <c r="G421" s="17"/>
      <c r="H421" s="17"/>
      <c r="I421" s="17">
        <v>2.1410542828814101E-4</v>
      </c>
      <c r="J421" s="17"/>
      <c r="K421" s="17"/>
      <c r="L421" s="17">
        <v>2.4429133922049902E-4</v>
      </c>
      <c r="M421" s="17"/>
      <c r="N421" s="17"/>
      <c r="O421" s="17">
        <v>2.6290768984241398E-4</v>
      </c>
      <c r="P421" s="17"/>
      <c r="Q421" s="17"/>
      <c r="R421" s="17">
        <v>2.86314066664017E-4</v>
      </c>
      <c r="S421" s="17"/>
      <c r="T421" s="17"/>
      <c r="U421">
        <v>3.4253405758902499E-4</v>
      </c>
    </row>
    <row r="422" spans="1:21" x14ac:dyDescent="0.15">
      <c r="A422" s="5" t="s">
        <v>94</v>
      </c>
      <c r="B422" t="s">
        <v>3656</v>
      </c>
      <c r="C422" s="17">
        <v>1.8337022829484899E-3</v>
      </c>
      <c r="D422" s="17"/>
      <c r="E422" s="17"/>
      <c r="F422" s="17">
        <v>2.57700626549598E-3</v>
      </c>
      <c r="G422" s="17"/>
      <c r="H422" s="17"/>
      <c r="I422" s="17">
        <v>3.4067781402172099E-3</v>
      </c>
      <c r="J422" s="17"/>
      <c r="K422" s="17"/>
      <c r="L422" s="17">
        <v>3.8870868476102E-3</v>
      </c>
      <c r="M422" s="17"/>
      <c r="N422" s="17"/>
      <c r="O422" s="17">
        <v>4.1833043552952798E-3</v>
      </c>
      <c r="P422" s="17"/>
      <c r="Q422" s="17"/>
      <c r="R422" s="17">
        <v>4.5557392512018402E-3</v>
      </c>
      <c r="S422" s="17"/>
      <c r="T422" s="17"/>
      <c r="U422">
        <v>5.4502940397369998E-3</v>
      </c>
    </row>
    <row r="423" spans="1:21" x14ac:dyDescent="0.15">
      <c r="A423" s="5" t="s">
        <v>94</v>
      </c>
      <c r="B423" t="s">
        <v>3656</v>
      </c>
      <c r="C423" s="17">
        <v>1.1524249495700801E-3</v>
      </c>
      <c r="D423" s="17"/>
      <c r="E423" s="17"/>
      <c r="F423" s="17">
        <v>1.6195684234960499E-3</v>
      </c>
      <c r="G423" s="17"/>
      <c r="H423" s="17"/>
      <c r="I423" s="17">
        <v>2.14105428288141E-3</v>
      </c>
      <c r="J423" s="17"/>
      <c r="K423" s="17"/>
      <c r="L423" s="17">
        <v>2.44291339220499E-3</v>
      </c>
      <c r="M423" s="17"/>
      <c r="N423" s="17"/>
      <c r="O423" s="17">
        <v>2.6290768984241399E-3</v>
      </c>
      <c r="P423" s="17"/>
      <c r="Q423" s="17"/>
      <c r="R423" s="17">
        <v>2.8631406666401698E-3</v>
      </c>
      <c r="S423" s="17"/>
      <c r="T423" s="17"/>
      <c r="U423">
        <v>3.4253405758902498E-3</v>
      </c>
    </row>
    <row r="424" spans="1:21" x14ac:dyDescent="0.15">
      <c r="A424" s="5" t="s">
        <v>94</v>
      </c>
      <c r="B424" t="s">
        <v>3656</v>
      </c>
      <c r="C424" s="17">
        <v>1.19946270261376E-3</v>
      </c>
      <c r="D424" s="17"/>
      <c r="E424" s="17"/>
      <c r="F424" s="17">
        <v>1.6856732571081401E-3</v>
      </c>
      <c r="G424" s="17"/>
      <c r="H424" s="17"/>
      <c r="I424" s="17">
        <v>2.22844425361126E-3</v>
      </c>
      <c r="J424" s="17"/>
      <c r="K424" s="17"/>
      <c r="L424" s="17">
        <v>2.5426241429072302E-3</v>
      </c>
      <c r="M424" s="17"/>
      <c r="N424" s="17"/>
      <c r="O424" s="17">
        <v>2.7363861595843001E-3</v>
      </c>
      <c r="P424" s="17"/>
      <c r="Q424" s="17"/>
      <c r="R424" s="17">
        <v>2.9800035509928201E-3</v>
      </c>
      <c r="S424" s="17"/>
      <c r="T424" s="17"/>
      <c r="U424">
        <v>3.5651503953143299E-3</v>
      </c>
    </row>
    <row r="425" spans="1:21" x14ac:dyDescent="0.15">
      <c r="A425" s="5" t="s">
        <v>94</v>
      </c>
      <c r="B425" t="s">
        <v>3656</v>
      </c>
      <c r="C425" s="17">
        <v>1.8344723687033999E-4</v>
      </c>
      <c r="D425" s="17"/>
      <c r="E425" s="17"/>
      <c r="F425" s="17">
        <v>2.5780885108712698E-4</v>
      </c>
      <c r="G425" s="17"/>
      <c r="H425" s="17"/>
      <c r="I425" s="17">
        <v>3.4082088584642901E-4</v>
      </c>
      <c r="J425" s="17"/>
      <c r="K425" s="17"/>
      <c r="L425" s="17">
        <v>3.8887192773875301E-4</v>
      </c>
      <c r="M425" s="17"/>
      <c r="N425" s="17"/>
      <c r="O425" s="17">
        <v>4.1850611852465902E-4</v>
      </c>
      <c r="P425" s="17"/>
      <c r="Q425" s="17"/>
      <c r="R425" s="17">
        <v>4.5576524897537402E-4</v>
      </c>
      <c r="S425" s="17"/>
      <c r="T425" s="17"/>
      <c r="U425">
        <v>5.4525829575395796E-4</v>
      </c>
    </row>
    <row r="426" spans="1:21" x14ac:dyDescent="0.15">
      <c r="A426" s="5" t="s">
        <v>94</v>
      </c>
      <c r="B426" t="s">
        <v>3656</v>
      </c>
      <c r="C426" s="17">
        <v>6.2689457817478498E-4</v>
      </c>
      <c r="D426" s="17"/>
      <c r="E426" s="17"/>
      <c r="F426" s="17">
        <v>8.8101065848281103E-4</v>
      </c>
      <c r="G426" s="17"/>
      <c r="H426" s="17"/>
      <c r="I426" s="17">
        <v>1.1646878367367599E-3</v>
      </c>
      <c r="J426" s="17"/>
      <c r="K426" s="17"/>
      <c r="L426" s="17">
        <v>1.32889275010506E-3</v>
      </c>
      <c r="M426" s="17"/>
      <c r="N426" s="17"/>
      <c r="O426" s="17">
        <v>1.4301617244936501E-3</v>
      </c>
      <c r="P426" s="17"/>
      <c r="Q426" s="17"/>
      <c r="R426" s="17">
        <v>1.5574874191486799E-3</v>
      </c>
      <c r="S426" s="17"/>
      <c r="T426" s="17"/>
      <c r="U426">
        <v>1.8633121716331699E-3</v>
      </c>
    </row>
    <row r="427" spans="1:21" x14ac:dyDescent="0.15">
      <c r="A427" s="5" t="s">
        <v>94</v>
      </c>
      <c r="B427" t="s">
        <v>3594</v>
      </c>
      <c r="C427" s="17">
        <v>6.8083164177805897E-2</v>
      </c>
      <c r="D427" s="17"/>
      <c r="E427" s="17"/>
      <c r="F427" s="17">
        <v>1.61269878280197E-2</v>
      </c>
      <c r="G427" s="17"/>
      <c r="H427" s="17"/>
      <c r="I427" s="17">
        <v>1.23012915313888E-2</v>
      </c>
      <c r="J427" s="17"/>
      <c r="K427" s="17"/>
      <c r="L427" s="17">
        <v>9.2603202027312492E-3</v>
      </c>
      <c r="M427" s="17"/>
      <c r="N427" s="17"/>
      <c r="O427" s="17">
        <v>1.84548426693411E-4</v>
      </c>
      <c r="P427" s="17"/>
      <c r="Q427" s="17"/>
      <c r="R427" s="17">
        <v>1.15937824651871E-4</v>
      </c>
      <c r="S427" s="17"/>
      <c r="T427" s="17"/>
      <c r="U427" s="13">
        <v>4.65533674716983E-5</v>
      </c>
    </row>
    <row r="428" spans="1:21" x14ac:dyDescent="0.15">
      <c r="A428" s="5" t="s">
        <v>94</v>
      </c>
      <c r="B428" t="s">
        <v>3606</v>
      </c>
      <c r="C428" s="17">
        <v>2.66509233444596E-2</v>
      </c>
      <c r="D428" s="17"/>
      <c r="E428" s="17"/>
      <c r="F428" s="17">
        <v>2.8824581120013699E-2</v>
      </c>
      <c r="G428" s="17"/>
      <c r="H428" s="17"/>
      <c r="I428" s="17">
        <v>2.2981446885598798E-2</v>
      </c>
      <c r="J428" s="17"/>
      <c r="K428" s="17"/>
      <c r="L428" s="17">
        <v>1.63423233866219E-2</v>
      </c>
      <c r="M428" s="17"/>
      <c r="N428" s="17"/>
      <c r="O428" s="17">
        <v>1.44237354471996E-2</v>
      </c>
      <c r="P428" s="17"/>
      <c r="Q428" s="17"/>
      <c r="R428" s="17">
        <v>1.0869482999710601E-2</v>
      </c>
      <c r="S428" s="17"/>
      <c r="T428" s="17"/>
      <c r="U428">
        <v>8.5231193006895904E-3</v>
      </c>
    </row>
    <row r="429" spans="1:21" x14ac:dyDescent="0.15">
      <c r="A429" s="5" t="s">
        <v>94</v>
      </c>
      <c r="B429" t="s">
        <v>3601</v>
      </c>
      <c r="C429" s="17">
        <v>5.3215462558606598E-4</v>
      </c>
      <c r="D429" s="17"/>
      <c r="E429" s="17"/>
      <c r="F429" s="17">
        <v>4.82579809250897E-4</v>
      </c>
      <c r="G429" s="17"/>
      <c r="H429" s="17"/>
      <c r="I429" s="17">
        <v>3.9369754043998598E-4</v>
      </c>
      <c r="J429" s="17"/>
      <c r="K429" s="17"/>
      <c r="L429" s="17">
        <v>3.1527455099828898E-4</v>
      </c>
      <c r="M429" s="17"/>
      <c r="N429" s="17"/>
      <c r="O429" s="17">
        <v>2.4656577614618001E-4</v>
      </c>
      <c r="P429" s="17"/>
      <c r="Q429" s="17"/>
      <c r="R429" s="17">
        <v>1.60001896380006E-4</v>
      </c>
      <c r="S429" s="17"/>
      <c r="T429" s="17"/>
      <c r="U429" s="13">
        <v>6.32793096509341E-5</v>
      </c>
    </row>
    <row r="430" spans="1:21" x14ac:dyDescent="0.15">
      <c r="A430" s="5"/>
      <c r="C430" s="17"/>
      <c r="D430" s="17"/>
      <c r="E430" s="17"/>
      <c r="F430" s="17"/>
      <c r="G430" s="17"/>
      <c r="H430" s="17"/>
      <c r="I430" s="17"/>
      <c r="J430" s="17"/>
      <c r="K430" s="17"/>
      <c r="L430" s="17"/>
      <c r="M430" s="17"/>
      <c r="N430" s="17"/>
      <c r="O430" s="17"/>
      <c r="P430" s="17"/>
      <c r="Q430" s="17"/>
      <c r="R430" s="17"/>
      <c r="S430" s="17"/>
      <c r="T430" s="17"/>
    </row>
    <row r="431" spans="1:21" x14ac:dyDescent="0.15">
      <c r="A431" s="5"/>
      <c r="C431" s="17"/>
      <c r="D431" s="17"/>
      <c r="E431" s="17"/>
      <c r="F431" s="17"/>
      <c r="G431" s="17"/>
      <c r="H431" s="17"/>
      <c r="I431" s="17"/>
      <c r="J431" s="17"/>
      <c r="K431" s="17"/>
      <c r="L431" s="17"/>
      <c r="M431" s="17"/>
      <c r="N431" s="17"/>
      <c r="O431" s="17"/>
      <c r="P431" s="17"/>
      <c r="Q431" s="17"/>
      <c r="R431" s="17"/>
      <c r="S431" s="17"/>
      <c r="T431" s="17"/>
    </row>
  </sheetData>
  <phoneticPr fontId="5" type="noConversion"/>
  <pageMargins left="0.7" right="0.7" top="0.75" bottom="0.75" header="0.3" footer="0.3"/>
  <pageSetup paperSize="9" orientation="portrait" horizontalDpi="0" verticalDpi="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5B74-FF4A-CA4B-AD66-A9D5172923DE}">
  <dimension ref="A1:I59"/>
  <sheetViews>
    <sheetView topLeftCell="A46" zoomScale="101" workbookViewId="0">
      <selection activeCell="A63" sqref="A63:XFD88"/>
    </sheetView>
  </sheetViews>
  <sheetFormatPr baseColWidth="10" defaultRowHeight="13" x14ac:dyDescent="0.15"/>
  <cols>
    <col min="1" max="2" width="19.5" customWidth="1"/>
    <col min="3" max="3" width="26.83203125" customWidth="1"/>
    <col min="4" max="4" width="30.1640625" customWidth="1"/>
    <col min="5" max="5" width="23" customWidth="1"/>
    <col min="6" max="6" width="21" customWidth="1"/>
    <col min="7" max="7" width="20.83203125" customWidth="1"/>
    <col min="8" max="9" width="10.83203125" customWidth="1"/>
  </cols>
  <sheetData>
    <row r="1" spans="1:3" x14ac:dyDescent="0.15">
      <c r="A1" s="5" t="s">
        <v>148</v>
      </c>
      <c r="B1" s="5" t="s">
        <v>416</v>
      </c>
      <c r="C1" s="5" t="s">
        <v>3633</v>
      </c>
    </row>
    <row r="2" spans="1:3" x14ac:dyDescent="0.15">
      <c r="A2" t="s">
        <v>32</v>
      </c>
      <c r="B2" t="str">
        <f>LOOKUP(A2,REGIONS[Country],REGIONS[Region REMIND])</f>
        <v>CHA</v>
      </c>
      <c r="C2">
        <v>35044</v>
      </c>
    </row>
    <row r="3" spans="1:3" x14ac:dyDescent="0.15">
      <c r="A3" t="s">
        <v>71</v>
      </c>
      <c r="B3" t="str">
        <f>LOOKUP(A3,REGIONS[Country],REGIONS[Region REMIND])</f>
        <v>IND</v>
      </c>
      <c r="C3">
        <v>3640</v>
      </c>
    </row>
    <row r="4" spans="1:3" x14ac:dyDescent="0.15">
      <c r="A4" t="s">
        <v>41</v>
      </c>
      <c r="B4" t="str">
        <f>LOOKUP(A4,REGIONS[Country],REGIONS[Region REMIND])</f>
        <v>REF</v>
      </c>
      <c r="C4">
        <v>3637</v>
      </c>
    </row>
    <row r="5" spans="1:3" x14ac:dyDescent="0.15">
      <c r="A5" t="s">
        <v>30</v>
      </c>
      <c r="B5" t="str">
        <f>LOOKUP(A5,REGIONS[Country],REGIONS[Region REMIND])</f>
        <v>CAZ</v>
      </c>
      <c r="C5">
        <v>2854</v>
      </c>
    </row>
    <row r="6" spans="1:3" x14ac:dyDescent="0.15">
      <c r="A6" t="s">
        <v>3580</v>
      </c>
      <c r="B6" t="str">
        <f>LOOKUP(A6,REGIONS[Country],REGIONS[Region REMIND])</f>
        <v>MEA</v>
      </c>
      <c r="C6">
        <v>2600</v>
      </c>
    </row>
    <row r="7" spans="1:3" x14ac:dyDescent="0.15">
      <c r="A7" t="s">
        <v>29</v>
      </c>
      <c r="B7" t="str">
        <f>LOOKUP(A7,REGIONS[Country],REGIONS[Region REMIND])</f>
        <v>CAZ</v>
      </c>
      <c r="C7">
        <v>1570</v>
      </c>
    </row>
    <row r="8" spans="1:3" x14ac:dyDescent="0.15">
      <c r="A8" t="s">
        <v>324</v>
      </c>
      <c r="B8" t="str">
        <f>LOOKUP(A8,REGIONS[Country],REGIONS[Region REMIND])</f>
        <v>EUR</v>
      </c>
      <c r="C8">
        <v>1400</v>
      </c>
    </row>
    <row r="9" spans="1:3" x14ac:dyDescent="0.15">
      <c r="A9" t="s">
        <v>322</v>
      </c>
      <c r="B9" t="str">
        <f>LOOKUP(A9,REGIONS[Country],REGIONS[Region REMIND])</f>
        <v>MEA</v>
      </c>
      <c r="C9">
        <v>1365</v>
      </c>
    </row>
    <row r="10" spans="1:3" x14ac:dyDescent="0.15">
      <c r="A10" s="5" t="s">
        <v>437</v>
      </c>
      <c r="B10" t="str">
        <f>LOOKUP(A10,REGIONS[Country],REGIONS[Region REMIND])</f>
        <v>USA</v>
      </c>
      <c r="C10">
        <v>1090</v>
      </c>
    </row>
    <row r="11" spans="1:3" x14ac:dyDescent="0.15">
      <c r="A11" t="s">
        <v>323</v>
      </c>
      <c r="B11" t="str">
        <f>LOOKUP(A11,REGIONS[Country],REGIONS[Region REMIND])</f>
        <v>NEU</v>
      </c>
      <c r="C11">
        <v>845</v>
      </c>
    </row>
    <row r="12" spans="1:3" x14ac:dyDescent="0.15">
      <c r="A12" t="s">
        <v>319</v>
      </c>
      <c r="B12" t="str">
        <f>LOOKUP(A12,REGIONS[Country],REGIONS[Region REMIND])</f>
        <v>MEA</v>
      </c>
      <c r="C12">
        <v>790</v>
      </c>
    </row>
    <row r="13" spans="1:3" x14ac:dyDescent="0.15">
      <c r="A13" s="5" t="s">
        <v>86</v>
      </c>
      <c r="B13" t="str">
        <f>LOOKUP(A13,REGIONS[Country],REGIONS[Region REMIND])</f>
        <v>OAS</v>
      </c>
      <c r="C13">
        <v>760</v>
      </c>
    </row>
    <row r="14" spans="1:3" x14ac:dyDescent="0.15">
      <c r="A14" t="s">
        <v>87</v>
      </c>
      <c r="B14" t="str">
        <f>LOOKUP(A14,REGIONS[Country],REGIONS[Region REMIND])</f>
        <v>SSA</v>
      </c>
      <c r="C14">
        <v>717</v>
      </c>
    </row>
    <row r="15" spans="1:3" x14ac:dyDescent="0.15">
      <c r="A15" t="s">
        <v>73</v>
      </c>
      <c r="B15" t="str">
        <f>LOOKUP(A15,REGIONS[Country],REGIONS[Region REMIND])</f>
        <v>LAM</v>
      </c>
      <c r="C15">
        <v>650</v>
      </c>
    </row>
    <row r="16" spans="1:3" x14ac:dyDescent="0.15">
      <c r="A16" t="s">
        <v>3577</v>
      </c>
      <c r="B16" t="str">
        <f>LOOKUP(A16,REGIONS[Country],REGIONS[Region REMIND])</f>
        <v>MEA</v>
      </c>
      <c r="C16">
        <v>627</v>
      </c>
    </row>
    <row r="17" spans="1:3" x14ac:dyDescent="0.15">
      <c r="A17" t="s">
        <v>2622</v>
      </c>
      <c r="B17" t="str">
        <f>LOOKUP(A17,REGIONS[Country],REGIONS[Region REMIND])</f>
        <v>SSA</v>
      </c>
      <c r="C17">
        <v>565</v>
      </c>
    </row>
    <row r="18" spans="1:3" x14ac:dyDescent="0.15">
      <c r="A18" t="s">
        <v>34</v>
      </c>
      <c r="B18" t="str">
        <f>LOOKUP(A18,REGIONS[Country],REGIONS[Region REMIND])</f>
        <v>EUR</v>
      </c>
      <c r="C18">
        <v>550</v>
      </c>
    </row>
    <row r="19" spans="1:3" x14ac:dyDescent="0.15">
      <c r="A19" t="s">
        <v>2386</v>
      </c>
      <c r="B19" t="str">
        <f>LOOKUP(A19,REGIONS[Country],REGIONS[Region REMIND])</f>
        <v>EUR</v>
      </c>
      <c r="C19">
        <v>430</v>
      </c>
    </row>
    <row r="20" spans="1:3" x14ac:dyDescent="0.15">
      <c r="A20" t="s">
        <v>80</v>
      </c>
      <c r="B20" t="str">
        <f>LOOKUP(A20,REGIONS[Country],REGIONS[Region REMIND])</f>
        <v>LAM</v>
      </c>
      <c r="C20">
        <v>427</v>
      </c>
    </row>
    <row r="21" spans="1:3" x14ac:dyDescent="0.15">
      <c r="A21" t="s">
        <v>1320</v>
      </c>
      <c r="B21" t="str">
        <f>LOOKUP(A21,REGIONS[Country],REGIONS[Region REMIND])</f>
        <v>MEA</v>
      </c>
      <c r="C21">
        <v>391</v>
      </c>
    </row>
    <row r="22" spans="1:3" x14ac:dyDescent="0.15">
      <c r="A22" s="5" t="s">
        <v>1499</v>
      </c>
      <c r="B22" t="str">
        <f>LOOKUP(A22,REGIONS[Country],REGIONS[Region REMIND])</f>
        <v>MEA</v>
      </c>
      <c r="C22">
        <v>360</v>
      </c>
    </row>
    <row r="23" spans="1:3" x14ac:dyDescent="0.15">
      <c r="A23" t="s">
        <v>3576</v>
      </c>
      <c r="B23" t="str">
        <f>LOOKUP(A23,REGIONS[Country],REGIONS[Region REMIND])</f>
        <v>CAZ</v>
      </c>
      <c r="C23">
        <v>351</v>
      </c>
    </row>
    <row r="24" spans="1:3" x14ac:dyDescent="0.15">
      <c r="A24" t="s">
        <v>2328</v>
      </c>
      <c r="B24" t="str">
        <f>LOOKUP(A24,REGIONS[Country],REGIONS[Region REMIND])</f>
        <v>MEA</v>
      </c>
      <c r="C24">
        <v>300</v>
      </c>
    </row>
    <row r="25" spans="1:3" x14ac:dyDescent="0.15">
      <c r="A25" s="5" t="s">
        <v>874</v>
      </c>
      <c r="B25" t="str">
        <f>LOOKUP(A25,REGIONS[Country],REGIONS[Region REMIND])</f>
        <v>EUR</v>
      </c>
      <c r="C25">
        <v>280</v>
      </c>
    </row>
    <row r="26" spans="1:3" x14ac:dyDescent="0.15">
      <c r="A26" t="s">
        <v>37</v>
      </c>
      <c r="B26" t="str">
        <f>LOOKUP(A26,REGIONS[Country],REGIONS[Region REMIND])</f>
        <v>REF</v>
      </c>
      <c r="C26">
        <v>260</v>
      </c>
    </row>
    <row r="27" spans="1:3" x14ac:dyDescent="0.15">
      <c r="A27" t="s">
        <v>35</v>
      </c>
      <c r="B27" t="str">
        <f>LOOKUP(A27,REGIONS[Country],REGIONS[Region REMIND])</f>
        <v>OAS</v>
      </c>
      <c r="C27">
        <v>240</v>
      </c>
    </row>
    <row r="28" spans="1:3" x14ac:dyDescent="0.15">
      <c r="A28" s="5" t="s">
        <v>320</v>
      </c>
      <c r="B28" t="str">
        <f>LOOKUP(A28,REGIONS[Country],REGIONS[Region REMIND])</f>
        <v>EUR</v>
      </c>
      <c r="C28">
        <v>240</v>
      </c>
    </row>
    <row r="29" spans="1:3" x14ac:dyDescent="0.15">
      <c r="A29" t="s">
        <v>2958</v>
      </c>
      <c r="B29" t="str">
        <f>LOOKUP(A29,REGIONS[Country],REGIONS[Region REMIND])</f>
        <v>EUR</v>
      </c>
      <c r="C29">
        <v>220</v>
      </c>
    </row>
    <row r="30" spans="1:3" x14ac:dyDescent="0.15">
      <c r="A30" t="s">
        <v>866</v>
      </c>
      <c r="B30" t="str">
        <f>LOOKUP(A30,REGIONS[Country],REGIONS[Region REMIND])</f>
        <v>EUR</v>
      </c>
      <c r="C30">
        <v>180</v>
      </c>
    </row>
    <row r="31" spans="1:3" x14ac:dyDescent="0.15">
      <c r="A31" t="s">
        <v>3575</v>
      </c>
      <c r="B31" t="str">
        <f>LOOKUP(A31,REGIONS[Country],REGIONS[Region REMIND])</f>
        <v>EUR</v>
      </c>
      <c r="C31">
        <v>150</v>
      </c>
    </row>
    <row r="32" spans="1:3" x14ac:dyDescent="0.15">
      <c r="A32" t="s">
        <v>72</v>
      </c>
      <c r="B32" t="str">
        <f>LOOKUP(A32,REGIONS[Country],REGIONS[Region REMIND])</f>
        <v>EUR</v>
      </c>
      <c r="C32">
        <v>120</v>
      </c>
    </row>
    <row r="33" spans="1:9" x14ac:dyDescent="0.15">
      <c r="A33" t="s">
        <v>3579</v>
      </c>
      <c r="B33" t="str">
        <f>LOOKUP(A33,REGIONS[Country],REGIONS[Region REMIND])</f>
        <v>REF</v>
      </c>
      <c r="C33">
        <v>100</v>
      </c>
    </row>
    <row r="34" spans="1:9" x14ac:dyDescent="0.15">
      <c r="A34" t="s">
        <v>3578</v>
      </c>
      <c r="B34" t="str">
        <f>LOOKUP(A34,REGIONS[Country],REGIONS[Region REMIND])</f>
        <v>EUR</v>
      </c>
      <c r="C34">
        <v>80</v>
      </c>
    </row>
    <row r="35" spans="1:9" x14ac:dyDescent="0.15">
      <c r="A35" s="5" t="s">
        <v>79</v>
      </c>
      <c r="B35" t="str">
        <f>LOOKUP(A35,REGIONS[Country],REGIONS[Region REMIND])</f>
        <v>NEU</v>
      </c>
      <c r="C35">
        <v>80</v>
      </c>
    </row>
    <row r="36" spans="1:9" x14ac:dyDescent="0.15">
      <c r="A36" s="5" t="s">
        <v>919</v>
      </c>
      <c r="B36" t="str">
        <f>LOOKUP(A36,REGIONS[Country],REGIONS[Region REMIND])</f>
        <v>SSA</v>
      </c>
      <c r="C36">
        <v>70</v>
      </c>
    </row>
    <row r="37" spans="1:9" x14ac:dyDescent="0.15">
      <c r="A37" t="s">
        <v>2612</v>
      </c>
      <c r="B37" t="str">
        <f>LOOKUP(A37,REGIONS[Country],REGIONS[Region REMIND])</f>
        <v>NEU</v>
      </c>
      <c r="C37">
        <v>60</v>
      </c>
    </row>
    <row r="38" spans="1:9" x14ac:dyDescent="0.15">
      <c r="A38" t="s">
        <v>3632</v>
      </c>
      <c r="B38" t="str">
        <f>LOOKUP(A38,REGIONS[Country],REGIONS[Region REMIND])</f>
        <v>LAM</v>
      </c>
      <c r="C38">
        <v>55</v>
      </c>
    </row>
    <row r="39" spans="1:9" x14ac:dyDescent="0.15">
      <c r="A39" t="s">
        <v>329</v>
      </c>
      <c r="B39" t="str">
        <f>LOOKUP(A39,REGIONS[Country],REGIONS[Region REMIND])</f>
        <v>REF</v>
      </c>
      <c r="C39">
        <v>50</v>
      </c>
    </row>
    <row r="40" spans="1:9" x14ac:dyDescent="0.15">
      <c r="A40" t="s">
        <v>3581</v>
      </c>
      <c r="B40" t="str">
        <f>LOOKUP(A40,REGIONS[Country],REGIONS[Region REMIND])</f>
        <v>EUR</v>
      </c>
      <c r="C40">
        <v>48</v>
      </c>
    </row>
    <row r="41" spans="1:9" x14ac:dyDescent="0.15">
      <c r="A41" s="5" t="s">
        <v>85</v>
      </c>
      <c r="B41" t="str">
        <f>LOOKUP(A41,REGIONS[Country],REGIONS[Region REMIND])</f>
        <v>SSA</v>
      </c>
      <c r="C41">
        <v>42</v>
      </c>
    </row>
    <row r="42" spans="1:9" x14ac:dyDescent="0.15">
      <c r="A42" t="s">
        <v>1491</v>
      </c>
      <c r="B42" t="str">
        <f>LOOKUP(A42,REGIONS[Country],REGIONS[Region REMIND])</f>
        <v>LAM</v>
      </c>
      <c r="C42">
        <v>8</v>
      </c>
    </row>
    <row r="43" spans="1:9" x14ac:dyDescent="0.15">
      <c r="A43" s="5" t="s">
        <v>3706</v>
      </c>
    </row>
    <row r="47" spans="1:9" x14ac:dyDescent="0.15">
      <c r="A47" s="5" t="s">
        <v>3634</v>
      </c>
      <c r="B47" s="5" t="s">
        <v>416</v>
      </c>
      <c r="C47" s="5" t="s">
        <v>3633</v>
      </c>
      <c r="D47" s="5" t="s">
        <v>3636</v>
      </c>
      <c r="E47" s="5" t="s">
        <v>3637</v>
      </c>
      <c r="F47" s="5" t="s">
        <v>3638</v>
      </c>
      <c r="G47" s="5" t="s">
        <v>3639</v>
      </c>
      <c r="H47" s="5" t="s">
        <v>3697</v>
      </c>
      <c r="I47" s="5" t="s">
        <v>3698</v>
      </c>
    </row>
    <row r="48" spans="1:9" x14ac:dyDescent="0.15">
      <c r="A48" s="5" t="s">
        <v>325</v>
      </c>
      <c r="B48" s="5" t="s">
        <v>883</v>
      </c>
      <c r="C48">
        <v>1917</v>
      </c>
      <c r="D48">
        <v>31</v>
      </c>
      <c r="E48" s="5">
        <v>0.72</v>
      </c>
      <c r="F48" s="6">
        <f>Tableau11[[#This Row],[Primary production kt]]/SUM(Tableau11[Primary production kt])</f>
        <v>3.1007877327208319E-2</v>
      </c>
      <c r="G48" s="6">
        <f>Tableau11[[#This Row],[Secondary production kt]]/SUM(Tableau11[Secondary production kt])</f>
        <v>8.9662752357262687E-4</v>
      </c>
      <c r="H48">
        <f>Tableau11[[#This Row],[Secondary production %]]*Tableau11[[#This Row],[Share old scrap]]</f>
        <v>6.4557181697229131E-4</v>
      </c>
      <c r="I48">
        <f>Tableau11[[#This Row],[Secondary production %]]*(1-Tableau11[[#This Row],[Share old scrap]])</f>
        <v>2.5105570660033556E-4</v>
      </c>
    </row>
    <row r="49" spans="1:9" x14ac:dyDescent="0.15">
      <c r="A49" s="5" t="s">
        <v>32</v>
      </c>
      <c r="B49" s="5" t="s">
        <v>884</v>
      </c>
      <c r="C49">
        <v>39659</v>
      </c>
      <c r="D49">
        <v>13193</v>
      </c>
      <c r="E49" s="5">
        <v>0.41</v>
      </c>
      <c r="F49" s="6">
        <f>Tableau11[[#This Row],[Primary production kt]]/SUM(Tableau11[Primary production kt])</f>
        <v>0.64149264836711262</v>
      </c>
      <c r="G49" s="6">
        <f>Tableau11[[#This Row],[Secondary production kt]]/SUM(Tableau11[Secondary production kt])</f>
        <v>0.3815873199514086</v>
      </c>
      <c r="H49">
        <f>Tableau11[[#This Row],[Secondary production %]]*Tableau11[[#This Row],[Share old scrap]]</f>
        <v>0.15645080118007751</v>
      </c>
      <c r="I49">
        <f>Tableau11[[#This Row],[Secondary production %]]*(1-Tableau11[[#This Row],[Share old scrap]])</f>
        <v>0.22513651877133109</v>
      </c>
    </row>
    <row r="50" spans="1:9" x14ac:dyDescent="0.15">
      <c r="A50" s="5" t="s">
        <v>3635</v>
      </c>
      <c r="B50" s="5" t="s">
        <v>885</v>
      </c>
      <c r="C50">
        <v>3718</v>
      </c>
      <c r="D50">
        <v>5734</v>
      </c>
      <c r="E50">
        <v>0.69</v>
      </c>
      <c r="F50" s="6">
        <f>Tableau11[[#This Row],[Primary production kt]]/SUM(Tableau11[Primary production kt])</f>
        <v>6.013943030910826E-2</v>
      </c>
      <c r="G50" s="6">
        <f>Tableau11[[#This Row],[Secondary production kt]]/SUM(Tableau11[Secondary production kt])</f>
        <v>0.16584716839243363</v>
      </c>
      <c r="H50">
        <f>Tableau11[[#This Row],[Secondary production %]]*Tableau11[[#This Row],[Share old scrap]]</f>
        <v>0.1144345461907792</v>
      </c>
      <c r="I50">
        <f>Tableau11[[#This Row],[Secondary production %]]*(1-Tableau11[[#This Row],[Share old scrap]])</f>
        <v>5.1412622201654434E-2</v>
      </c>
    </row>
    <row r="51" spans="1:9" x14ac:dyDescent="0.15">
      <c r="A51" s="5" t="s">
        <v>36</v>
      </c>
      <c r="B51" s="5" t="s">
        <v>3628</v>
      </c>
      <c r="C51">
        <v>0</v>
      </c>
      <c r="D51">
        <v>1182</v>
      </c>
      <c r="E51">
        <v>0.71</v>
      </c>
      <c r="F51" s="6">
        <f>Tableau11[[#This Row],[Primary production kt]]/SUM(Tableau11[Primary production kt])</f>
        <v>0</v>
      </c>
      <c r="G51" s="6">
        <f>Tableau11[[#This Row],[Secondary production kt]]/SUM(Tableau11[Secondary production kt])</f>
        <v>3.4187539769769189E-2</v>
      </c>
      <c r="H51">
        <f>Tableau11[[#This Row],[Secondary production %]]*Tableau11[[#This Row],[Share old scrap]]</f>
        <v>2.4273153236536123E-2</v>
      </c>
      <c r="I51">
        <f>Tableau11[[#This Row],[Secondary production %]]*(1-Tableau11[[#This Row],[Share old scrap]])</f>
        <v>9.9143865332330661E-3</v>
      </c>
    </row>
    <row r="52" spans="1:9" x14ac:dyDescent="0.15">
      <c r="A52" s="5" t="s">
        <v>430</v>
      </c>
      <c r="B52" s="5" t="s">
        <v>892</v>
      </c>
      <c r="C52">
        <v>1185</v>
      </c>
      <c r="D52">
        <v>1812</v>
      </c>
      <c r="E52">
        <v>0.78</v>
      </c>
      <c r="F52" s="6">
        <f>Tableau11[[#This Row],[Primary production kt]]/SUM(Tableau11[Primary production kt])</f>
        <v>1.9167623699917508E-2</v>
      </c>
      <c r="G52" s="6">
        <f>Tableau11[[#This Row],[Secondary production kt]]/SUM(Tableau11[Secondary production kt])</f>
        <v>5.2409324926245157E-2</v>
      </c>
      <c r="H52">
        <f>Tableau11[[#This Row],[Secondary production %]]*Tableau11[[#This Row],[Share old scrap]]</f>
        <v>4.0879273442471227E-2</v>
      </c>
      <c r="I52">
        <f>Tableau11[[#This Row],[Secondary production %]]*(1-Tableau11[[#This Row],[Share old scrap]])</f>
        <v>1.1530051483773934E-2</v>
      </c>
    </row>
    <row r="53" spans="1:9" x14ac:dyDescent="0.15">
      <c r="A53" s="5" t="s">
        <v>427</v>
      </c>
      <c r="B53" s="5" t="s">
        <v>887</v>
      </c>
      <c r="C53">
        <v>6383</v>
      </c>
      <c r="D53">
        <v>569</v>
      </c>
      <c r="E53">
        <v>0.79</v>
      </c>
      <c r="F53" s="6">
        <f>Tableau11[[#This Row],[Primary production kt]]/SUM(Tableau11[Primary production kt])</f>
        <v>0.10324636462158096</v>
      </c>
      <c r="G53" s="6">
        <f>Tableau11[[#This Row],[Secondary production kt]]/SUM(Tableau11[Secondary production kt])</f>
        <v>1.6457453577833053E-2</v>
      </c>
      <c r="H53">
        <f>Tableau11[[#This Row],[Secondary production %]]*Tableau11[[#This Row],[Share old scrap]]</f>
        <v>1.3001388326488112E-2</v>
      </c>
      <c r="I53">
        <f>Tableau11[[#This Row],[Secondary production %]]*(1-Tableau11[[#This Row],[Share old scrap]])</f>
        <v>3.4560652513449404E-3</v>
      </c>
    </row>
    <row r="54" spans="1:9" x14ac:dyDescent="0.15">
      <c r="A54" s="5" t="s">
        <v>431</v>
      </c>
      <c r="B54" s="5" t="s">
        <v>889</v>
      </c>
      <c r="C54">
        <v>5007</v>
      </c>
      <c r="D54">
        <v>6422</v>
      </c>
      <c r="E54">
        <v>0.39</v>
      </c>
      <c r="F54" s="6">
        <f>Tableau11[[#This Row],[Primary production kt]]/SUM(Tableau11[Primary production kt])</f>
        <v>8.0989275835853969E-2</v>
      </c>
      <c r="G54" s="6">
        <f>Tableau11[[#This Row],[Secondary production kt]]/SUM(Tableau11[Secondary production kt])</f>
        <v>0.18574651472204548</v>
      </c>
      <c r="H54">
        <f>Tableau11[[#This Row],[Secondary production %]]*Tableau11[[#This Row],[Share old scrap]]</f>
        <v>7.2441140741597743E-2</v>
      </c>
      <c r="I54">
        <f>Tableau11[[#This Row],[Secondary production %]]*(1-Tableau11[[#This Row],[Share old scrap]])</f>
        <v>0.11330537398044774</v>
      </c>
    </row>
    <row r="55" spans="1:9" x14ac:dyDescent="0.15">
      <c r="A55" t="s">
        <v>429</v>
      </c>
      <c r="B55" s="5" t="s">
        <v>437</v>
      </c>
      <c r="C55">
        <v>3954</v>
      </c>
      <c r="D55">
        <v>5631</v>
      </c>
      <c r="E55">
        <v>0.7</v>
      </c>
      <c r="F55" s="6">
        <f>Tableau11[[#This Row],[Primary production kt]]/SUM(Tableau11[Primary production kt])</f>
        <v>6.3956779839218408E-2</v>
      </c>
      <c r="G55" s="6">
        <f>Tableau11[[#This Row],[Secondary production kt]]/SUM(Tableau11[Secondary production kt])</f>
        <v>0.16286805113669231</v>
      </c>
      <c r="H55">
        <f>Tableau11[[#This Row],[Secondary production %]]*Tableau11[[#This Row],[Share old scrap]]</f>
        <v>0.11400763579568461</v>
      </c>
      <c r="I55">
        <f>Tableau11[[#This Row],[Secondary production %]]*(1-Tableau11[[#This Row],[Share old scrap]])</f>
        <v>4.8860415341007699E-2</v>
      </c>
    </row>
    <row r="56" spans="1:9" x14ac:dyDescent="0.15">
      <c r="A56" s="5" t="s">
        <v>3710</v>
      </c>
      <c r="F56" s="6"/>
      <c r="G56" s="6"/>
    </row>
    <row r="57" spans="1:9" x14ac:dyDescent="0.15">
      <c r="F57" s="6"/>
    </row>
    <row r="59" spans="1:9" x14ac:dyDescent="0.15">
      <c r="G59" s="17"/>
    </row>
  </sheetData>
  <pageMargins left="0.7" right="0.7" top="0.75" bottom="0.75" header="0.3" footer="0.3"/>
  <pageSetup paperSize="9" orientation="portrait" horizontalDpi="0" verticalDpi="0"/>
  <tableParts count="2">
    <tablePart r:id="rId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8B33D-921D-9E41-BCAF-B8E14D6A01B1}">
  <dimension ref="A1:Z50"/>
  <sheetViews>
    <sheetView topLeftCell="I1" zoomScale="75" zoomScaleNormal="86" workbookViewId="0">
      <selection activeCell="I1" sqref="I1"/>
    </sheetView>
  </sheetViews>
  <sheetFormatPr baseColWidth="10" defaultColWidth="8.83203125" defaultRowHeight="14" x14ac:dyDescent="0.15"/>
  <cols>
    <col min="1" max="1" width="10.5" style="25" customWidth="1"/>
    <col min="2" max="2" width="10.6640625" style="25" customWidth="1"/>
    <col min="3" max="3" width="9.1640625" style="25" customWidth="1"/>
    <col min="4" max="4" width="8.83203125" style="25"/>
    <col min="5" max="5" width="17" style="25" customWidth="1"/>
    <col min="6" max="6" width="8.83203125" style="25"/>
    <col min="7" max="7" width="9.33203125" style="25" customWidth="1"/>
    <col min="8" max="8" width="10" style="25" customWidth="1"/>
    <col min="9" max="9" width="54.6640625" style="25" customWidth="1"/>
    <col min="10" max="10" width="55.5" style="25" customWidth="1"/>
    <col min="11" max="11" width="57.33203125" style="25" customWidth="1"/>
    <col min="12" max="12" width="53.33203125" style="25" customWidth="1"/>
    <col min="13" max="13" width="52.5" style="25" customWidth="1"/>
    <col min="14" max="14" width="55.5" style="25" customWidth="1"/>
    <col min="15" max="15" width="52" style="25" customWidth="1"/>
    <col min="16" max="16" width="55.5" style="25" customWidth="1"/>
    <col min="17" max="17" width="49" style="25" customWidth="1"/>
    <col min="18" max="18" width="57.1640625" style="25" customWidth="1"/>
    <col min="19" max="19" width="59.83203125" style="25" customWidth="1"/>
    <col min="20" max="21" width="52.33203125" style="25" customWidth="1"/>
    <col min="22" max="22" width="52.1640625" style="25" customWidth="1"/>
    <col min="23" max="23" width="56.33203125" style="25" customWidth="1"/>
    <col min="24" max="24" width="60" style="25" customWidth="1"/>
    <col min="25" max="25" width="52.33203125" style="25" customWidth="1"/>
    <col min="26" max="26" width="46.1640625" style="25" customWidth="1"/>
    <col min="27" max="16384" width="8.83203125" style="25"/>
  </cols>
  <sheetData>
    <row r="1" spans="1:26" x14ac:dyDescent="0.15">
      <c r="A1" s="25" t="s">
        <v>415</v>
      </c>
      <c r="B1" s="26" t="s">
        <v>414</v>
      </c>
      <c r="C1" s="26" t="s">
        <v>330</v>
      </c>
      <c r="D1" s="26" t="s">
        <v>162</v>
      </c>
      <c r="E1" s="26" t="s">
        <v>332</v>
      </c>
      <c r="F1" s="26" t="s">
        <v>334</v>
      </c>
      <c r="G1" s="26" t="s">
        <v>331</v>
      </c>
      <c r="H1" s="26" t="s">
        <v>335</v>
      </c>
      <c r="I1" s="26" t="s">
        <v>413</v>
      </c>
      <c r="J1" s="26" t="s">
        <v>412</v>
      </c>
      <c r="K1" s="26" t="s">
        <v>411</v>
      </c>
      <c r="L1" s="26" t="s">
        <v>410</v>
      </c>
      <c r="M1" s="26" t="s">
        <v>409</v>
      </c>
      <c r="N1" s="26" t="s">
        <v>408</v>
      </c>
      <c r="O1" s="26" t="s">
        <v>407</v>
      </c>
      <c r="P1" s="26" t="s">
        <v>406</v>
      </c>
      <c r="Q1" s="26" t="s">
        <v>405</v>
      </c>
      <c r="R1" s="26" t="s">
        <v>404</v>
      </c>
      <c r="S1" s="26" t="s">
        <v>403</v>
      </c>
      <c r="T1" s="26" t="s">
        <v>402</v>
      </c>
      <c r="U1" s="26" t="s">
        <v>401</v>
      </c>
      <c r="V1" s="26" t="s">
        <v>400</v>
      </c>
      <c r="W1" s="26" t="s">
        <v>399</v>
      </c>
      <c r="X1" s="26" t="s">
        <v>398</v>
      </c>
      <c r="Y1" s="26" t="s">
        <v>397</v>
      </c>
      <c r="Z1" s="26" t="s">
        <v>396</v>
      </c>
    </row>
    <row r="2" spans="1:26" x14ac:dyDescent="0.15">
      <c r="A2" s="26">
        <v>0</v>
      </c>
      <c r="B2" s="25" t="s">
        <v>395</v>
      </c>
      <c r="C2" s="25">
        <v>593888000000</v>
      </c>
      <c r="D2" s="25" t="s">
        <v>161</v>
      </c>
      <c r="E2" s="25" t="s">
        <v>165</v>
      </c>
      <c r="F2" s="25" t="s">
        <v>191</v>
      </c>
      <c r="G2" s="25" t="s">
        <v>151</v>
      </c>
      <c r="H2" s="25" t="s">
        <v>327</v>
      </c>
      <c r="I2" s="25">
        <v>7725523090450.4268</v>
      </c>
      <c r="J2" s="25">
        <v>8253022098005.2207</v>
      </c>
      <c r="K2" s="25">
        <v>83544204701347.766</v>
      </c>
      <c r="L2" s="25">
        <v>38676402312.864433</v>
      </c>
      <c r="M2" s="25">
        <v>2154005434969008</v>
      </c>
      <c r="N2" s="25">
        <v>23048032.952953529</v>
      </c>
      <c r="O2" s="25">
        <v>505387.09913997189</v>
      </c>
      <c r="P2" s="25">
        <v>1588158.3313244779</v>
      </c>
      <c r="Q2" s="25">
        <v>16996657244082.449</v>
      </c>
      <c r="R2" s="25">
        <v>98903822129.724701</v>
      </c>
      <c r="S2" s="25">
        <v>780774997.44762039</v>
      </c>
      <c r="T2" s="25">
        <v>763155726.65004349</v>
      </c>
      <c r="U2" s="25">
        <v>38667063910.079048</v>
      </c>
      <c r="V2" s="25">
        <v>92783.732754852754</v>
      </c>
      <c r="W2" s="25">
        <v>5494601307.578249</v>
      </c>
      <c r="X2" s="25">
        <v>29149728148.511631</v>
      </c>
      <c r="Y2" s="25">
        <v>40061288776.344254</v>
      </c>
      <c r="Z2" s="25">
        <v>2047074554271.5</v>
      </c>
    </row>
    <row r="3" spans="1:26" x14ac:dyDescent="0.15">
      <c r="A3" s="26">
        <v>1</v>
      </c>
      <c r="B3" s="25" t="s">
        <v>394</v>
      </c>
      <c r="C3" s="25">
        <v>17000000</v>
      </c>
      <c r="D3" s="25" t="s">
        <v>161</v>
      </c>
      <c r="E3" s="25" t="s">
        <v>393</v>
      </c>
      <c r="F3" s="25" t="s">
        <v>392</v>
      </c>
      <c r="G3" s="25" t="s">
        <v>151</v>
      </c>
      <c r="H3" s="25" t="s">
        <v>327</v>
      </c>
      <c r="I3" s="25">
        <v>306204493.59028113</v>
      </c>
      <c r="J3" s="25">
        <v>322294569.91587108</v>
      </c>
      <c r="K3" s="25">
        <v>3494542812.0362811</v>
      </c>
      <c r="L3" s="25">
        <v>1938486.57433895</v>
      </c>
      <c r="M3" s="25">
        <v>81256559218.012421</v>
      </c>
      <c r="N3" s="25">
        <v>4650.7224433252786</v>
      </c>
      <c r="O3" s="25">
        <v>4.6408312421234834</v>
      </c>
      <c r="P3" s="25">
        <v>67.158319654125549</v>
      </c>
      <c r="Q3" s="25">
        <v>2812743210.934186</v>
      </c>
      <c r="R3" s="25">
        <v>6270004.383942103</v>
      </c>
      <c r="S3" s="25">
        <v>43297.890421876007</v>
      </c>
      <c r="T3" s="25">
        <v>185807.11225445679</v>
      </c>
      <c r="U3" s="25">
        <v>5503499.0547639485</v>
      </c>
      <c r="V3" s="25">
        <v>2.930890107584216</v>
      </c>
      <c r="W3" s="25">
        <v>179472.1311982359</v>
      </c>
      <c r="X3" s="25">
        <v>1260838.0482055061</v>
      </c>
      <c r="Y3" s="25">
        <v>2002747.426975349</v>
      </c>
      <c r="Z3" s="25">
        <v>132689543.5545883</v>
      </c>
    </row>
    <row r="4" spans="1:26" x14ac:dyDescent="0.15">
      <c r="A4" s="26">
        <v>2</v>
      </c>
      <c r="B4" s="25" t="s">
        <v>391</v>
      </c>
      <c r="C4" s="25">
        <v>24000000</v>
      </c>
      <c r="D4" s="25" t="s">
        <v>161</v>
      </c>
      <c r="E4" s="25" t="s">
        <v>175</v>
      </c>
      <c r="F4" s="25" t="s">
        <v>390</v>
      </c>
      <c r="G4" s="25" t="s">
        <v>151</v>
      </c>
      <c r="H4" s="25" t="s">
        <v>327</v>
      </c>
      <c r="I4" s="25">
        <v>156422828.80457029</v>
      </c>
      <c r="J4" s="25">
        <v>166032658.9518989</v>
      </c>
      <c r="K4" s="25">
        <v>2454305794.9314351</v>
      </c>
      <c r="L4" s="25">
        <v>841293.84702561889</v>
      </c>
      <c r="M4" s="25">
        <v>81612704381.008133</v>
      </c>
      <c r="N4" s="25">
        <v>1278.527790963833</v>
      </c>
      <c r="O4" s="25">
        <v>37.37817541380781</v>
      </c>
      <c r="P4" s="25">
        <v>149.56782221088909</v>
      </c>
      <c r="Q4" s="25">
        <v>3643778858.1668549</v>
      </c>
      <c r="R4" s="25">
        <v>5421226.4558050614</v>
      </c>
      <c r="S4" s="25">
        <v>40176.767331857409</v>
      </c>
      <c r="T4" s="25">
        <v>30452.298090907731</v>
      </c>
      <c r="U4" s="25">
        <v>14889182.26608946</v>
      </c>
      <c r="V4" s="25">
        <v>2.1176066611956559</v>
      </c>
      <c r="W4" s="25">
        <v>82999.94825931995</v>
      </c>
      <c r="X4" s="25">
        <v>835917.18732778495</v>
      </c>
      <c r="Y4" s="25">
        <v>891190.07481120597</v>
      </c>
      <c r="Z4" s="25">
        <v>141621802.28279111</v>
      </c>
    </row>
    <row r="5" spans="1:26" x14ac:dyDescent="0.15">
      <c r="A5" s="26">
        <v>3</v>
      </c>
      <c r="B5" s="25" t="s">
        <v>389</v>
      </c>
      <c r="C5" s="25">
        <v>17345000000</v>
      </c>
      <c r="D5" s="25" t="s">
        <v>161</v>
      </c>
      <c r="E5" s="25" t="s">
        <v>388</v>
      </c>
      <c r="F5" s="25" t="s">
        <v>387</v>
      </c>
      <c r="G5" s="25" t="s">
        <v>151</v>
      </c>
      <c r="H5" s="25" t="s">
        <v>327</v>
      </c>
      <c r="I5" s="25">
        <v>84591024914.633347</v>
      </c>
      <c r="J5" s="25">
        <v>87071150328.967926</v>
      </c>
      <c r="K5" s="25">
        <v>1023406348145.5439</v>
      </c>
      <c r="L5" s="25">
        <v>425586005.84530038</v>
      </c>
      <c r="M5" s="25">
        <v>19088313277308.41</v>
      </c>
      <c r="N5" s="25">
        <v>145913.1521219032</v>
      </c>
      <c r="O5" s="25">
        <v>5110.4457848517404</v>
      </c>
      <c r="P5" s="25">
        <v>8184.2744502270307</v>
      </c>
      <c r="Q5" s="25">
        <v>420934565929.84637</v>
      </c>
      <c r="R5" s="25">
        <v>1002600694.7813359</v>
      </c>
      <c r="S5" s="25">
        <v>9609984.6157207042</v>
      </c>
      <c r="T5" s="25">
        <v>7700431.5639387136</v>
      </c>
      <c r="U5" s="25">
        <v>18175582388.857651</v>
      </c>
      <c r="V5" s="25">
        <v>273.58969430360338</v>
      </c>
      <c r="W5" s="25">
        <v>34897777.296891093</v>
      </c>
      <c r="X5" s="25">
        <v>308296611.10879672</v>
      </c>
      <c r="Y5" s="25">
        <v>441527144.79553783</v>
      </c>
      <c r="Z5" s="25">
        <v>11122800157.115231</v>
      </c>
    </row>
    <row r="6" spans="1:26" x14ac:dyDescent="0.15">
      <c r="A6" s="26">
        <v>4</v>
      </c>
      <c r="B6" s="25" t="s">
        <v>386</v>
      </c>
      <c r="C6" s="25">
        <v>6544000000</v>
      </c>
      <c r="D6" s="25" t="s">
        <v>161</v>
      </c>
      <c r="E6" s="25" t="s">
        <v>149</v>
      </c>
      <c r="F6" s="25" t="s">
        <v>184</v>
      </c>
      <c r="G6" s="25" t="s">
        <v>177</v>
      </c>
      <c r="H6" s="25" t="s">
        <v>327</v>
      </c>
      <c r="I6" s="25">
        <v>176252506007.05109</v>
      </c>
      <c r="J6" s="25">
        <v>188343704093.24619</v>
      </c>
      <c r="K6" s="25">
        <v>3380418001484.5771</v>
      </c>
      <c r="L6" s="25">
        <v>1277080427.900526</v>
      </c>
      <c r="M6" s="25">
        <v>68386471449217.508</v>
      </c>
      <c r="N6" s="25">
        <v>63067727.078505494</v>
      </c>
      <c r="O6" s="25">
        <v>5394.5097648092706</v>
      </c>
      <c r="P6" s="25">
        <v>79287.738333860936</v>
      </c>
      <c r="Q6" s="25">
        <v>10800845788182.99</v>
      </c>
      <c r="R6" s="25">
        <v>5681176120.2572718</v>
      </c>
      <c r="S6" s="25">
        <v>36121744.907025859</v>
      </c>
      <c r="T6" s="25">
        <v>139535871.01368329</v>
      </c>
      <c r="U6" s="25">
        <v>118108796148.7908</v>
      </c>
      <c r="V6" s="25">
        <v>13207.97160637854</v>
      </c>
      <c r="W6" s="25">
        <v>114404240.63512599</v>
      </c>
      <c r="X6" s="25">
        <v>700819439.53250241</v>
      </c>
      <c r="Y6" s="25">
        <v>1307435372.4194529</v>
      </c>
      <c r="Z6" s="25">
        <v>1268749645586.844</v>
      </c>
    </row>
    <row r="7" spans="1:26" x14ac:dyDescent="0.15">
      <c r="A7" s="26">
        <v>5</v>
      </c>
      <c r="B7" s="25" t="s">
        <v>385</v>
      </c>
      <c r="C7" s="25">
        <v>466986000000</v>
      </c>
      <c r="D7" s="25" t="s">
        <v>161</v>
      </c>
      <c r="E7" s="25" t="s">
        <v>150</v>
      </c>
      <c r="F7" s="25" t="s">
        <v>384</v>
      </c>
      <c r="G7" s="25" t="s">
        <v>151</v>
      </c>
      <c r="H7" s="25" t="s">
        <v>327</v>
      </c>
      <c r="I7" s="25">
        <v>3012960044304.8179</v>
      </c>
      <c r="J7" s="25">
        <v>3213280408973.167</v>
      </c>
      <c r="K7" s="25">
        <v>42126011001186.469</v>
      </c>
      <c r="L7" s="25">
        <v>187782923135.4527</v>
      </c>
      <c r="M7" s="25">
        <v>2.0687930640930472E+16</v>
      </c>
      <c r="N7" s="25">
        <v>102752305.06360979</v>
      </c>
      <c r="O7" s="25">
        <v>571327.70300556684</v>
      </c>
      <c r="P7" s="25">
        <v>29571003.846452739</v>
      </c>
      <c r="Q7" s="25">
        <v>42765144398670.18</v>
      </c>
      <c r="R7" s="25">
        <v>449035098110.23199</v>
      </c>
      <c r="S7" s="25">
        <v>4339749258.3159065</v>
      </c>
      <c r="T7" s="25">
        <v>1688639763.333868</v>
      </c>
      <c r="U7" s="25">
        <v>353354133640.27618</v>
      </c>
      <c r="V7" s="25">
        <v>38978.312778504609</v>
      </c>
      <c r="W7" s="25">
        <v>11977915358.023001</v>
      </c>
      <c r="X7" s="25">
        <v>50325912781.47757</v>
      </c>
      <c r="Y7" s="25">
        <v>193262598318.16229</v>
      </c>
      <c r="Z7" s="25">
        <v>3946460682948.25</v>
      </c>
    </row>
    <row r="8" spans="1:26" x14ac:dyDescent="0.15">
      <c r="A8" s="26">
        <v>6</v>
      </c>
      <c r="B8" s="25" t="s">
        <v>383</v>
      </c>
      <c r="C8" s="25">
        <v>71000000</v>
      </c>
      <c r="D8" s="25" t="s">
        <v>161</v>
      </c>
      <c r="E8" s="25" t="s">
        <v>182</v>
      </c>
      <c r="F8" s="25" t="s">
        <v>382</v>
      </c>
      <c r="G8" s="25" t="s">
        <v>151</v>
      </c>
      <c r="H8" s="25" t="s">
        <v>327</v>
      </c>
      <c r="I8" s="25">
        <v>11155349588.467541</v>
      </c>
      <c r="J8" s="25">
        <v>12231512199.49468</v>
      </c>
      <c r="K8" s="25">
        <v>179740701666.9675</v>
      </c>
      <c r="L8" s="25">
        <v>28925669.33260211</v>
      </c>
      <c r="M8" s="25">
        <v>1604866051056.7471</v>
      </c>
      <c r="N8" s="25">
        <v>2047762.777948434</v>
      </c>
      <c r="O8" s="25">
        <v>168.73191313252821</v>
      </c>
      <c r="P8" s="25">
        <v>935.65153554737003</v>
      </c>
      <c r="Q8" s="25">
        <v>61057369533.232986</v>
      </c>
      <c r="R8" s="25">
        <v>138009761.50231421</v>
      </c>
      <c r="S8" s="25">
        <v>1141258.7861362139</v>
      </c>
      <c r="T8" s="25">
        <v>32580214.784682568</v>
      </c>
      <c r="U8" s="25">
        <v>171435011.33941641</v>
      </c>
      <c r="V8" s="25">
        <v>1154.7654010211211</v>
      </c>
      <c r="W8" s="25">
        <v>3776439.4412548249</v>
      </c>
      <c r="X8" s="25">
        <v>31681623.802234851</v>
      </c>
      <c r="Y8" s="25">
        <v>32623073.75904445</v>
      </c>
      <c r="Z8" s="25">
        <v>5513720108.8081055</v>
      </c>
    </row>
    <row r="9" spans="1:26" x14ac:dyDescent="0.15">
      <c r="A9" s="26">
        <v>7</v>
      </c>
      <c r="B9" s="25" t="s">
        <v>381</v>
      </c>
      <c r="C9" s="25">
        <v>121685000000</v>
      </c>
      <c r="D9" s="25" t="s">
        <v>161</v>
      </c>
      <c r="E9" s="25" t="s">
        <v>152</v>
      </c>
      <c r="F9" s="25" t="s">
        <v>380</v>
      </c>
      <c r="G9" s="25" t="s">
        <v>177</v>
      </c>
      <c r="H9" s="25" t="s">
        <v>327</v>
      </c>
      <c r="I9" s="25">
        <v>582509639847.52478</v>
      </c>
      <c r="J9" s="25">
        <v>657338999679.23901</v>
      </c>
      <c r="K9" s="25">
        <v>11087551169406.73</v>
      </c>
      <c r="L9" s="25">
        <v>10369938449.98251</v>
      </c>
      <c r="M9" s="25">
        <v>161479386621130.09</v>
      </c>
      <c r="N9" s="25">
        <v>2641645.672518265</v>
      </c>
      <c r="O9" s="25">
        <v>6303.3501178978186</v>
      </c>
      <c r="P9" s="25">
        <v>52919.463758357662</v>
      </c>
      <c r="Q9" s="25">
        <v>2607277681292.627</v>
      </c>
      <c r="R9" s="25">
        <v>7153396315.5380669</v>
      </c>
      <c r="S9" s="25">
        <v>81732107.129732639</v>
      </c>
      <c r="T9" s="25">
        <v>101962687.306684</v>
      </c>
      <c r="U9" s="25">
        <v>4698077506.689333</v>
      </c>
      <c r="V9" s="25">
        <v>10458.347216488201</v>
      </c>
      <c r="W9" s="25">
        <v>1087080988.7146349</v>
      </c>
      <c r="X9" s="25">
        <v>4421291246.0684338</v>
      </c>
      <c r="Y9" s="25">
        <v>10533020178.213329</v>
      </c>
      <c r="Z9" s="25">
        <v>71301881624.84375</v>
      </c>
    </row>
    <row r="10" spans="1:26" x14ac:dyDescent="0.15">
      <c r="A10" s="26">
        <v>8</v>
      </c>
      <c r="B10" s="25" t="s">
        <v>379</v>
      </c>
      <c r="C10" s="25">
        <v>3000000</v>
      </c>
      <c r="D10" s="25" t="s">
        <v>161</v>
      </c>
      <c r="E10" s="25" t="s">
        <v>378</v>
      </c>
      <c r="F10" s="25" t="s">
        <v>377</v>
      </c>
      <c r="G10" s="25" t="s">
        <v>151</v>
      </c>
      <c r="H10" s="25" t="s">
        <v>327</v>
      </c>
      <c r="I10" s="25">
        <v>331017479.46787208</v>
      </c>
      <c r="J10" s="25">
        <v>347986450.71847272</v>
      </c>
      <c r="K10" s="25">
        <v>5577938019.3491268</v>
      </c>
      <c r="L10" s="25">
        <v>2194506.0530043649</v>
      </c>
      <c r="M10" s="25">
        <v>258402267619.0105</v>
      </c>
      <c r="N10" s="25">
        <v>3754.773838303985</v>
      </c>
      <c r="O10" s="25">
        <v>136.34035599443919</v>
      </c>
      <c r="P10" s="25">
        <v>496.68424753510681</v>
      </c>
      <c r="Q10" s="25">
        <v>10164762221.696011</v>
      </c>
      <c r="R10" s="25">
        <v>15679071.421383619</v>
      </c>
      <c r="S10" s="25">
        <v>123170.3069786338</v>
      </c>
      <c r="T10" s="25">
        <v>89516.0703282904</v>
      </c>
      <c r="U10" s="25">
        <v>52308660.793446973</v>
      </c>
      <c r="V10" s="25">
        <v>5.7231017585430184</v>
      </c>
      <c r="W10" s="25">
        <v>155116.37907759269</v>
      </c>
      <c r="X10" s="25">
        <v>2522345.1473537288</v>
      </c>
      <c r="Y10" s="25">
        <v>2338423.5396880889</v>
      </c>
      <c r="Z10" s="25">
        <v>444757094.3440094</v>
      </c>
    </row>
    <row r="11" spans="1:26" x14ac:dyDescent="0.15">
      <c r="A11" s="26">
        <v>9</v>
      </c>
      <c r="B11" s="25" t="s">
        <v>376</v>
      </c>
      <c r="C11" s="25">
        <v>91000000</v>
      </c>
      <c r="D11" s="25" t="s">
        <v>161</v>
      </c>
      <c r="E11" s="25" t="s">
        <v>153</v>
      </c>
      <c r="F11" s="25" t="s">
        <v>375</v>
      </c>
      <c r="G11" s="25" t="s">
        <v>151</v>
      </c>
      <c r="H11" s="25" t="s">
        <v>327</v>
      </c>
      <c r="I11" s="25">
        <v>115743792.0977944</v>
      </c>
      <c r="J11" s="25">
        <v>123434017.0298166</v>
      </c>
      <c r="K11" s="25">
        <v>1542002578.172014</v>
      </c>
      <c r="L11" s="25">
        <v>2186340.20166833</v>
      </c>
      <c r="M11" s="25">
        <v>120351840950.3988</v>
      </c>
      <c r="N11" s="25">
        <v>5210.8608432209749</v>
      </c>
      <c r="O11" s="25">
        <v>51.929080353914017</v>
      </c>
      <c r="P11" s="25">
        <v>931.49365640787573</v>
      </c>
      <c r="Q11" s="25">
        <v>1225587263.9290819</v>
      </c>
      <c r="R11" s="25">
        <v>7045345.5434276424</v>
      </c>
      <c r="S11" s="25">
        <v>42317.216288441618</v>
      </c>
      <c r="T11" s="25">
        <v>32321.60188585359</v>
      </c>
      <c r="U11" s="25">
        <v>20184151.544448759</v>
      </c>
      <c r="V11" s="25">
        <v>12.808090008129071</v>
      </c>
      <c r="W11" s="25">
        <v>165642.28679093291</v>
      </c>
      <c r="X11" s="25">
        <v>708338.0623313908</v>
      </c>
      <c r="Y11" s="25">
        <v>2230635.651943062</v>
      </c>
      <c r="Z11" s="25">
        <v>75863366.982753754</v>
      </c>
    </row>
    <row r="12" spans="1:26" x14ac:dyDescent="0.15">
      <c r="A12" s="26">
        <v>10</v>
      </c>
      <c r="B12" s="25" t="s">
        <v>374</v>
      </c>
      <c r="C12" s="25">
        <v>12643000000</v>
      </c>
      <c r="D12" s="25" t="s">
        <v>161</v>
      </c>
      <c r="E12" s="25" t="s">
        <v>167</v>
      </c>
      <c r="F12" s="25" t="s">
        <v>186</v>
      </c>
      <c r="G12" s="25" t="s">
        <v>151</v>
      </c>
      <c r="H12" s="25" t="s">
        <v>327</v>
      </c>
      <c r="I12" s="25">
        <v>175656778608.535</v>
      </c>
      <c r="J12" s="25">
        <v>187710448613.98651</v>
      </c>
      <c r="K12" s="25">
        <v>2244442747403.5088</v>
      </c>
      <c r="L12" s="25">
        <v>1078397111.466681</v>
      </c>
      <c r="M12" s="25">
        <v>56436680129771.617</v>
      </c>
      <c r="N12" s="25">
        <v>367334264.37134099</v>
      </c>
      <c r="O12" s="25">
        <v>3544.3323662373768</v>
      </c>
      <c r="P12" s="25">
        <v>39359.976264981713</v>
      </c>
      <c r="Q12" s="25">
        <v>945102312787.74622</v>
      </c>
      <c r="R12" s="25">
        <v>4415375328.1800423</v>
      </c>
      <c r="S12" s="25">
        <v>41193136.772500992</v>
      </c>
      <c r="T12" s="25">
        <v>414066678.52580363</v>
      </c>
      <c r="U12" s="25">
        <v>4844123707.4862804</v>
      </c>
      <c r="V12" s="25">
        <v>8212.1446550621476</v>
      </c>
      <c r="W12" s="25">
        <v>121379819.8415606</v>
      </c>
      <c r="X12" s="25">
        <v>823163531.89770067</v>
      </c>
      <c r="Y12" s="25">
        <v>1151497965.8135231</v>
      </c>
      <c r="Z12" s="25">
        <v>71436296729.449219</v>
      </c>
    </row>
    <row r="13" spans="1:26" x14ac:dyDescent="0.15">
      <c r="A13" s="26">
        <v>11</v>
      </c>
      <c r="B13" s="25" t="s">
        <v>373</v>
      </c>
      <c r="C13" s="25">
        <v>12643000000</v>
      </c>
      <c r="D13" s="25" t="s">
        <v>161</v>
      </c>
      <c r="E13" s="25" t="s">
        <v>183</v>
      </c>
      <c r="F13" s="25" t="s">
        <v>185</v>
      </c>
      <c r="G13" s="25" t="s">
        <v>151</v>
      </c>
      <c r="H13" s="25" t="s">
        <v>327</v>
      </c>
      <c r="I13" s="25">
        <v>90331304522.501556</v>
      </c>
      <c r="J13" s="25">
        <v>97110799294.730225</v>
      </c>
      <c r="K13" s="25">
        <v>1231062910910.012</v>
      </c>
      <c r="L13" s="25">
        <v>631665501.4667021</v>
      </c>
      <c r="M13" s="25">
        <v>32585893251862.699</v>
      </c>
      <c r="N13" s="25">
        <v>226286096.92466089</v>
      </c>
      <c r="O13" s="25">
        <v>2021.0933819281361</v>
      </c>
      <c r="P13" s="25">
        <v>23050.90309983931</v>
      </c>
      <c r="Q13" s="25">
        <v>499262370396.99841</v>
      </c>
      <c r="R13" s="25">
        <v>2532195846.5039191</v>
      </c>
      <c r="S13" s="25">
        <v>23987558.721633311</v>
      </c>
      <c r="T13" s="25">
        <v>254094510.00588891</v>
      </c>
      <c r="U13" s="25">
        <v>2738718621.099174</v>
      </c>
      <c r="V13" s="25">
        <v>4906.6541274726278</v>
      </c>
      <c r="W13" s="25">
        <v>70779689.448253304</v>
      </c>
      <c r="X13" s="25">
        <v>465854002.50340438</v>
      </c>
      <c r="Y13" s="25">
        <v>674973116.29150009</v>
      </c>
      <c r="Z13" s="25">
        <v>41118380122.253906</v>
      </c>
    </row>
    <row r="14" spans="1:26" x14ac:dyDescent="0.15">
      <c r="A14" s="26">
        <v>12</v>
      </c>
      <c r="B14" s="25" t="s">
        <v>372</v>
      </c>
      <c r="C14" s="25">
        <v>6440000000</v>
      </c>
      <c r="D14" s="25" t="s">
        <v>161</v>
      </c>
      <c r="E14" s="25" t="s">
        <v>371</v>
      </c>
      <c r="F14" s="25" t="s">
        <v>370</v>
      </c>
      <c r="G14" s="25" t="s">
        <v>151</v>
      </c>
      <c r="H14" s="25" t="s">
        <v>327</v>
      </c>
      <c r="I14" s="25">
        <v>18280230644.27565</v>
      </c>
      <c r="J14" s="25">
        <v>19290557066.632881</v>
      </c>
      <c r="K14" s="25">
        <v>192059175265.77328</v>
      </c>
      <c r="L14" s="25">
        <v>102390283.0562038</v>
      </c>
      <c r="M14" s="25">
        <v>9487892547146.0684</v>
      </c>
      <c r="N14" s="25">
        <v>67578.557655966841</v>
      </c>
      <c r="O14" s="25">
        <v>161436.9970986305</v>
      </c>
      <c r="P14" s="25">
        <v>2960.8205042770678</v>
      </c>
      <c r="Q14" s="25">
        <v>115798135477.7133</v>
      </c>
      <c r="R14" s="25">
        <v>558880598.10246432</v>
      </c>
      <c r="S14" s="25">
        <v>5041555.0731264036</v>
      </c>
      <c r="T14" s="25">
        <v>3062976.2683118642</v>
      </c>
      <c r="U14" s="25">
        <v>10545374234.465191</v>
      </c>
      <c r="V14" s="25">
        <v>96.141563219471593</v>
      </c>
      <c r="W14" s="25">
        <v>21207875.6214073</v>
      </c>
      <c r="X14" s="25">
        <v>119142020.27485751</v>
      </c>
      <c r="Y14" s="25">
        <v>108469040.132772</v>
      </c>
      <c r="Z14" s="25">
        <v>2533545178.3320308</v>
      </c>
    </row>
    <row r="15" spans="1:26" x14ac:dyDescent="0.15">
      <c r="A15" s="26">
        <v>13</v>
      </c>
      <c r="B15" s="25" t="s">
        <v>369</v>
      </c>
      <c r="C15" s="25">
        <v>26053000000</v>
      </c>
      <c r="D15" s="25" t="s">
        <v>161</v>
      </c>
      <c r="E15" s="25" t="s">
        <v>187</v>
      </c>
      <c r="F15" s="25" t="s">
        <v>188</v>
      </c>
      <c r="G15" s="25" t="s">
        <v>151</v>
      </c>
      <c r="H15" s="25" t="s">
        <v>327</v>
      </c>
      <c r="I15" s="25">
        <v>81740160143.582947</v>
      </c>
      <c r="J15" s="25">
        <v>86286899780.695938</v>
      </c>
      <c r="K15" s="25">
        <v>1005618251608.046</v>
      </c>
      <c r="L15" s="25">
        <v>448285312.14147621</v>
      </c>
      <c r="M15" s="25">
        <v>25472403293529.91</v>
      </c>
      <c r="N15" s="25">
        <v>428860.70240966469</v>
      </c>
      <c r="O15" s="25">
        <v>1310.9292724258689</v>
      </c>
      <c r="P15" s="25">
        <v>15117.072598189359</v>
      </c>
      <c r="Q15" s="25">
        <v>982979254835.79504</v>
      </c>
      <c r="R15" s="25">
        <v>2200679769.6497831</v>
      </c>
      <c r="S15" s="25">
        <v>17629924.7028252</v>
      </c>
      <c r="T15" s="25">
        <v>8116373.0340770613</v>
      </c>
      <c r="U15" s="25">
        <v>29298231957.355572</v>
      </c>
      <c r="V15" s="25">
        <v>813.93265461049373</v>
      </c>
      <c r="W15" s="25">
        <v>44018158.766012669</v>
      </c>
      <c r="X15" s="25">
        <v>295377070.40394908</v>
      </c>
      <c r="Y15" s="25">
        <v>464294929.45635593</v>
      </c>
      <c r="Z15" s="25">
        <v>70636196342.109375</v>
      </c>
    </row>
    <row r="16" spans="1:26" x14ac:dyDescent="0.15">
      <c r="A16" s="26">
        <v>14</v>
      </c>
      <c r="B16" s="25" t="s">
        <v>368</v>
      </c>
      <c r="C16" s="25">
        <v>866000000</v>
      </c>
      <c r="D16" s="25" t="s">
        <v>161</v>
      </c>
      <c r="E16" s="25" t="s">
        <v>367</v>
      </c>
      <c r="F16" s="25" t="s">
        <v>366</v>
      </c>
      <c r="G16" s="25" t="s">
        <v>151</v>
      </c>
      <c r="H16" s="25" t="s">
        <v>327</v>
      </c>
      <c r="I16" s="25">
        <v>5646388062.6921501</v>
      </c>
      <c r="J16" s="25">
        <v>6063770063.6755037</v>
      </c>
      <c r="K16" s="25">
        <v>74561848138.59082</v>
      </c>
      <c r="L16" s="25">
        <v>61396865.246054649</v>
      </c>
      <c r="M16" s="25">
        <v>63460815614470.477</v>
      </c>
      <c r="N16" s="25">
        <v>138684.74084653129</v>
      </c>
      <c r="O16" s="25">
        <v>570.96017977319843</v>
      </c>
      <c r="P16" s="25">
        <v>1237.045859244452</v>
      </c>
      <c r="Q16" s="25">
        <v>57142268223.191017</v>
      </c>
      <c r="R16" s="25">
        <v>1865190320.436599</v>
      </c>
      <c r="S16" s="25">
        <v>18981658.13584261</v>
      </c>
      <c r="T16" s="25">
        <v>5758481.0896811886</v>
      </c>
      <c r="U16" s="25">
        <v>619717524.81333733</v>
      </c>
      <c r="V16" s="25">
        <v>79.562003294424414</v>
      </c>
      <c r="W16" s="25">
        <v>9899261.8104554135</v>
      </c>
      <c r="X16" s="25">
        <v>106357443.5154891</v>
      </c>
      <c r="Y16" s="25">
        <v>79870317.121942058</v>
      </c>
      <c r="Z16" s="25">
        <v>10018027040.0415</v>
      </c>
    </row>
    <row r="17" spans="1:26" x14ac:dyDescent="0.15">
      <c r="A17" s="26">
        <v>15</v>
      </c>
      <c r="B17" s="25" t="s">
        <v>365</v>
      </c>
      <c r="C17" s="25">
        <v>82312000000</v>
      </c>
      <c r="D17" s="25" t="s">
        <v>161</v>
      </c>
      <c r="E17" s="25" t="s">
        <v>163</v>
      </c>
      <c r="F17" s="25" t="s">
        <v>364</v>
      </c>
      <c r="G17" s="25" t="s">
        <v>151</v>
      </c>
      <c r="H17" s="25" t="s">
        <v>327</v>
      </c>
      <c r="I17" s="25">
        <v>1389573863967.7219</v>
      </c>
      <c r="J17" s="25">
        <v>1496274793240.512</v>
      </c>
      <c r="K17" s="25">
        <v>23083582717019.43</v>
      </c>
      <c r="L17" s="25">
        <v>124270502892.9431</v>
      </c>
      <c r="M17" s="25">
        <v>2760981047879902</v>
      </c>
      <c r="N17" s="25">
        <v>385279937.46012372</v>
      </c>
      <c r="O17" s="25">
        <v>35196.154883716546</v>
      </c>
      <c r="P17" s="25">
        <v>397447.82181956968</v>
      </c>
      <c r="Q17" s="25">
        <v>48370840386087.406</v>
      </c>
      <c r="R17" s="25">
        <v>49770910005.478554</v>
      </c>
      <c r="S17" s="25">
        <v>823403652.11024618</v>
      </c>
      <c r="T17" s="25">
        <v>904739868.75588977</v>
      </c>
      <c r="U17" s="25">
        <v>555060604518.80713</v>
      </c>
      <c r="V17" s="25">
        <v>30352.132486198989</v>
      </c>
      <c r="W17" s="25">
        <v>6897749029.2158546</v>
      </c>
      <c r="X17" s="25">
        <v>19758430677.85482</v>
      </c>
      <c r="Y17" s="25">
        <v>124910198969.21021</v>
      </c>
      <c r="Z17" s="25">
        <v>5241562937740.375</v>
      </c>
    </row>
    <row r="18" spans="1:26" x14ac:dyDescent="0.15">
      <c r="A18" s="26">
        <v>16</v>
      </c>
      <c r="B18" s="25" t="s">
        <v>363</v>
      </c>
      <c r="C18" s="25">
        <v>2846000000</v>
      </c>
      <c r="D18" s="25" t="s">
        <v>161</v>
      </c>
      <c r="E18" s="25" t="s">
        <v>189</v>
      </c>
      <c r="F18" s="25" t="s">
        <v>362</v>
      </c>
      <c r="G18" s="25" t="s">
        <v>151</v>
      </c>
      <c r="H18" s="25" t="s">
        <v>327</v>
      </c>
      <c r="I18" s="25">
        <v>22838264970.0476</v>
      </c>
      <c r="J18" s="25">
        <v>24383129901.695759</v>
      </c>
      <c r="K18" s="25">
        <v>293687070223.93921</v>
      </c>
      <c r="L18" s="25">
        <v>106172991.1789186</v>
      </c>
      <c r="M18" s="25">
        <v>8566997946504.1357</v>
      </c>
      <c r="N18" s="25">
        <v>276762.82723602752</v>
      </c>
      <c r="O18" s="25">
        <v>271.49470445530062</v>
      </c>
      <c r="P18" s="25">
        <v>6826.9502371227491</v>
      </c>
      <c r="Q18" s="25">
        <v>160975097150.76389</v>
      </c>
      <c r="R18" s="25">
        <v>967765651.2658478</v>
      </c>
      <c r="S18" s="25">
        <v>5726974.2666061036</v>
      </c>
      <c r="T18" s="25">
        <v>2965469.9368452639</v>
      </c>
      <c r="U18" s="25">
        <v>4445337489.1847763</v>
      </c>
      <c r="V18" s="25">
        <v>220.3543153740998</v>
      </c>
      <c r="W18" s="25">
        <v>20024883.920057021</v>
      </c>
      <c r="X18" s="25">
        <v>85490825.24316518</v>
      </c>
      <c r="Y18" s="25">
        <v>110509420.07808121</v>
      </c>
      <c r="Z18" s="25">
        <v>6828130425.3828115</v>
      </c>
    </row>
    <row r="19" spans="1:26" x14ac:dyDescent="0.15">
      <c r="A19" s="26">
        <v>17</v>
      </c>
      <c r="B19" s="25" t="s">
        <v>361</v>
      </c>
      <c r="C19" s="25">
        <v>4000000</v>
      </c>
      <c r="D19" s="25" t="s">
        <v>161</v>
      </c>
      <c r="E19" s="25" t="s">
        <v>360</v>
      </c>
      <c r="F19" s="25" t="s">
        <v>359</v>
      </c>
      <c r="G19" s="25" t="s">
        <v>151</v>
      </c>
      <c r="H19" s="25" t="s">
        <v>327</v>
      </c>
      <c r="I19" s="25">
        <v>270657523624.8508</v>
      </c>
      <c r="J19" s="25">
        <v>279712366038.21069</v>
      </c>
      <c r="K19" s="25">
        <v>4423082438770.5195</v>
      </c>
      <c r="L19" s="25">
        <v>13310970948.53701</v>
      </c>
      <c r="M19" s="25">
        <v>2382118093759295</v>
      </c>
      <c r="N19" s="25">
        <v>2295368.868559984</v>
      </c>
      <c r="O19" s="25">
        <v>4125.3823400473166</v>
      </c>
      <c r="P19" s="25">
        <v>50581.665411647104</v>
      </c>
      <c r="Q19" s="25">
        <v>1315064479376.134</v>
      </c>
      <c r="R19" s="25">
        <v>7107579412.094697</v>
      </c>
      <c r="S19" s="25">
        <v>540784560.01941943</v>
      </c>
      <c r="T19" s="25">
        <v>170725049.23564339</v>
      </c>
      <c r="U19" s="25">
        <v>3399184669.182219</v>
      </c>
      <c r="V19" s="25">
        <v>2231.2516097359412</v>
      </c>
      <c r="W19" s="25">
        <v>774072266.83997202</v>
      </c>
      <c r="X19" s="25">
        <v>5737255699.9737883</v>
      </c>
      <c r="Y19" s="25">
        <v>14034834254.070379</v>
      </c>
      <c r="Z19" s="25">
        <v>63454409720.279297</v>
      </c>
    </row>
    <row r="20" spans="1:26" x14ac:dyDescent="0.15">
      <c r="A20" s="26">
        <v>18</v>
      </c>
      <c r="B20" s="25" t="s">
        <v>358</v>
      </c>
      <c r="C20" s="25">
        <v>1323000000</v>
      </c>
      <c r="D20" s="25" t="s">
        <v>161</v>
      </c>
      <c r="E20" s="25" t="s">
        <v>154</v>
      </c>
      <c r="F20" s="25" t="s">
        <v>357</v>
      </c>
      <c r="G20" s="25" t="s">
        <v>151</v>
      </c>
      <c r="H20" s="25" t="s">
        <v>327</v>
      </c>
      <c r="I20" s="25">
        <v>66981806018.91304</v>
      </c>
      <c r="J20" s="25">
        <v>72289349008.607193</v>
      </c>
      <c r="K20" s="25">
        <v>897965695148.07764</v>
      </c>
      <c r="L20" s="25">
        <v>382729609.33812147</v>
      </c>
      <c r="M20" s="25">
        <v>48802965062911.031</v>
      </c>
      <c r="N20" s="25">
        <v>29096707.049715839</v>
      </c>
      <c r="O20" s="25">
        <v>2762.4812985960721</v>
      </c>
      <c r="P20" s="25">
        <v>24311.705558521069</v>
      </c>
      <c r="Q20" s="25">
        <v>6881318385518.6006</v>
      </c>
      <c r="R20" s="25">
        <v>19449711911.630161</v>
      </c>
      <c r="S20" s="25">
        <v>177217044.71334171</v>
      </c>
      <c r="T20" s="25">
        <v>3032661999.5604062</v>
      </c>
      <c r="U20" s="25">
        <v>2383581712122.689</v>
      </c>
      <c r="V20" s="25">
        <v>5176.8333818588026</v>
      </c>
      <c r="W20" s="25">
        <v>43305442.930489257</v>
      </c>
      <c r="X20" s="25">
        <v>307154829.28884929</v>
      </c>
      <c r="Y20" s="25">
        <v>414413490.50471091</v>
      </c>
      <c r="Z20" s="25">
        <v>-4888613464.4316406</v>
      </c>
    </row>
    <row r="21" spans="1:26" x14ac:dyDescent="0.15">
      <c r="A21" s="26">
        <v>19</v>
      </c>
      <c r="B21" s="25" t="s">
        <v>356</v>
      </c>
      <c r="C21" s="25">
        <v>137000000</v>
      </c>
      <c r="D21" s="25" t="s">
        <v>161</v>
      </c>
      <c r="E21" s="25" t="s">
        <v>155</v>
      </c>
      <c r="F21" s="25" t="s">
        <v>355</v>
      </c>
      <c r="G21" s="25" t="s">
        <v>151</v>
      </c>
      <c r="H21" s="25" t="s">
        <v>327</v>
      </c>
      <c r="I21" s="25">
        <v>151884494.24562049</v>
      </c>
      <c r="J21" s="25">
        <v>163926700.21938229</v>
      </c>
      <c r="K21" s="25">
        <v>2018944275.2676849</v>
      </c>
      <c r="L21" s="25">
        <v>873898.47093285737</v>
      </c>
      <c r="M21" s="25">
        <v>108940517987.09171</v>
      </c>
      <c r="N21" s="25">
        <v>68416.928990977773</v>
      </c>
      <c r="O21" s="25">
        <v>6.7909412458383542</v>
      </c>
      <c r="P21" s="25">
        <v>55.377040746659873</v>
      </c>
      <c r="Q21" s="25">
        <v>17670902252.74234</v>
      </c>
      <c r="R21" s="25">
        <v>49910847.762990512</v>
      </c>
      <c r="S21" s="25">
        <v>455176.05122473842</v>
      </c>
      <c r="T21" s="25">
        <v>7801868.2219272768</v>
      </c>
      <c r="U21" s="25">
        <v>6131299304.2525873</v>
      </c>
      <c r="V21" s="25">
        <v>11.868779139147939</v>
      </c>
      <c r="W21" s="25">
        <v>97106.875872295524</v>
      </c>
      <c r="X21" s="25">
        <v>648887.94120042841</v>
      </c>
      <c r="Y21" s="25">
        <v>945829.11423383991</v>
      </c>
      <c r="Z21" s="25">
        <v>-6851316.7073402395</v>
      </c>
    </row>
    <row r="22" spans="1:26" x14ac:dyDescent="0.15">
      <c r="A22" s="26">
        <v>20</v>
      </c>
      <c r="B22" s="25" t="s">
        <v>354</v>
      </c>
      <c r="C22" s="25">
        <v>218000000</v>
      </c>
      <c r="D22" s="25" t="s">
        <v>161</v>
      </c>
      <c r="E22" s="25" t="s">
        <v>156</v>
      </c>
      <c r="F22" s="25" t="s">
        <v>353</v>
      </c>
      <c r="G22" s="25" t="s">
        <v>151</v>
      </c>
      <c r="H22" s="25" t="s">
        <v>327</v>
      </c>
      <c r="I22" s="25">
        <v>15887744090.01889</v>
      </c>
      <c r="J22" s="25">
        <v>17151066887.64653</v>
      </c>
      <c r="K22" s="25">
        <v>212093276718.6373</v>
      </c>
      <c r="L22" s="25">
        <v>90947348.416541725</v>
      </c>
      <c r="M22" s="25">
        <v>11638804959048.17</v>
      </c>
      <c r="N22" s="25">
        <v>7065258.8011358418</v>
      </c>
      <c r="O22" s="25">
        <v>674.56482133306179</v>
      </c>
      <c r="P22" s="25">
        <v>5835.6285575369138</v>
      </c>
      <c r="Q22" s="25">
        <v>1715838069724.3091</v>
      </c>
      <c r="R22" s="25">
        <v>4841631657.7641497</v>
      </c>
      <c r="S22" s="25">
        <v>44144133.34875226</v>
      </c>
      <c r="T22" s="25">
        <v>756784797.45997906</v>
      </c>
      <c r="U22" s="25">
        <v>594830428978.00171</v>
      </c>
      <c r="V22" s="25">
        <v>1244.486094201598</v>
      </c>
      <c r="W22" s="25">
        <v>10248341.22484139</v>
      </c>
      <c r="X22" s="25">
        <v>70192909.629990309</v>
      </c>
      <c r="Y22" s="25">
        <v>98464047.80281651</v>
      </c>
      <c r="Z22" s="25">
        <v>-1077402357.312988</v>
      </c>
    </row>
    <row r="23" spans="1:26" x14ac:dyDescent="0.15">
      <c r="A23" s="26">
        <v>21</v>
      </c>
      <c r="B23" s="25" t="s">
        <v>352</v>
      </c>
      <c r="C23" s="25">
        <v>39000000</v>
      </c>
      <c r="D23" s="25" t="s">
        <v>161</v>
      </c>
      <c r="E23" s="25" t="s">
        <v>157</v>
      </c>
      <c r="F23" s="25" t="s">
        <v>351</v>
      </c>
      <c r="G23" s="25" t="s">
        <v>151</v>
      </c>
      <c r="H23" s="25" t="s">
        <v>327</v>
      </c>
      <c r="I23" s="25">
        <v>109452228.67596459</v>
      </c>
      <c r="J23" s="25">
        <v>118193701.93816601</v>
      </c>
      <c r="K23" s="25">
        <v>1448787917.845835</v>
      </c>
      <c r="L23" s="25">
        <v>629638.72529354622</v>
      </c>
      <c r="M23" s="25">
        <v>80208109793.073349</v>
      </c>
      <c r="N23" s="25">
        <v>50719.737240277696</v>
      </c>
      <c r="O23" s="25">
        <v>4.9569934319234683</v>
      </c>
      <c r="P23" s="25">
        <v>40.842504671532708</v>
      </c>
      <c r="Q23" s="25">
        <v>13100823150.03845</v>
      </c>
      <c r="R23" s="25">
        <v>36896191.506651558</v>
      </c>
      <c r="S23" s="25">
        <v>336743.27570274472</v>
      </c>
      <c r="T23" s="25">
        <v>5786756.8420573277</v>
      </c>
      <c r="U23" s="25">
        <v>4548313265.8001785</v>
      </c>
      <c r="V23" s="25">
        <v>8.7471648566451741</v>
      </c>
      <c r="W23" s="25">
        <v>70096.611541867882</v>
      </c>
      <c r="X23" s="25">
        <v>448008.08051239513</v>
      </c>
      <c r="Y23" s="25">
        <v>681458.462199623</v>
      </c>
      <c r="Z23" s="25">
        <v>-5535180.1563720703</v>
      </c>
    </row>
    <row r="24" spans="1:26" x14ac:dyDescent="0.15">
      <c r="A24" s="26">
        <v>22</v>
      </c>
      <c r="B24" s="25" t="s">
        <v>350</v>
      </c>
      <c r="C24" s="25">
        <v>4000000</v>
      </c>
      <c r="D24" s="25" t="s">
        <v>161</v>
      </c>
      <c r="E24" s="25" t="s">
        <v>158</v>
      </c>
      <c r="F24" s="25" t="s">
        <v>349</v>
      </c>
      <c r="G24" s="25" t="s">
        <v>151</v>
      </c>
      <c r="H24" s="25" t="s">
        <v>327</v>
      </c>
      <c r="I24" s="25">
        <v>12916059.067253079</v>
      </c>
      <c r="J24" s="25">
        <v>13786120.319242099</v>
      </c>
      <c r="K24" s="25">
        <v>189051916.27334881</v>
      </c>
      <c r="L24" s="25">
        <v>678646.37393405219</v>
      </c>
      <c r="M24" s="25">
        <v>48371497413.084312</v>
      </c>
      <c r="N24" s="25">
        <v>617.16575157417537</v>
      </c>
      <c r="O24" s="25">
        <v>2.148536480503167</v>
      </c>
      <c r="P24" s="25">
        <v>107.2124629320612</v>
      </c>
      <c r="Q24" s="25">
        <v>200198385.83011141</v>
      </c>
      <c r="R24" s="25">
        <v>1461358.0598419991</v>
      </c>
      <c r="S24" s="25">
        <v>13605.02040338089</v>
      </c>
      <c r="T24" s="25">
        <v>7108.5700795704397</v>
      </c>
      <c r="U24" s="25">
        <v>1068361.516600738</v>
      </c>
      <c r="V24" s="25">
        <v>0.78532659202046673</v>
      </c>
      <c r="W24" s="25">
        <v>44344.99095108232</v>
      </c>
      <c r="X24" s="25">
        <v>151907.62720474639</v>
      </c>
      <c r="Y24" s="25">
        <v>694022.14888758468</v>
      </c>
      <c r="Z24" s="25">
        <v>16635827.97634029</v>
      </c>
    </row>
    <row r="25" spans="1:26" x14ac:dyDescent="0.15">
      <c r="A25" s="26">
        <v>23</v>
      </c>
      <c r="B25" s="25" t="s">
        <v>348</v>
      </c>
      <c r="C25" s="25">
        <v>161000000</v>
      </c>
      <c r="D25" s="25" t="s">
        <v>161</v>
      </c>
      <c r="E25" s="25" t="s">
        <v>173</v>
      </c>
      <c r="F25" s="25" t="s">
        <v>347</v>
      </c>
      <c r="G25" s="25" t="s">
        <v>151</v>
      </c>
      <c r="H25" s="25" t="s">
        <v>327</v>
      </c>
      <c r="I25" s="25">
        <v>69026387907.402069</v>
      </c>
      <c r="J25" s="25">
        <v>73859698511.589188</v>
      </c>
      <c r="K25" s="25">
        <v>1036093843681.325</v>
      </c>
      <c r="L25" s="25">
        <v>485736829.18415701</v>
      </c>
      <c r="M25" s="25">
        <v>197721564774173.69</v>
      </c>
      <c r="N25" s="25">
        <v>1344292.6742399849</v>
      </c>
      <c r="O25" s="25">
        <v>4146.5458424977942</v>
      </c>
      <c r="P25" s="25">
        <v>30637.328554554471</v>
      </c>
      <c r="Q25" s="25">
        <v>973502355432.90918</v>
      </c>
      <c r="R25" s="25">
        <v>5571694291.233078</v>
      </c>
      <c r="S25" s="25">
        <v>11600710.550968651</v>
      </c>
      <c r="T25" s="25">
        <v>27657391.40007598</v>
      </c>
      <c r="U25" s="25">
        <v>2149693625.8002181</v>
      </c>
      <c r="V25" s="25">
        <v>1289.3796626099579</v>
      </c>
      <c r="W25" s="25">
        <v>52976664.030984893</v>
      </c>
      <c r="X25" s="25">
        <v>744632084.87393987</v>
      </c>
      <c r="Y25" s="25">
        <v>561648624.52916479</v>
      </c>
      <c r="Z25" s="25">
        <v>27792218058.734379</v>
      </c>
    </row>
    <row r="26" spans="1:26" x14ac:dyDescent="0.15">
      <c r="A26" s="26">
        <v>24</v>
      </c>
      <c r="B26" s="25" t="s">
        <v>346</v>
      </c>
      <c r="C26" s="25">
        <v>25000000</v>
      </c>
      <c r="D26" s="25" t="s">
        <v>161</v>
      </c>
      <c r="E26" s="25" t="s">
        <v>345</v>
      </c>
      <c r="F26" s="25" t="s">
        <v>344</v>
      </c>
      <c r="G26" s="25" t="s">
        <v>151</v>
      </c>
      <c r="H26" s="25" t="s">
        <v>327</v>
      </c>
      <c r="I26" s="25">
        <v>167379390.30484939</v>
      </c>
      <c r="J26" s="25">
        <v>179123568.1207701</v>
      </c>
      <c r="K26" s="25">
        <v>2477256324.4432678</v>
      </c>
      <c r="L26" s="25">
        <v>3591611.5830151942</v>
      </c>
      <c r="M26" s="25">
        <v>275816182598.6897</v>
      </c>
      <c r="N26" s="25">
        <v>8134.1514213618902</v>
      </c>
      <c r="O26" s="25">
        <v>11.85239939623114</v>
      </c>
      <c r="P26" s="25">
        <v>576.53897195538866</v>
      </c>
      <c r="Q26" s="25">
        <v>2976802791.7904272</v>
      </c>
      <c r="R26" s="25">
        <v>12623852.873387409</v>
      </c>
      <c r="S26" s="25">
        <v>83181.690100445034</v>
      </c>
      <c r="T26" s="25">
        <v>43478.531823271529</v>
      </c>
      <c r="U26" s="25">
        <v>5782659.5378439771</v>
      </c>
      <c r="V26" s="25">
        <v>1.6045032826593</v>
      </c>
      <c r="W26" s="25">
        <v>265199.30226948479</v>
      </c>
      <c r="X26" s="25">
        <v>1105581.1185492971</v>
      </c>
      <c r="Y26" s="25">
        <v>3676418.1379899471</v>
      </c>
      <c r="Z26" s="25">
        <v>160625892.26631159</v>
      </c>
    </row>
    <row r="27" spans="1:26" x14ac:dyDescent="0.15">
      <c r="A27" s="26">
        <v>25</v>
      </c>
      <c r="B27" s="25" t="s">
        <v>343</v>
      </c>
      <c r="C27" s="25">
        <v>45570000000</v>
      </c>
      <c r="D27" s="25" t="s">
        <v>161</v>
      </c>
      <c r="E27" s="25" t="s">
        <v>159</v>
      </c>
      <c r="F27" s="25" t="s">
        <v>342</v>
      </c>
      <c r="G27" s="25" t="s">
        <v>151</v>
      </c>
      <c r="H27" s="25" t="s">
        <v>327</v>
      </c>
      <c r="I27" s="25">
        <v>116533467653.7571</v>
      </c>
      <c r="J27" s="25">
        <v>122326303352.7643</v>
      </c>
      <c r="K27" s="25">
        <v>1980991246285.855</v>
      </c>
      <c r="L27" s="25">
        <v>770506682.03047431</v>
      </c>
      <c r="M27" s="25">
        <v>82634916649896.734</v>
      </c>
      <c r="N27" s="25">
        <v>1401903.319673409</v>
      </c>
      <c r="O27" s="25">
        <v>51525.141359878442</v>
      </c>
      <c r="P27" s="25">
        <v>184957.60932243531</v>
      </c>
      <c r="Q27" s="25">
        <v>3633794671020.9941</v>
      </c>
      <c r="R27" s="25">
        <v>5632000655.5470076</v>
      </c>
      <c r="S27" s="25">
        <v>42446198.193003409</v>
      </c>
      <c r="T27" s="25">
        <v>32312069.168903701</v>
      </c>
      <c r="U27" s="25">
        <v>19738581266.248741</v>
      </c>
      <c r="V27" s="25">
        <v>2111.1968243529</v>
      </c>
      <c r="W27" s="25">
        <v>53101718.792446531</v>
      </c>
      <c r="X27" s="25">
        <v>817496210.10029805</v>
      </c>
      <c r="Y27" s="25">
        <v>820192841.16817856</v>
      </c>
      <c r="Z27" s="25">
        <v>164185576230.97659</v>
      </c>
    </row>
    <row r="28" spans="1:26" x14ac:dyDescent="0.15">
      <c r="A28" s="26">
        <v>26</v>
      </c>
      <c r="B28" s="25" t="s">
        <v>341</v>
      </c>
      <c r="C28" s="25">
        <v>320000000</v>
      </c>
      <c r="D28" s="25" t="s">
        <v>161</v>
      </c>
      <c r="E28" s="25" t="s">
        <v>160</v>
      </c>
      <c r="F28" s="25" t="s">
        <v>340</v>
      </c>
      <c r="G28" s="25" t="s">
        <v>151</v>
      </c>
      <c r="H28" s="25" t="s">
        <v>327</v>
      </c>
      <c r="I28" s="25">
        <v>1257293602.0884931</v>
      </c>
      <c r="J28" s="25">
        <v>1323988964.799758</v>
      </c>
      <c r="K28" s="25">
        <v>17631790260.649311</v>
      </c>
      <c r="L28" s="25">
        <v>6458986.0503893737</v>
      </c>
      <c r="M28" s="25">
        <v>315932255031.93262</v>
      </c>
      <c r="N28" s="25">
        <v>77722.999145554408</v>
      </c>
      <c r="O28" s="25">
        <v>20.98920653539119</v>
      </c>
      <c r="P28" s="25">
        <v>200.09143913372171</v>
      </c>
      <c r="Q28" s="25">
        <v>12221886082.97784</v>
      </c>
      <c r="R28" s="25">
        <v>234594370.76192591</v>
      </c>
      <c r="S28" s="25">
        <v>2950292.9215847771</v>
      </c>
      <c r="T28" s="25">
        <v>274876.18992985343</v>
      </c>
      <c r="U28" s="25">
        <v>391900581.07568121</v>
      </c>
      <c r="V28" s="25">
        <v>353.37194880201042</v>
      </c>
      <c r="W28" s="25">
        <v>745654.68337706884</v>
      </c>
      <c r="X28" s="25">
        <v>5984815.335849043</v>
      </c>
      <c r="Y28" s="25">
        <v>6779151.3721133415</v>
      </c>
      <c r="Z28" s="25">
        <v>1633876156.6025701</v>
      </c>
    </row>
    <row r="29" spans="1:26" x14ac:dyDescent="0.15">
      <c r="A29" s="26">
        <v>27</v>
      </c>
      <c r="B29" s="25" t="s">
        <v>339</v>
      </c>
      <c r="C29" s="25">
        <v>63764000000</v>
      </c>
      <c r="D29" s="25" t="s">
        <v>161</v>
      </c>
      <c r="E29" s="25" t="s">
        <v>164</v>
      </c>
      <c r="F29" s="25" t="s">
        <v>251</v>
      </c>
      <c r="G29" s="25" t="s">
        <v>151</v>
      </c>
      <c r="H29" s="25" t="s">
        <v>327</v>
      </c>
      <c r="I29" s="25">
        <v>643785932726.29639</v>
      </c>
      <c r="J29" s="25">
        <v>695561006966.13806</v>
      </c>
      <c r="K29" s="25">
        <v>8307897323967.5146</v>
      </c>
      <c r="L29" s="25">
        <v>2619204224.5653501</v>
      </c>
      <c r="M29" s="25">
        <v>107853973158736.5</v>
      </c>
      <c r="N29" s="25">
        <v>4239166.8907174226</v>
      </c>
      <c r="O29" s="25">
        <v>4604.1575733881646</v>
      </c>
      <c r="P29" s="25">
        <v>32488.01889488435</v>
      </c>
      <c r="Q29" s="25">
        <v>6883810880607.7012</v>
      </c>
      <c r="R29" s="25">
        <v>41280102357.69442</v>
      </c>
      <c r="S29" s="25">
        <v>58672756.85864377</v>
      </c>
      <c r="T29" s="25">
        <v>62731780.808984406</v>
      </c>
      <c r="U29" s="25">
        <v>2861438660.431138</v>
      </c>
      <c r="V29" s="25">
        <v>9994.8205459142337</v>
      </c>
      <c r="W29" s="25">
        <v>325573652.45377529</v>
      </c>
      <c r="X29" s="25">
        <v>2879534624.0904012</v>
      </c>
      <c r="Y29" s="25">
        <v>2728865644.2843928</v>
      </c>
      <c r="Z29" s="25">
        <v>339908986449.78119</v>
      </c>
    </row>
    <row r="43" spans="2:2" x14ac:dyDescent="0.15">
      <c r="B43" s="32"/>
    </row>
    <row r="44" spans="2:2" x14ac:dyDescent="0.15">
      <c r="B44" s="32"/>
    </row>
    <row r="45" spans="2:2" x14ac:dyDescent="0.15">
      <c r="B45" s="32"/>
    </row>
    <row r="48" spans="2:2" x14ac:dyDescent="0.15">
      <c r="B48" s="32"/>
    </row>
    <row r="50" spans="2:2" x14ac:dyDescent="0.15">
      <c r="B50" s="32"/>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21936-28D4-0A45-9913-02A7B2173CC7}">
  <dimension ref="A1:I58"/>
  <sheetViews>
    <sheetView zoomScale="75" workbookViewId="0">
      <pane xSplit="2" ySplit="1" topLeftCell="C2" activePane="bottomRight" state="frozen"/>
      <selection pane="topRight" activeCell="C1" sqref="C1"/>
      <selection pane="bottomLeft" activeCell="A2" sqref="A2"/>
      <selection pane="bottomRight" activeCell="A14" sqref="A14:A31"/>
    </sheetView>
  </sheetViews>
  <sheetFormatPr baseColWidth="10" defaultRowHeight="13" x14ac:dyDescent="0.15"/>
  <cols>
    <col min="1" max="1" width="54.33203125" customWidth="1"/>
    <col min="4" max="4" width="16.6640625" customWidth="1"/>
    <col min="5" max="5" width="16" customWidth="1"/>
    <col min="6" max="6" width="14.1640625" customWidth="1"/>
    <col min="7" max="8" width="12.1640625" customWidth="1"/>
  </cols>
  <sheetData>
    <row r="1" spans="1:9" s="18" customFormat="1" ht="28" x14ac:dyDescent="0.15">
      <c r="D1" s="18" t="s">
        <v>291</v>
      </c>
      <c r="E1" s="15" t="s">
        <v>190</v>
      </c>
      <c r="F1" s="18" t="s">
        <v>163</v>
      </c>
      <c r="G1" s="18" t="s">
        <v>163</v>
      </c>
      <c r="H1" s="18" t="s">
        <v>163</v>
      </c>
      <c r="I1" s="15" t="s">
        <v>189</v>
      </c>
    </row>
    <row r="2" spans="1:9" x14ac:dyDescent="0.15">
      <c r="A2" t="s">
        <v>288</v>
      </c>
      <c r="B2" s="5" t="s">
        <v>213</v>
      </c>
      <c r="C2" s="5" t="s">
        <v>195</v>
      </c>
      <c r="D2">
        <v>1</v>
      </c>
      <c r="F2" t="s">
        <v>211</v>
      </c>
    </row>
    <row r="3" spans="1:9" x14ac:dyDescent="0.15">
      <c r="A3" t="s">
        <v>290</v>
      </c>
      <c r="B3" s="5" t="s">
        <v>213</v>
      </c>
      <c r="C3" s="5" t="s">
        <v>195</v>
      </c>
      <c r="E3">
        <v>1</v>
      </c>
      <c r="G3" s="5" t="s">
        <v>211</v>
      </c>
      <c r="H3" s="5"/>
    </row>
    <row r="4" spans="1:9" x14ac:dyDescent="0.15">
      <c r="A4" t="s">
        <v>308</v>
      </c>
      <c r="B4" s="5" t="s">
        <v>213</v>
      </c>
      <c r="C4" s="5" t="s">
        <v>195</v>
      </c>
      <c r="F4">
        <v>1</v>
      </c>
    </row>
    <row r="5" spans="1:9" x14ac:dyDescent="0.15">
      <c r="A5" t="s">
        <v>289</v>
      </c>
      <c r="B5" s="5" t="s">
        <v>213</v>
      </c>
      <c r="C5" s="5" t="s">
        <v>195</v>
      </c>
      <c r="G5">
        <v>1</v>
      </c>
    </row>
    <row r="6" spans="1:9" x14ac:dyDescent="0.15">
      <c r="A6" t="s">
        <v>314</v>
      </c>
      <c r="B6" s="5" t="s">
        <v>213</v>
      </c>
      <c r="C6" s="5" t="s">
        <v>195</v>
      </c>
      <c r="H6">
        <v>1</v>
      </c>
    </row>
    <row r="7" spans="1:9" x14ac:dyDescent="0.15">
      <c r="A7" t="s">
        <v>313</v>
      </c>
      <c r="B7" s="5" t="s">
        <v>213</v>
      </c>
      <c r="C7" s="5" t="s">
        <v>195</v>
      </c>
      <c r="I7">
        <v>1</v>
      </c>
    </row>
    <row r="8" spans="1:9" x14ac:dyDescent="0.15">
      <c r="A8" t="s">
        <v>266</v>
      </c>
      <c r="B8" t="s">
        <v>151</v>
      </c>
      <c r="C8" s="5" t="s">
        <v>162</v>
      </c>
      <c r="D8" s="13">
        <v>-1.127E-10</v>
      </c>
      <c r="E8" s="13">
        <v>-1.127E-10</v>
      </c>
    </row>
    <row r="9" spans="1:9" x14ac:dyDescent="0.15">
      <c r="A9" t="s">
        <v>216</v>
      </c>
      <c r="B9" t="s">
        <v>151</v>
      </c>
      <c r="C9" s="5" t="s">
        <v>162</v>
      </c>
      <c r="F9" s="5" t="s">
        <v>223</v>
      </c>
      <c r="G9" s="5" t="s">
        <v>223</v>
      </c>
      <c r="H9" s="5"/>
    </row>
    <row r="10" spans="1:9" x14ac:dyDescent="0.15">
      <c r="A10" t="s">
        <v>281</v>
      </c>
      <c r="B10" t="s">
        <v>151</v>
      </c>
      <c r="C10" s="5" t="s">
        <v>162</v>
      </c>
      <c r="F10" s="5" t="s">
        <v>223</v>
      </c>
      <c r="G10" s="5" t="s">
        <v>223</v>
      </c>
      <c r="H10" s="5"/>
    </row>
    <row r="13" spans="1:9" x14ac:dyDescent="0.15">
      <c r="A13" t="s">
        <v>256</v>
      </c>
      <c r="B13" t="s">
        <v>151</v>
      </c>
      <c r="C13" s="5" t="s">
        <v>195</v>
      </c>
      <c r="D13" s="20" t="s">
        <v>223</v>
      </c>
      <c r="F13" t="s">
        <v>223</v>
      </c>
    </row>
    <row r="14" spans="1:9" x14ac:dyDescent="0.15">
      <c r="A14" t="s">
        <v>255</v>
      </c>
      <c r="B14" t="s">
        <v>151</v>
      </c>
      <c r="C14" s="5" t="s">
        <v>195</v>
      </c>
      <c r="D14" s="16"/>
      <c r="E14" s="5" t="s">
        <v>223</v>
      </c>
      <c r="F14" s="5" t="s">
        <v>223</v>
      </c>
    </row>
    <row r="15" spans="1:9" x14ac:dyDescent="0.15">
      <c r="A15" t="s">
        <v>296</v>
      </c>
      <c r="B15" s="5" t="s">
        <v>213</v>
      </c>
      <c r="C15" s="5" t="s">
        <v>195</v>
      </c>
      <c r="E15" t="s">
        <v>223</v>
      </c>
    </row>
    <row r="16" spans="1:9" x14ac:dyDescent="0.15">
      <c r="A16" t="s">
        <v>297</v>
      </c>
      <c r="B16" t="s">
        <v>151</v>
      </c>
      <c r="C16" s="5" t="s">
        <v>195</v>
      </c>
      <c r="E16" t="s">
        <v>223</v>
      </c>
    </row>
    <row r="17" spans="1:8" x14ac:dyDescent="0.15">
      <c r="A17" t="s">
        <v>298</v>
      </c>
      <c r="B17" s="5" t="s">
        <v>213</v>
      </c>
      <c r="C17" s="5" t="s">
        <v>195</v>
      </c>
      <c r="E17" t="s">
        <v>223</v>
      </c>
    </row>
    <row r="18" spans="1:8" x14ac:dyDescent="0.15">
      <c r="A18" t="s">
        <v>301</v>
      </c>
      <c r="B18" t="s">
        <v>151</v>
      </c>
      <c r="C18" s="5" t="s">
        <v>195</v>
      </c>
      <c r="E18" t="s">
        <v>223</v>
      </c>
    </row>
    <row r="19" spans="1:8" x14ac:dyDescent="0.15">
      <c r="A19" t="s">
        <v>302</v>
      </c>
      <c r="B19" t="s">
        <v>151</v>
      </c>
      <c r="C19" s="5" t="s">
        <v>195</v>
      </c>
      <c r="E19" t="s">
        <v>223</v>
      </c>
    </row>
    <row r="20" spans="1:8" x14ac:dyDescent="0.15">
      <c r="A20" t="s">
        <v>303</v>
      </c>
      <c r="B20" s="5" t="s">
        <v>213</v>
      </c>
      <c r="C20" s="5" t="s">
        <v>195</v>
      </c>
      <c r="E20" t="s">
        <v>223</v>
      </c>
    </row>
    <row r="21" spans="1:8" x14ac:dyDescent="0.15">
      <c r="A21" t="s">
        <v>304</v>
      </c>
      <c r="B21" s="5" t="s">
        <v>213</v>
      </c>
      <c r="C21" s="5" t="s">
        <v>195</v>
      </c>
      <c r="E21" t="s">
        <v>223</v>
      </c>
    </row>
    <row r="22" spans="1:8" x14ac:dyDescent="0.15">
      <c r="A22" t="s">
        <v>305</v>
      </c>
      <c r="B22" t="s">
        <v>151</v>
      </c>
      <c r="C22" s="5" t="s">
        <v>195</v>
      </c>
      <c r="E22" t="s">
        <v>223</v>
      </c>
    </row>
    <row r="23" spans="1:8" x14ac:dyDescent="0.15">
      <c r="A23" t="s">
        <v>306</v>
      </c>
      <c r="B23" s="5" t="s">
        <v>213</v>
      </c>
      <c r="C23" s="5" t="s">
        <v>195</v>
      </c>
      <c r="E23" t="s">
        <v>223</v>
      </c>
    </row>
    <row r="24" spans="1:8" x14ac:dyDescent="0.15">
      <c r="A24" t="s">
        <v>307</v>
      </c>
      <c r="B24" t="s">
        <v>151</v>
      </c>
      <c r="C24" s="5" t="s">
        <v>195</v>
      </c>
    </row>
    <row r="25" spans="1:8" x14ac:dyDescent="0.15">
      <c r="A25" t="s">
        <v>246</v>
      </c>
      <c r="B25" s="5" t="s">
        <v>213</v>
      </c>
      <c r="C25" s="5" t="s">
        <v>195</v>
      </c>
      <c r="F25" s="5" t="s">
        <v>223</v>
      </c>
    </row>
    <row r="26" spans="1:8" x14ac:dyDescent="0.15">
      <c r="A26" t="s">
        <v>309</v>
      </c>
      <c r="B26" s="5" t="s">
        <v>213</v>
      </c>
      <c r="C26" s="5" t="s">
        <v>195</v>
      </c>
      <c r="F26" s="5" t="s">
        <v>223</v>
      </c>
    </row>
    <row r="27" spans="1:8" x14ac:dyDescent="0.15">
      <c r="A27" t="s">
        <v>311</v>
      </c>
      <c r="B27" s="5" t="s">
        <v>213</v>
      </c>
      <c r="C27" s="5" t="s">
        <v>195</v>
      </c>
      <c r="F27" s="5" t="s">
        <v>223</v>
      </c>
    </row>
    <row r="28" spans="1:8" x14ac:dyDescent="0.15">
      <c r="A28" t="s">
        <v>274</v>
      </c>
      <c r="B28" s="5" t="s">
        <v>213</v>
      </c>
      <c r="C28" s="5" t="s">
        <v>195</v>
      </c>
      <c r="F28" s="5"/>
      <c r="G28" s="5" t="s">
        <v>223</v>
      </c>
      <c r="H28" s="5"/>
    </row>
    <row r="29" spans="1:8" x14ac:dyDescent="0.15">
      <c r="A29" t="s">
        <v>312</v>
      </c>
      <c r="B29" s="5" t="s">
        <v>213</v>
      </c>
      <c r="C29" s="5" t="s">
        <v>195</v>
      </c>
      <c r="F29" s="5"/>
      <c r="G29" s="5" t="s">
        <v>223</v>
      </c>
      <c r="H29" s="5"/>
    </row>
    <row r="30" spans="1:8" x14ac:dyDescent="0.15">
      <c r="A30" t="s">
        <v>264</v>
      </c>
      <c r="B30" s="5" t="s">
        <v>213</v>
      </c>
      <c r="C30" s="5" t="s">
        <v>195</v>
      </c>
      <c r="F30" s="5"/>
      <c r="G30" s="5" t="s">
        <v>223</v>
      </c>
      <c r="H30" s="5"/>
    </row>
    <row r="31" spans="1:8" x14ac:dyDescent="0.15">
      <c r="A31" t="s">
        <v>283</v>
      </c>
      <c r="B31" s="5" t="s">
        <v>151</v>
      </c>
      <c r="C31" s="5" t="s">
        <v>195</v>
      </c>
      <c r="F31" s="5"/>
      <c r="G31" s="5" t="s">
        <v>223</v>
      </c>
      <c r="H31" s="5"/>
    </row>
    <row r="32" spans="1:8" x14ac:dyDescent="0.15">
      <c r="B32" s="5"/>
      <c r="C32" s="5"/>
      <c r="F32" s="5"/>
    </row>
    <row r="33" spans="1:7" x14ac:dyDescent="0.15">
      <c r="B33" s="5"/>
      <c r="C33" s="5"/>
      <c r="F33" s="5"/>
    </row>
    <row r="34" spans="1:7" x14ac:dyDescent="0.15">
      <c r="B34" s="5"/>
      <c r="C34" s="5"/>
      <c r="F34" s="5"/>
    </row>
    <row r="35" spans="1:7" x14ac:dyDescent="0.15">
      <c r="B35" s="5"/>
      <c r="C35" s="5"/>
      <c r="F35" s="5"/>
    </row>
    <row r="36" spans="1:7" x14ac:dyDescent="0.15">
      <c r="B36" s="5"/>
      <c r="C36" s="5"/>
      <c r="F36" s="5"/>
    </row>
    <row r="38" spans="1:7" x14ac:dyDescent="0.15">
      <c r="A38" t="s">
        <v>295</v>
      </c>
      <c r="B38" s="5" t="s">
        <v>213</v>
      </c>
      <c r="C38" s="5" t="s">
        <v>195</v>
      </c>
      <c r="D38" s="5" t="s">
        <v>211</v>
      </c>
      <c r="E38" s="5" t="s">
        <v>211</v>
      </c>
    </row>
    <row r="39" spans="1:7" x14ac:dyDescent="0.15">
      <c r="A39" t="s">
        <v>198</v>
      </c>
      <c r="B39" s="5" t="s">
        <v>213</v>
      </c>
      <c r="C39" s="5" t="s">
        <v>195</v>
      </c>
      <c r="D39" s="5" t="s">
        <v>211</v>
      </c>
      <c r="F39" t="s">
        <v>211</v>
      </c>
    </row>
    <row r="40" spans="1:7" x14ac:dyDescent="0.15">
      <c r="A40" t="s">
        <v>310</v>
      </c>
      <c r="B40" s="5" t="s">
        <v>151</v>
      </c>
      <c r="C40" s="5" t="s">
        <v>195</v>
      </c>
      <c r="D40" s="5"/>
      <c r="F40" t="s">
        <v>211</v>
      </c>
      <c r="G40" t="s">
        <v>211</v>
      </c>
    </row>
    <row r="41" spans="1:7" x14ac:dyDescent="0.15">
      <c r="B41" s="5"/>
      <c r="C41" s="5"/>
      <c r="D41" s="5"/>
    </row>
    <row r="42" spans="1:7" x14ac:dyDescent="0.15">
      <c r="B42" s="5"/>
      <c r="C42" s="5"/>
      <c r="D42" s="5"/>
    </row>
    <row r="43" spans="1:7" x14ac:dyDescent="0.15">
      <c r="B43" s="5"/>
      <c r="C43" s="5"/>
      <c r="D43" s="5"/>
    </row>
    <row r="44" spans="1:7" x14ac:dyDescent="0.15">
      <c r="A44" t="s">
        <v>294</v>
      </c>
      <c r="B44" s="5" t="s">
        <v>213</v>
      </c>
      <c r="C44" s="5" t="s">
        <v>195</v>
      </c>
      <c r="D44" s="5" t="s">
        <v>211</v>
      </c>
      <c r="F44" t="s">
        <v>211</v>
      </c>
    </row>
    <row r="45" spans="1:7" x14ac:dyDescent="0.15">
      <c r="A45" t="s">
        <v>292</v>
      </c>
      <c r="B45" s="5" t="s">
        <v>213</v>
      </c>
      <c r="C45" s="5" t="s">
        <v>195</v>
      </c>
      <c r="D45" s="5" t="s">
        <v>211</v>
      </c>
      <c r="F45" t="s">
        <v>211</v>
      </c>
    </row>
    <row r="46" spans="1:7" x14ac:dyDescent="0.15">
      <c r="A46" t="s">
        <v>293</v>
      </c>
      <c r="B46" s="5" t="s">
        <v>213</v>
      </c>
      <c r="C46" s="5" t="s">
        <v>285</v>
      </c>
      <c r="D46" s="5" t="s">
        <v>211</v>
      </c>
      <c r="F46" t="s">
        <v>211</v>
      </c>
    </row>
    <row r="47" spans="1:7" x14ac:dyDescent="0.15">
      <c r="A47" t="s">
        <v>260</v>
      </c>
      <c r="B47" t="s">
        <v>151</v>
      </c>
      <c r="C47" s="5" t="s">
        <v>197</v>
      </c>
      <c r="E47" t="s">
        <v>211</v>
      </c>
    </row>
    <row r="48" spans="1:7" x14ac:dyDescent="0.15">
      <c r="A48" t="s">
        <v>299</v>
      </c>
      <c r="B48" t="s">
        <v>151</v>
      </c>
      <c r="C48" s="5" t="s">
        <v>197</v>
      </c>
      <c r="E48" t="s">
        <v>211</v>
      </c>
    </row>
    <row r="49" spans="1:8" x14ac:dyDescent="0.15">
      <c r="A49" t="s">
        <v>300</v>
      </c>
      <c r="B49" t="s">
        <v>174</v>
      </c>
      <c r="C49" s="5" t="s">
        <v>195</v>
      </c>
      <c r="E49" t="s">
        <v>211</v>
      </c>
    </row>
    <row r="51" spans="1:8" x14ac:dyDescent="0.15">
      <c r="A51" s="5" t="s">
        <v>193</v>
      </c>
      <c r="B51" s="5" t="s">
        <v>213</v>
      </c>
      <c r="C51" s="5" t="s">
        <v>197</v>
      </c>
      <c r="G51" s="5" t="s">
        <v>211</v>
      </c>
      <c r="H51" s="5"/>
    </row>
    <row r="52" spans="1:8" x14ac:dyDescent="0.15">
      <c r="A52" s="5" t="s">
        <v>280</v>
      </c>
      <c r="B52" s="5" t="s">
        <v>213</v>
      </c>
      <c r="C52" s="5" t="s">
        <v>197</v>
      </c>
      <c r="G52" s="5" t="s">
        <v>211</v>
      </c>
      <c r="H52" s="5"/>
    </row>
    <row r="54" spans="1:8" x14ac:dyDescent="0.15">
      <c r="A54" s="5" t="s">
        <v>262</v>
      </c>
      <c r="B54" s="5" t="s">
        <v>213</v>
      </c>
      <c r="C54" s="5" t="s">
        <v>196</v>
      </c>
      <c r="G54" s="5" t="s">
        <v>211</v>
      </c>
      <c r="H54" s="5"/>
    </row>
    <row r="58" spans="1:8" x14ac:dyDescent="0.15">
      <c r="A58" t="s">
        <v>179</v>
      </c>
    </row>
  </sheetData>
  <conditionalFormatting sqref="E15 E18:E23 D13:Z14 D16:Z17 D51:Z54 D56:Z334 D38:Z49 D2:Z8">
    <cfRule type="cellIs" dxfId="5" priority="2" operator="equal">
      <formula>"z"</formula>
    </cfRule>
    <cfRule type="cellIs" dxfId="4" priority="3" operator="equal">
      <formula>1</formula>
    </cfRule>
    <cfRule type="cellIs" dxfId="3" priority="4" operator="equal">
      <formula>"y"</formula>
    </cfRule>
    <cfRule type="cellIs" dxfId="2" priority="5" operator="equal">
      <formula>"x"</formula>
    </cfRule>
  </conditionalFormatting>
  <conditionalFormatting sqref="F6:H36">
    <cfRule type="cellIs" dxfId="1" priority="1" operator="equal">
      <formula>"y"</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3B2B-2A96-6C4C-92B7-F2E1568E62F4}">
  <sheetPr>
    <pageSetUpPr fitToPage="1"/>
  </sheetPr>
  <dimension ref="A1:M33"/>
  <sheetViews>
    <sheetView zoomScale="75" workbookViewId="0">
      <pane xSplit="3" ySplit="1" topLeftCell="D2" activePane="bottomRight" state="frozen"/>
      <selection pane="topRight" activeCell="D1" sqref="D1"/>
      <selection pane="bottomLeft" activeCell="A2" sqref="A2"/>
      <selection pane="bottomRight" sqref="A1:XFD1"/>
    </sheetView>
  </sheetViews>
  <sheetFormatPr baseColWidth="10" defaultRowHeight="13" x14ac:dyDescent="0.15"/>
  <cols>
    <col min="1" max="1" width="51.6640625" style="18" customWidth="1"/>
    <col min="2" max="2" width="21" style="18" customWidth="1"/>
    <col min="3" max="3" width="10.83203125" style="33"/>
    <col min="4" max="4" width="48" style="87" customWidth="1"/>
    <col min="5" max="5" width="33.1640625" style="87" customWidth="1"/>
    <col min="6" max="6" width="15.6640625" style="87" customWidth="1"/>
    <col min="7" max="7" width="17" style="18" customWidth="1"/>
    <col min="8" max="8" width="54" style="18" customWidth="1"/>
    <col min="9" max="9" width="48.5" style="18" customWidth="1"/>
    <col min="10" max="10" width="55.5" style="18" customWidth="1"/>
    <col min="11" max="11" width="29.83203125" style="18" customWidth="1"/>
    <col min="12" max="12" width="27" style="18" customWidth="1"/>
    <col min="13" max="13" width="95.1640625" style="18" customWidth="1"/>
    <col min="14" max="14" width="28.83203125" style="18" customWidth="1"/>
    <col min="15" max="15" width="28.1640625" style="18" customWidth="1"/>
    <col min="16" max="16384" width="10.83203125" style="18"/>
  </cols>
  <sheetData>
    <row r="1" spans="1:13" ht="36" x14ac:dyDescent="0.2">
      <c r="A1" s="88" t="s">
        <v>3316</v>
      </c>
      <c r="B1" s="88" t="s">
        <v>3317</v>
      </c>
      <c r="C1" s="89" t="s">
        <v>315</v>
      </c>
      <c r="D1" s="90" t="s">
        <v>3350</v>
      </c>
      <c r="E1" s="91" t="s">
        <v>3363</v>
      </c>
      <c r="F1" s="92" t="s">
        <v>3351</v>
      </c>
      <c r="G1" s="88" t="s">
        <v>3352</v>
      </c>
      <c r="H1" s="36" t="s">
        <v>3353</v>
      </c>
      <c r="I1" s="88" t="s">
        <v>3354</v>
      </c>
      <c r="J1" s="88" t="s">
        <v>3481</v>
      </c>
      <c r="K1" s="88" t="s">
        <v>3347</v>
      </c>
      <c r="L1" s="88" t="s">
        <v>3348</v>
      </c>
      <c r="M1" s="88" t="s">
        <v>3321</v>
      </c>
    </row>
    <row r="2" spans="1:13" ht="54" x14ac:dyDescent="0.2">
      <c r="A2" s="93" t="s">
        <v>3318</v>
      </c>
      <c r="B2" s="93" t="s">
        <v>3319</v>
      </c>
      <c r="C2" s="94">
        <v>2013</v>
      </c>
      <c r="D2" s="95" t="s">
        <v>3320</v>
      </c>
      <c r="E2" s="95" t="s">
        <v>3568</v>
      </c>
      <c r="F2" s="95" t="s">
        <v>438</v>
      </c>
      <c r="G2" s="93" t="s">
        <v>3335</v>
      </c>
      <c r="H2" s="37" t="s">
        <v>3355</v>
      </c>
      <c r="I2" s="93" t="s">
        <v>3393</v>
      </c>
      <c r="J2" s="93" t="s">
        <v>3323</v>
      </c>
      <c r="K2" s="93" t="s">
        <v>3349</v>
      </c>
      <c r="L2" s="93" t="s">
        <v>3349</v>
      </c>
      <c r="M2" s="93" t="s">
        <v>3461</v>
      </c>
    </row>
    <row r="3" spans="1:13" customFormat="1" ht="51" x14ac:dyDescent="0.2">
      <c r="A3" s="93" t="s">
        <v>3322</v>
      </c>
      <c r="B3" s="96" t="s">
        <v>3325</v>
      </c>
      <c r="C3" s="97">
        <v>2016</v>
      </c>
      <c r="D3" s="98" t="s">
        <v>4</v>
      </c>
      <c r="E3" s="95" t="s">
        <v>3568</v>
      </c>
      <c r="F3" s="95" t="s">
        <v>438</v>
      </c>
      <c r="G3" s="96" t="s">
        <v>3336</v>
      </c>
      <c r="H3" s="37" t="s">
        <v>3443</v>
      </c>
      <c r="I3" s="93" t="s">
        <v>3393</v>
      </c>
      <c r="J3" s="96" t="s">
        <v>3327</v>
      </c>
      <c r="K3" s="93" t="s">
        <v>3346</v>
      </c>
      <c r="L3" s="93" t="s">
        <v>3345</v>
      </c>
      <c r="M3" s="93" t="s">
        <v>3462</v>
      </c>
    </row>
    <row r="4" spans="1:13" ht="54" x14ac:dyDescent="0.2">
      <c r="A4" s="93" t="s">
        <v>3324</v>
      </c>
      <c r="B4" s="93" t="s">
        <v>3325</v>
      </c>
      <c r="C4" s="94">
        <v>2017</v>
      </c>
      <c r="D4" s="95" t="s">
        <v>10</v>
      </c>
      <c r="E4" s="95" t="s">
        <v>3568</v>
      </c>
      <c r="F4" s="95" t="s">
        <v>438</v>
      </c>
      <c r="G4" s="93" t="s">
        <v>3338</v>
      </c>
      <c r="H4" s="37" t="s">
        <v>3442</v>
      </c>
      <c r="I4" s="93" t="s">
        <v>3393</v>
      </c>
      <c r="J4" s="93" t="s">
        <v>3326</v>
      </c>
      <c r="K4" s="93" t="s">
        <v>3346</v>
      </c>
      <c r="L4" s="93" t="s">
        <v>3345</v>
      </c>
      <c r="M4" s="93" t="s">
        <v>3463</v>
      </c>
    </row>
    <row r="5" spans="1:13" ht="54" x14ac:dyDescent="0.2">
      <c r="A5" s="93" t="s">
        <v>3328</v>
      </c>
      <c r="B5" s="93" t="s">
        <v>3329</v>
      </c>
      <c r="C5" s="94">
        <v>2018</v>
      </c>
      <c r="D5" s="95" t="s">
        <v>4</v>
      </c>
      <c r="E5" s="95" t="s">
        <v>3568</v>
      </c>
      <c r="F5" s="95" t="s">
        <v>438</v>
      </c>
      <c r="G5" s="93" t="s">
        <v>3336</v>
      </c>
      <c r="H5" s="37" t="s">
        <v>3445</v>
      </c>
      <c r="I5" s="93" t="s">
        <v>3507</v>
      </c>
      <c r="J5" s="93" t="s">
        <v>3480</v>
      </c>
      <c r="K5" s="93" t="s">
        <v>3346</v>
      </c>
      <c r="L5" s="93" t="s">
        <v>3345</v>
      </c>
      <c r="M5" s="93" t="s">
        <v>3464</v>
      </c>
    </row>
    <row r="6" spans="1:13" ht="36" x14ac:dyDescent="0.2">
      <c r="A6" s="93" t="s">
        <v>3330</v>
      </c>
      <c r="B6" s="93" t="s">
        <v>3331</v>
      </c>
      <c r="C6" s="94">
        <v>2018</v>
      </c>
      <c r="D6" s="95" t="s">
        <v>3343</v>
      </c>
      <c r="E6" s="95" t="s">
        <v>3339</v>
      </c>
      <c r="F6" s="95" t="s">
        <v>438</v>
      </c>
      <c r="G6" s="93" t="s">
        <v>3337</v>
      </c>
      <c r="H6" s="37" t="s">
        <v>3356</v>
      </c>
      <c r="I6" s="93" t="s">
        <v>3393</v>
      </c>
      <c r="J6" s="93" t="s">
        <v>3332</v>
      </c>
      <c r="K6" s="93" t="s">
        <v>3346</v>
      </c>
      <c r="L6" s="93" t="s">
        <v>3345</v>
      </c>
      <c r="M6" s="93" t="s">
        <v>3465</v>
      </c>
    </row>
    <row r="7" spans="1:13" ht="57" customHeight="1" x14ac:dyDescent="0.2">
      <c r="A7" s="93" t="s">
        <v>3333</v>
      </c>
      <c r="B7" s="93" t="s">
        <v>3334</v>
      </c>
      <c r="C7" s="94">
        <v>2019</v>
      </c>
      <c r="D7" s="95" t="s">
        <v>3343</v>
      </c>
      <c r="E7" s="95" t="s">
        <v>3339</v>
      </c>
      <c r="F7" s="95" t="s">
        <v>2386</v>
      </c>
      <c r="G7" s="93" t="s">
        <v>3340</v>
      </c>
      <c r="H7" s="37" t="s">
        <v>3446</v>
      </c>
      <c r="I7" s="93" t="s">
        <v>3495</v>
      </c>
      <c r="J7" s="93" t="s">
        <v>3482</v>
      </c>
      <c r="K7" s="93" t="s">
        <v>3344</v>
      </c>
      <c r="L7" s="93" t="s">
        <v>3345</v>
      </c>
      <c r="M7" s="93" t="s">
        <v>3466</v>
      </c>
    </row>
    <row r="8" spans="1:13" ht="53" customHeight="1" x14ac:dyDescent="0.2">
      <c r="A8" s="93" t="s">
        <v>3341</v>
      </c>
      <c r="B8" s="93" t="s">
        <v>3319</v>
      </c>
      <c r="C8" s="94">
        <v>2019</v>
      </c>
      <c r="D8" s="95" t="s">
        <v>3342</v>
      </c>
      <c r="E8" s="95" t="s">
        <v>91</v>
      </c>
      <c r="F8" s="95" t="s">
        <v>438</v>
      </c>
      <c r="G8" s="93" t="s">
        <v>3337</v>
      </c>
      <c r="H8" s="37" t="s">
        <v>3371</v>
      </c>
      <c r="I8" s="93" t="s">
        <v>3393</v>
      </c>
      <c r="J8" s="93" t="s">
        <v>3357</v>
      </c>
      <c r="K8" s="93" t="s">
        <v>3346</v>
      </c>
      <c r="L8" s="93" t="s">
        <v>3345</v>
      </c>
      <c r="M8" s="93" t="s">
        <v>3467</v>
      </c>
    </row>
    <row r="9" spans="1:13" ht="90" x14ac:dyDescent="0.2">
      <c r="A9" s="93" t="s">
        <v>3358</v>
      </c>
      <c r="B9" s="93" t="s">
        <v>3359</v>
      </c>
      <c r="C9" s="94">
        <v>2019</v>
      </c>
      <c r="D9" s="95" t="s">
        <v>3360</v>
      </c>
      <c r="E9" s="95" t="s">
        <v>3568</v>
      </c>
      <c r="F9" s="95" t="s">
        <v>438</v>
      </c>
      <c r="G9" s="93" t="s">
        <v>3336</v>
      </c>
      <c r="H9" s="37" t="s">
        <v>3444</v>
      </c>
      <c r="I9" s="93" t="s">
        <v>3496</v>
      </c>
      <c r="J9" s="93" t="s">
        <v>3483</v>
      </c>
      <c r="K9" s="93" t="s">
        <v>3346</v>
      </c>
      <c r="L9" s="93" t="s">
        <v>3345</v>
      </c>
      <c r="M9" s="93" t="s">
        <v>3468</v>
      </c>
    </row>
    <row r="10" spans="1:13" ht="77" customHeight="1" x14ac:dyDescent="0.2">
      <c r="A10" s="93" t="s">
        <v>3361</v>
      </c>
      <c r="B10" s="93" t="s">
        <v>3362</v>
      </c>
      <c r="C10" s="94">
        <v>2020</v>
      </c>
      <c r="D10" s="95" t="s">
        <v>9</v>
      </c>
      <c r="E10" s="95" t="s">
        <v>3365</v>
      </c>
      <c r="F10" s="95" t="s">
        <v>438</v>
      </c>
      <c r="G10" s="93" t="s">
        <v>3364</v>
      </c>
      <c r="H10" s="37" t="s">
        <v>3447</v>
      </c>
      <c r="I10" s="93" t="s">
        <v>3500</v>
      </c>
      <c r="J10" s="93" t="s">
        <v>3484</v>
      </c>
      <c r="K10" s="93" t="s">
        <v>3366</v>
      </c>
      <c r="L10" s="93" t="s">
        <v>3345</v>
      </c>
      <c r="M10" s="93" t="s">
        <v>3367</v>
      </c>
    </row>
    <row r="11" spans="1:13" ht="85" x14ac:dyDescent="0.2">
      <c r="A11" s="93" t="s">
        <v>3368</v>
      </c>
      <c r="B11" s="93" t="s">
        <v>3369</v>
      </c>
      <c r="C11" s="94">
        <v>2020</v>
      </c>
      <c r="D11" s="95" t="s">
        <v>4</v>
      </c>
      <c r="E11" s="95" t="s">
        <v>3568</v>
      </c>
      <c r="F11" s="95" t="s">
        <v>3370</v>
      </c>
      <c r="G11" s="93" t="s">
        <v>3336</v>
      </c>
      <c r="H11" s="37" t="s">
        <v>3448</v>
      </c>
      <c r="I11" s="93" t="s">
        <v>3497</v>
      </c>
      <c r="J11" s="93" t="s">
        <v>3372</v>
      </c>
      <c r="K11" s="93" t="s">
        <v>3375</v>
      </c>
      <c r="L11" s="93" t="s">
        <v>3345</v>
      </c>
      <c r="M11" s="93" t="s">
        <v>3469</v>
      </c>
    </row>
    <row r="12" spans="1:13" ht="59" customHeight="1" x14ac:dyDescent="0.2">
      <c r="A12" s="93" t="s">
        <v>3373</v>
      </c>
      <c r="B12" s="93" t="s">
        <v>3374</v>
      </c>
      <c r="C12" s="94">
        <v>2020</v>
      </c>
      <c r="D12" s="95" t="s">
        <v>4</v>
      </c>
      <c r="E12" s="95" t="s">
        <v>3568</v>
      </c>
      <c r="F12" s="95" t="s">
        <v>32</v>
      </c>
      <c r="G12" s="93" t="s">
        <v>3336</v>
      </c>
      <c r="H12" s="37" t="s">
        <v>3449</v>
      </c>
      <c r="I12" s="93" t="s">
        <v>3501</v>
      </c>
      <c r="J12" s="93" t="s">
        <v>3485</v>
      </c>
      <c r="K12" s="93" t="s">
        <v>3376</v>
      </c>
      <c r="L12" s="93" t="s">
        <v>3345</v>
      </c>
      <c r="M12" s="93" t="s">
        <v>3470</v>
      </c>
    </row>
    <row r="13" spans="1:13" ht="95" customHeight="1" x14ac:dyDescent="0.2">
      <c r="A13" s="93" t="s">
        <v>3377</v>
      </c>
      <c r="B13" s="93" t="s">
        <v>3325</v>
      </c>
      <c r="C13" s="94">
        <v>2020</v>
      </c>
      <c r="D13" s="95" t="s">
        <v>0</v>
      </c>
      <c r="E13" s="95" t="s">
        <v>3568</v>
      </c>
      <c r="F13" s="95" t="s">
        <v>438</v>
      </c>
      <c r="G13" s="93" t="s">
        <v>3336</v>
      </c>
      <c r="H13" s="37" t="s">
        <v>3450</v>
      </c>
      <c r="I13" s="93" t="s">
        <v>3498</v>
      </c>
      <c r="J13" s="93" t="s">
        <v>3379</v>
      </c>
      <c r="K13" s="93" t="s">
        <v>3384</v>
      </c>
      <c r="L13" s="93" t="s">
        <v>3378</v>
      </c>
      <c r="M13" s="93" t="s">
        <v>3471</v>
      </c>
    </row>
    <row r="14" spans="1:13" ht="54" x14ac:dyDescent="0.2">
      <c r="A14" s="93" t="s">
        <v>3380</v>
      </c>
      <c r="B14" s="93" t="s">
        <v>3381</v>
      </c>
      <c r="C14" s="94">
        <v>2020</v>
      </c>
      <c r="D14" s="95" t="s">
        <v>4</v>
      </c>
      <c r="E14" s="95" t="s">
        <v>3568</v>
      </c>
      <c r="F14" s="95" t="s">
        <v>438</v>
      </c>
      <c r="G14" s="93" t="s">
        <v>3382</v>
      </c>
      <c r="H14" s="37" t="s">
        <v>3451</v>
      </c>
      <c r="I14" s="93" t="s">
        <v>3499</v>
      </c>
      <c r="J14" s="93" t="s">
        <v>3385</v>
      </c>
      <c r="K14" s="93" t="s">
        <v>3383</v>
      </c>
      <c r="L14" s="93" t="s">
        <v>3345</v>
      </c>
      <c r="M14" s="93" t="s">
        <v>3472</v>
      </c>
    </row>
    <row r="15" spans="1:13" ht="76" customHeight="1" x14ac:dyDescent="0.2">
      <c r="A15" s="93" t="s">
        <v>3386</v>
      </c>
      <c r="B15" s="93" t="s">
        <v>3387</v>
      </c>
      <c r="C15" s="94">
        <v>2020</v>
      </c>
      <c r="D15" s="95" t="s">
        <v>3389</v>
      </c>
      <c r="E15" s="95" t="s">
        <v>3571</v>
      </c>
      <c r="F15" s="95" t="s">
        <v>438</v>
      </c>
      <c r="G15" s="93" t="s">
        <v>3388</v>
      </c>
      <c r="H15" s="37" t="s">
        <v>3415</v>
      </c>
      <c r="I15" s="93" t="s">
        <v>3502</v>
      </c>
      <c r="J15" s="93" t="s">
        <v>3486</v>
      </c>
      <c r="K15" s="93" t="s">
        <v>3346</v>
      </c>
      <c r="L15" s="93" t="s">
        <v>3378</v>
      </c>
      <c r="M15" s="93" t="s">
        <v>3465</v>
      </c>
    </row>
    <row r="16" spans="1:13" ht="72" x14ac:dyDescent="0.2">
      <c r="A16" s="93" t="s">
        <v>3390</v>
      </c>
      <c r="B16" s="93" t="s">
        <v>3396</v>
      </c>
      <c r="C16" s="94">
        <v>2021</v>
      </c>
      <c r="D16" s="95" t="s">
        <v>10</v>
      </c>
      <c r="E16" s="95" t="s">
        <v>3391</v>
      </c>
      <c r="F16" s="95" t="s">
        <v>32</v>
      </c>
      <c r="G16" s="93" t="s">
        <v>3338</v>
      </c>
      <c r="H16" s="37" t="s">
        <v>3399</v>
      </c>
      <c r="I16" s="93" t="s">
        <v>3392</v>
      </c>
      <c r="J16" s="93" t="s">
        <v>3394</v>
      </c>
      <c r="K16" s="93" t="s">
        <v>3346</v>
      </c>
      <c r="L16" s="93" t="s">
        <v>3345</v>
      </c>
      <c r="M16" s="93" t="s">
        <v>3473</v>
      </c>
    </row>
    <row r="17" spans="1:13" ht="54" x14ac:dyDescent="0.2">
      <c r="A17" s="93" t="s">
        <v>3395</v>
      </c>
      <c r="B17" s="93" t="s">
        <v>3397</v>
      </c>
      <c r="C17" s="94">
        <v>2021</v>
      </c>
      <c r="D17" s="95" t="s">
        <v>3398</v>
      </c>
      <c r="E17" s="95" t="s">
        <v>3568</v>
      </c>
      <c r="F17" s="95" t="s">
        <v>438</v>
      </c>
      <c r="G17" s="93" t="s">
        <v>3336</v>
      </c>
      <c r="H17" s="37" t="s">
        <v>3452</v>
      </c>
      <c r="I17" s="93" t="s">
        <v>3503</v>
      </c>
      <c r="J17" s="93" t="s">
        <v>3487</v>
      </c>
      <c r="K17" s="93" t="s">
        <v>3460</v>
      </c>
      <c r="L17" s="93" t="s">
        <v>3345</v>
      </c>
      <c r="M17" s="93" t="s">
        <v>3474</v>
      </c>
    </row>
    <row r="18" spans="1:13" ht="90" x14ac:dyDescent="0.2">
      <c r="A18" s="93" t="s">
        <v>3400</v>
      </c>
      <c r="B18" s="93" t="s">
        <v>3401</v>
      </c>
      <c r="C18" s="94">
        <v>2021</v>
      </c>
      <c r="D18" s="95" t="s">
        <v>3402</v>
      </c>
      <c r="E18" s="95" t="s">
        <v>3404</v>
      </c>
      <c r="F18" s="95" t="s">
        <v>438</v>
      </c>
      <c r="G18" s="93" t="s">
        <v>3403</v>
      </c>
      <c r="H18" s="37" t="s">
        <v>3453</v>
      </c>
      <c r="I18" s="93" t="s">
        <v>3504</v>
      </c>
      <c r="J18" s="93" t="s">
        <v>3406</v>
      </c>
      <c r="K18" s="93" t="s">
        <v>3405</v>
      </c>
      <c r="L18" s="93" t="s">
        <v>3345</v>
      </c>
      <c r="M18" s="93" t="s">
        <v>3475</v>
      </c>
    </row>
    <row r="19" spans="1:13" ht="54" x14ac:dyDescent="0.2">
      <c r="A19" s="93" t="s">
        <v>3407</v>
      </c>
      <c r="B19" s="93" t="s">
        <v>3408</v>
      </c>
      <c r="C19" s="94">
        <v>2021</v>
      </c>
      <c r="D19" s="95" t="s">
        <v>0</v>
      </c>
      <c r="E19" s="95" t="s">
        <v>3568</v>
      </c>
      <c r="F19" s="95" t="s">
        <v>438</v>
      </c>
      <c r="G19" s="93" t="s">
        <v>3410</v>
      </c>
      <c r="H19" s="37" t="s">
        <v>3454</v>
      </c>
      <c r="I19" s="93" t="s">
        <v>3505</v>
      </c>
      <c r="J19" s="93" t="s">
        <v>3488</v>
      </c>
      <c r="K19" s="93" t="s">
        <v>3426</v>
      </c>
      <c r="L19" s="93" t="s">
        <v>3409</v>
      </c>
      <c r="M19" s="93" t="s">
        <v>3476</v>
      </c>
    </row>
    <row r="20" spans="1:13" ht="90" x14ac:dyDescent="0.2">
      <c r="A20" s="93" t="s">
        <v>3412</v>
      </c>
      <c r="B20" s="93" t="s">
        <v>3413</v>
      </c>
      <c r="C20" s="94">
        <v>2022</v>
      </c>
      <c r="D20" s="95" t="s">
        <v>3414</v>
      </c>
      <c r="E20" s="95" t="s">
        <v>3417</v>
      </c>
      <c r="F20" s="95" t="s">
        <v>438</v>
      </c>
      <c r="G20" s="93" t="s">
        <v>3411</v>
      </c>
      <c r="H20" s="37" t="s">
        <v>3508</v>
      </c>
      <c r="I20" s="93" t="s">
        <v>3416</v>
      </c>
      <c r="J20" s="93" t="s">
        <v>3489</v>
      </c>
      <c r="K20" s="93" t="s">
        <v>3420</v>
      </c>
      <c r="L20" s="93" t="s">
        <v>3419</v>
      </c>
      <c r="M20" s="93" t="s">
        <v>3418</v>
      </c>
    </row>
    <row r="21" spans="1:13" ht="52" customHeight="1" x14ac:dyDescent="0.2">
      <c r="A21" s="93" t="s">
        <v>3421</v>
      </c>
      <c r="B21" s="93" t="s">
        <v>3422</v>
      </c>
      <c r="C21" s="94">
        <v>2022</v>
      </c>
      <c r="D21" s="95" t="s">
        <v>3424</v>
      </c>
      <c r="E21" s="95" t="s">
        <v>3423</v>
      </c>
      <c r="F21" s="95" t="s">
        <v>438</v>
      </c>
      <c r="G21" s="93" t="s">
        <v>3425</v>
      </c>
      <c r="H21" s="37" t="s">
        <v>3455</v>
      </c>
      <c r="I21" s="93" t="s">
        <v>3490</v>
      </c>
      <c r="J21" s="93" t="s">
        <v>3372</v>
      </c>
      <c r="K21" s="93" t="s">
        <v>3459</v>
      </c>
      <c r="L21" s="93" t="s">
        <v>3345</v>
      </c>
      <c r="M21" s="93" t="s">
        <v>3477</v>
      </c>
    </row>
    <row r="22" spans="1:13" ht="85" x14ac:dyDescent="0.2">
      <c r="A22" s="93" t="s">
        <v>3427</v>
      </c>
      <c r="B22" s="93" t="s">
        <v>3428</v>
      </c>
      <c r="C22" s="94">
        <v>2022</v>
      </c>
      <c r="D22" s="95" t="s">
        <v>3</v>
      </c>
      <c r="E22" s="95" t="s">
        <v>3568</v>
      </c>
      <c r="F22" s="95" t="s">
        <v>438</v>
      </c>
      <c r="G22" s="93" t="s">
        <v>3336</v>
      </c>
      <c r="H22" s="37" t="s">
        <v>3444</v>
      </c>
      <c r="I22" s="93" t="s">
        <v>3506</v>
      </c>
      <c r="J22" s="93" t="s">
        <v>3491</v>
      </c>
      <c r="K22" s="93" t="s">
        <v>3384</v>
      </c>
      <c r="L22" s="93" t="s">
        <v>3345</v>
      </c>
      <c r="M22" s="93" t="s">
        <v>3478</v>
      </c>
    </row>
    <row r="23" spans="1:13" ht="72" x14ac:dyDescent="0.2">
      <c r="A23" s="93" t="s">
        <v>3429</v>
      </c>
      <c r="B23" s="93" t="s">
        <v>3387</v>
      </c>
      <c r="C23" s="94">
        <v>2022</v>
      </c>
      <c r="D23" s="95" t="s">
        <v>4</v>
      </c>
      <c r="E23" s="95" t="s">
        <v>3434</v>
      </c>
      <c r="F23" s="95" t="s">
        <v>438</v>
      </c>
      <c r="G23" s="93" t="s">
        <v>3337</v>
      </c>
      <c r="H23" s="37" t="s">
        <v>3439</v>
      </c>
      <c r="I23" s="93" t="s">
        <v>3492</v>
      </c>
      <c r="J23" s="93" t="s">
        <v>3372</v>
      </c>
      <c r="K23" s="93" t="s">
        <v>3346</v>
      </c>
      <c r="L23" s="93" t="s">
        <v>3345</v>
      </c>
      <c r="M23" s="93" t="s">
        <v>3440</v>
      </c>
    </row>
    <row r="24" spans="1:13" ht="54" x14ac:dyDescent="0.2">
      <c r="A24" s="93" t="s">
        <v>3430</v>
      </c>
      <c r="B24" s="93" t="s">
        <v>3431</v>
      </c>
      <c r="C24" s="94">
        <v>2022</v>
      </c>
      <c r="D24" s="95" t="s">
        <v>3432</v>
      </c>
      <c r="E24" s="95" t="s">
        <v>3568</v>
      </c>
      <c r="F24" s="95" t="s">
        <v>438</v>
      </c>
      <c r="G24" s="93" t="s">
        <v>3433</v>
      </c>
      <c r="H24" s="37" t="s">
        <v>3441</v>
      </c>
      <c r="I24" s="93" t="s">
        <v>3493</v>
      </c>
      <c r="J24" s="93" t="s">
        <v>3372</v>
      </c>
      <c r="K24" s="93" t="s">
        <v>3346</v>
      </c>
      <c r="L24" s="93" t="s">
        <v>3345</v>
      </c>
      <c r="M24" s="93" t="s">
        <v>3456</v>
      </c>
    </row>
    <row r="25" spans="1:13" ht="92" customHeight="1" x14ac:dyDescent="0.2">
      <c r="A25" s="93" t="s">
        <v>3437</v>
      </c>
      <c r="B25" s="93" t="s">
        <v>3319</v>
      </c>
      <c r="C25" s="94">
        <v>2023</v>
      </c>
      <c r="D25" s="95" t="s">
        <v>3438</v>
      </c>
      <c r="E25" s="95" t="s">
        <v>3436</v>
      </c>
      <c r="F25" s="95" t="s">
        <v>438</v>
      </c>
      <c r="G25" s="93" t="s">
        <v>3435</v>
      </c>
      <c r="H25" s="37" t="s">
        <v>3457</v>
      </c>
      <c r="I25" s="93" t="s">
        <v>3494</v>
      </c>
      <c r="J25" s="93" t="s">
        <v>3458</v>
      </c>
      <c r="K25" s="93" t="s">
        <v>3384</v>
      </c>
      <c r="L25" s="93" t="s">
        <v>3345</v>
      </c>
      <c r="M25" s="93" t="s">
        <v>3479</v>
      </c>
    </row>
    <row r="33" spans="4:4" x14ac:dyDescent="0.15">
      <c r="D33" s="86"/>
    </row>
  </sheetData>
  <printOptions horizontalCentered="1" verticalCentered="1"/>
  <pageMargins left="0.1" right="0.1" top="0.1" bottom="0.1" header="0.1" footer="0.1"/>
  <pageSetup paperSize="9" scale="45" orientation="portrait" horizontalDpi="0" verticalDpi="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A999"/>
  <sheetViews>
    <sheetView tabSelected="1" zoomScale="65" zoomScaleNormal="100" workbookViewId="0">
      <pane xSplit="1" ySplit="1" topLeftCell="B2" activePane="bottomRight" state="frozen"/>
      <selection pane="topRight" activeCell="B1" sqref="B1"/>
      <selection pane="bottomLeft" activeCell="A2" sqref="A2"/>
      <selection pane="bottomRight" activeCell="B81" sqref="B81:C90"/>
    </sheetView>
  </sheetViews>
  <sheetFormatPr baseColWidth="10" defaultColWidth="12.6640625" defaultRowHeight="15" customHeight="1" x14ac:dyDescent="0.15"/>
  <cols>
    <col min="1" max="1" width="24.6640625" style="3" customWidth="1"/>
    <col min="2" max="4" width="11" style="3" customWidth="1"/>
    <col min="5" max="16384" width="12.6640625" style="3"/>
  </cols>
  <sheetData>
    <row r="1" spans="1:53" ht="15" customHeight="1" x14ac:dyDescent="0.15">
      <c r="A1" s="4" t="s">
        <v>67</v>
      </c>
      <c r="B1" s="4" t="s">
        <v>68</v>
      </c>
      <c r="C1" s="4" t="s">
        <v>148</v>
      </c>
      <c r="D1" s="4" t="s">
        <v>147</v>
      </c>
      <c r="E1" s="3" t="s">
        <v>46</v>
      </c>
      <c r="F1" s="3" t="s">
        <v>47</v>
      </c>
      <c r="G1" s="3" t="s">
        <v>48</v>
      </c>
      <c r="H1" s="3" t="s">
        <v>49</v>
      </c>
      <c r="I1" s="3" t="s">
        <v>50</v>
      </c>
      <c r="J1" s="3" t="s">
        <v>51</v>
      </c>
      <c r="K1" s="3" t="s">
        <v>52</v>
      </c>
      <c r="L1" s="3" t="s">
        <v>53</v>
      </c>
      <c r="M1" s="3" t="s">
        <v>54</v>
      </c>
      <c r="N1" s="3" t="s">
        <v>55</v>
      </c>
      <c r="O1" s="3" t="s">
        <v>56</v>
      </c>
      <c r="P1" s="3" t="s">
        <v>57</v>
      </c>
      <c r="Q1" s="3" t="s">
        <v>58</v>
      </c>
      <c r="R1" s="3" t="s">
        <v>59</v>
      </c>
      <c r="S1" s="3" t="s">
        <v>60</v>
      </c>
      <c r="T1" s="3" t="s">
        <v>61</v>
      </c>
      <c r="U1" s="3" t="s">
        <v>62</v>
      </c>
      <c r="V1" s="3" t="s">
        <v>63</v>
      </c>
      <c r="W1" s="3" t="s">
        <v>64</v>
      </c>
      <c r="X1" s="3" t="s">
        <v>65</v>
      </c>
      <c r="Y1" s="3" t="s">
        <v>106</v>
      </c>
      <c r="Z1" s="3" t="s">
        <v>107</v>
      </c>
      <c r="AA1" s="3" t="s">
        <v>108</v>
      </c>
      <c r="AB1" s="3" t="s">
        <v>109</v>
      </c>
      <c r="AC1" s="3" t="s">
        <v>110</v>
      </c>
      <c r="AD1" s="3" t="s">
        <v>111</v>
      </c>
      <c r="AE1" s="3" t="s">
        <v>112</v>
      </c>
      <c r="AF1" s="3" t="s">
        <v>113</v>
      </c>
      <c r="AG1" s="3" t="s">
        <v>114</v>
      </c>
      <c r="AH1" s="3" t="s">
        <v>115</v>
      </c>
      <c r="AI1" s="3" t="s">
        <v>116</v>
      </c>
      <c r="AJ1" s="3" t="s">
        <v>117</v>
      </c>
      <c r="AK1" s="3" t="s">
        <v>118</v>
      </c>
      <c r="AL1" s="3" t="s">
        <v>119</v>
      </c>
      <c r="AM1" s="3" t="s">
        <v>120</v>
      </c>
      <c r="AN1" s="3" t="s">
        <v>121</v>
      </c>
      <c r="AO1" s="3" t="s">
        <v>122</v>
      </c>
      <c r="AP1" s="3" t="s">
        <v>123</v>
      </c>
      <c r="AQ1" s="3" t="s">
        <v>124</v>
      </c>
      <c r="AR1" s="3" t="s">
        <v>125</v>
      </c>
      <c r="AS1" s="3" t="s">
        <v>126</v>
      </c>
      <c r="AT1" s="3" t="s">
        <v>127</v>
      </c>
      <c r="AU1" s="3" t="s">
        <v>128</v>
      </c>
      <c r="AV1" s="3" t="s">
        <v>129</v>
      </c>
      <c r="AW1" s="3" t="s">
        <v>130</v>
      </c>
      <c r="AX1" s="3" t="s">
        <v>131</v>
      </c>
      <c r="AY1" s="3" t="s">
        <v>132</v>
      </c>
      <c r="AZ1" s="3" t="s">
        <v>133</v>
      </c>
      <c r="BA1" s="3" t="s">
        <v>134</v>
      </c>
    </row>
    <row r="2" spans="1:53" ht="15" customHeight="1" x14ac:dyDescent="0.15">
      <c r="A2" s="4" t="s">
        <v>446</v>
      </c>
      <c r="B2" s="4" t="s">
        <v>45</v>
      </c>
      <c r="C2" s="4" t="s">
        <v>31</v>
      </c>
      <c r="D2" s="4" t="s">
        <v>146</v>
      </c>
      <c r="E2" s="7">
        <v>1.2168273090978812</v>
      </c>
      <c r="F2" s="7">
        <v>1.1803942183235814</v>
      </c>
      <c r="G2" s="7">
        <v>1.2116341878244929</v>
      </c>
      <c r="H2" s="7">
        <v>1.1670459244842237</v>
      </c>
      <c r="I2" s="7">
        <v>1.1903282451926493</v>
      </c>
      <c r="J2" s="7">
        <v>1.1803012173514047</v>
      </c>
      <c r="K2" s="7">
        <v>1.0699898370879632</v>
      </c>
      <c r="L2" s="7">
        <v>1.0124828945305009</v>
      </c>
      <c r="M2" s="7">
        <v>0.98257724069058761</v>
      </c>
      <c r="N2" s="7">
        <v>0.87961856150340922</v>
      </c>
      <c r="O2" s="7">
        <v>0.84856589882280076</v>
      </c>
      <c r="P2" s="7">
        <v>0.8858180322722109</v>
      </c>
      <c r="Q2" s="7">
        <v>0.8992582686024112</v>
      </c>
      <c r="R2" s="7">
        <v>0.87483254591052428</v>
      </c>
      <c r="S2" s="7">
        <v>0.81022500492111027</v>
      </c>
      <c r="T2" s="7">
        <v>0.79954299527648787</v>
      </c>
      <c r="U2" s="7">
        <v>0.78</v>
      </c>
      <c r="V2" s="7">
        <v>0.77370214797539583</v>
      </c>
      <c r="W2" s="7">
        <v>0.77702221607226252</v>
      </c>
      <c r="X2" s="7">
        <v>0.71455116555660059</v>
      </c>
    </row>
    <row r="3" spans="1:53" ht="15" customHeight="1" x14ac:dyDescent="0.15">
      <c r="A3" s="4" t="s">
        <v>447</v>
      </c>
      <c r="B3" s="4" t="s">
        <v>45</v>
      </c>
      <c r="C3" s="4" t="s">
        <v>31</v>
      </c>
      <c r="D3" s="4" t="s">
        <v>146</v>
      </c>
      <c r="E3" s="7">
        <v>1.0375153732919056</v>
      </c>
      <c r="F3" s="7">
        <v>1.010039113315387</v>
      </c>
      <c r="G3" s="7">
        <v>0.97667700977039174</v>
      </c>
      <c r="H3" s="7">
        <v>0.92610995225763615</v>
      </c>
      <c r="I3" s="7">
        <v>0.90594226204041395</v>
      </c>
      <c r="J3" s="7">
        <v>0.98631843082618198</v>
      </c>
      <c r="K3" s="7">
        <v>0.94470334433265957</v>
      </c>
      <c r="L3" s="7">
        <v>0.86541741523551696</v>
      </c>
      <c r="M3" s="7">
        <v>0.81545392209587497</v>
      </c>
      <c r="N3" s="7">
        <v>0.85149550762928583</v>
      </c>
      <c r="O3" s="7">
        <v>0.66305147200668024</v>
      </c>
      <c r="P3" s="7">
        <v>0.65876790844540956</v>
      </c>
      <c r="Q3" s="7">
        <v>0.66933238005206264</v>
      </c>
      <c r="R3" s="7">
        <v>0.63668037936874244</v>
      </c>
      <c r="S3" s="7">
        <v>0.60063024754590211</v>
      </c>
      <c r="T3" s="7">
        <v>0.61239958498316449</v>
      </c>
      <c r="U3" s="7">
        <v>0.51</v>
      </c>
      <c r="V3" s="7">
        <v>0.58051284543203907</v>
      </c>
      <c r="W3" s="7">
        <v>0.55321728515894331</v>
      </c>
      <c r="X3" s="7">
        <v>0.56064988820815786</v>
      </c>
    </row>
    <row r="4" spans="1:53" ht="15" customHeight="1" x14ac:dyDescent="0.15">
      <c r="A4" s="4" t="s">
        <v>448</v>
      </c>
      <c r="B4" s="4" t="s">
        <v>44</v>
      </c>
      <c r="C4" s="4" t="s">
        <v>31</v>
      </c>
      <c r="D4" s="4" t="s">
        <v>146</v>
      </c>
      <c r="E4" s="3">
        <v>1115.5999999999999</v>
      </c>
      <c r="F4" s="3">
        <v>1107.4000000000001</v>
      </c>
      <c r="G4" s="3">
        <v>1050.5999999999999</v>
      </c>
      <c r="H4" s="3">
        <v>1077</v>
      </c>
      <c r="I4" s="3">
        <v>958.2</v>
      </c>
      <c r="J4" s="3">
        <v>985.40000000000009</v>
      </c>
      <c r="K4" s="3">
        <v>987.7</v>
      </c>
      <c r="L4" s="3">
        <v>1071.3</v>
      </c>
      <c r="M4" s="3">
        <v>1054.8999999999999</v>
      </c>
      <c r="N4" s="3">
        <v>998.60000000000025</v>
      </c>
      <c r="O4" s="3">
        <v>873.2</v>
      </c>
      <c r="P4" s="3">
        <v>822.00000000000011</v>
      </c>
      <c r="Q4" s="3">
        <v>885.4000000000002</v>
      </c>
      <c r="R4" s="3">
        <v>910</v>
      </c>
      <c r="S4" s="3">
        <v>952.2</v>
      </c>
      <c r="T4" s="3">
        <v>843.3</v>
      </c>
      <c r="U4" s="3">
        <v>885.9</v>
      </c>
      <c r="V4" s="3">
        <v>688.90000000000009</v>
      </c>
      <c r="W4" s="3">
        <v>861.8</v>
      </c>
      <c r="X4" s="3">
        <v>859.59999999999991</v>
      </c>
      <c r="Y4" s="7"/>
    </row>
    <row r="5" spans="1:53" ht="15" customHeight="1" x14ac:dyDescent="0.15">
      <c r="A5" s="4" t="s">
        <v>449</v>
      </c>
      <c r="B5" s="4" t="s">
        <v>44</v>
      </c>
      <c r="C5" s="4" t="s">
        <v>31</v>
      </c>
      <c r="D5" s="4" t="s">
        <v>146</v>
      </c>
      <c r="E5" s="3">
        <f>E4</f>
        <v>1115.5999999999999</v>
      </c>
      <c r="F5" s="3">
        <f>Tableau1[[#This Row],[2002]]+F4</f>
        <v>2223</v>
      </c>
      <c r="G5" s="3">
        <f>Tableau1[[#This Row],[2003]]+G4</f>
        <v>3273.6</v>
      </c>
      <c r="H5" s="3">
        <f>Tableau1[[#This Row],[2004]]+H4</f>
        <v>4350.6000000000004</v>
      </c>
      <c r="I5" s="3">
        <f>Tableau1[[#This Row],[2005]]+I4</f>
        <v>5308.8</v>
      </c>
      <c r="J5" s="3">
        <f>Tableau1[[#This Row],[2006]]+J4</f>
        <v>6294.2000000000007</v>
      </c>
      <c r="K5" s="3">
        <f>Tableau1[[#This Row],[2007]]+K4</f>
        <v>7281.9000000000005</v>
      </c>
      <c r="L5" s="3">
        <f>Tableau1[[#This Row],[2008]]+L4</f>
        <v>8353.2000000000007</v>
      </c>
      <c r="M5" s="3">
        <f>Tableau1[[#This Row],[2009]]+M4</f>
        <v>9408.1</v>
      </c>
      <c r="N5" s="3">
        <f>Tableau1[[#This Row],[2010]]+N4</f>
        <v>10406.700000000001</v>
      </c>
      <c r="O5" s="3">
        <f>Tableau1[[#This Row],[2011]]+O4</f>
        <v>11279.900000000001</v>
      </c>
      <c r="P5" s="3">
        <f>Tableau1[[#This Row],[2012]]+P4</f>
        <v>12101.900000000001</v>
      </c>
      <c r="Q5" s="3">
        <f>Tableau1[[#This Row],[2013]]+Q4</f>
        <v>12987.300000000001</v>
      </c>
      <c r="R5" s="3">
        <f>Tableau1[[#This Row],[2014]]+R4</f>
        <v>13897.300000000001</v>
      </c>
      <c r="S5" s="3">
        <f>Tableau1[[#This Row],[2015]]+S4</f>
        <v>14849.500000000002</v>
      </c>
      <c r="T5" s="3">
        <f>Tableau1[[#This Row],[2016]]+T4</f>
        <v>15692.800000000001</v>
      </c>
      <c r="U5" s="3">
        <f>Tableau1[[#This Row],[2017]]+U4</f>
        <v>16578.7</v>
      </c>
      <c r="V5" s="3">
        <f>Tableau1[[#This Row],[2018]]+V4</f>
        <v>17267.600000000002</v>
      </c>
      <c r="W5" s="3">
        <f>Tableau1[[#This Row],[2019]]+W4</f>
        <v>18129.400000000001</v>
      </c>
      <c r="X5" s="3">
        <f>Tableau1[[#This Row],[2020]]+X4</f>
        <v>18989</v>
      </c>
    </row>
    <row r="6" spans="1:53" ht="15" customHeight="1" x14ac:dyDescent="0.15">
      <c r="A6" s="4" t="s">
        <v>450</v>
      </c>
      <c r="B6" s="4" t="s">
        <v>44</v>
      </c>
      <c r="C6" s="4" t="s">
        <v>31</v>
      </c>
      <c r="D6" s="4" t="s">
        <v>146</v>
      </c>
      <c r="E6" s="3">
        <v>1602</v>
      </c>
      <c r="F6" s="3">
        <v>1653.1</v>
      </c>
      <c r="G6" s="3">
        <v>1636.3</v>
      </c>
      <c r="H6" s="3">
        <v>1584.6</v>
      </c>
      <c r="I6" s="3">
        <v>1691.8</v>
      </c>
      <c r="J6" s="3">
        <v>1832.1000000000001</v>
      </c>
      <c r="K6" s="3">
        <v>1970.9999999999998</v>
      </c>
      <c r="L6" s="3">
        <v>2117.5</v>
      </c>
      <c r="M6" s="3">
        <v>2088.5000000000005</v>
      </c>
      <c r="N6" s="3">
        <v>2024.8000000000002</v>
      </c>
      <c r="O6" s="3">
        <v>2028.8000000000002</v>
      </c>
      <c r="P6" s="3">
        <v>1932.8999999999996</v>
      </c>
      <c r="Q6" s="3">
        <v>1843.9999999999998</v>
      </c>
      <c r="R6" s="3">
        <v>1778.4000000000003</v>
      </c>
      <c r="S6" s="3">
        <v>1660.3000000000002</v>
      </c>
      <c r="T6" s="3">
        <v>1586.2</v>
      </c>
      <c r="U6" s="3">
        <v>1575.3</v>
      </c>
      <c r="V6" s="3">
        <v>1580.1999999999998</v>
      </c>
      <c r="W6" s="3">
        <v>1467.4999999999998</v>
      </c>
      <c r="X6" s="3">
        <v>1414.4</v>
      </c>
    </row>
    <row r="7" spans="1:53" ht="15" customHeight="1" x14ac:dyDescent="0.15">
      <c r="A7" s="4" t="s">
        <v>451</v>
      </c>
      <c r="B7" s="4" t="s">
        <v>44</v>
      </c>
      <c r="C7" s="4" t="s">
        <v>31</v>
      </c>
      <c r="D7" s="4" t="s">
        <v>146</v>
      </c>
      <c r="E7" s="3">
        <f>E6</f>
        <v>1602</v>
      </c>
      <c r="F7" s="3">
        <f>Tableau1[[#This Row],[2002]]+F6</f>
        <v>3255.1</v>
      </c>
      <c r="G7" s="3">
        <f>Tableau1[[#This Row],[2003]]+G6</f>
        <v>4891.3999999999996</v>
      </c>
      <c r="H7" s="3">
        <f>Tableau1[[#This Row],[2004]]+H6</f>
        <v>6476</v>
      </c>
      <c r="I7" s="3">
        <f>Tableau1[[#This Row],[2005]]+I6</f>
        <v>8167.8</v>
      </c>
      <c r="J7" s="3">
        <f>Tableau1[[#This Row],[2006]]+J6</f>
        <v>9999.9</v>
      </c>
      <c r="K7" s="3">
        <f>Tableau1[[#This Row],[2007]]+K6</f>
        <v>11970.9</v>
      </c>
      <c r="L7" s="3">
        <f>Tableau1[[#This Row],[2008]]+L6</f>
        <v>14088.4</v>
      </c>
      <c r="M7" s="3">
        <f>Tableau1[[#This Row],[2009]]+M6</f>
        <v>16176.9</v>
      </c>
      <c r="N7" s="3">
        <f>Tableau1[[#This Row],[2010]]+N6</f>
        <v>18201.7</v>
      </c>
      <c r="O7" s="3">
        <f>Tableau1[[#This Row],[2011]]+O6</f>
        <v>20230.5</v>
      </c>
      <c r="P7" s="3">
        <f>Tableau1[[#This Row],[2012]]+P6</f>
        <v>22163.4</v>
      </c>
      <c r="Q7" s="3">
        <f>Tableau1[[#This Row],[2013]]+Q6</f>
        <v>24007.4</v>
      </c>
      <c r="R7" s="3">
        <f>Tableau1[[#This Row],[2014]]+R6</f>
        <v>25785.800000000003</v>
      </c>
      <c r="S7" s="3">
        <f>Tableau1[[#This Row],[2015]]+S6</f>
        <v>27446.100000000002</v>
      </c>
      <c r="T7" s="3">
        <f>Tableau1[[#This Row],[2016]]+T6</f>
        <v>29032.300000000003</v>
      </c>
      <c r="U7" s="3">
        <f>Tableau1[[#This Row],[2017]]+U6</f>
        <v>30607.600000000002</v>
      </c>
      <c r="V7" s="3">
        <f>Tableau1[[#This Row],[2018]]+V6</f>
        <v>32187.800000000003</v>
      </c>
      <c r="W7" s="3">
        <f>Tableau1[[#This Row],[2019]]+W6</f>
        <v>33655.300000000003</v>
      </c>
      <c r="X7" s="8">
        <f>Tableau1[[#This Row],[2020]]+X6</f>
        <v>35069.700000000004</v>
      </c>
    </row>
    <row r="8" spans="1:53" ht="15" customHeight="1" x14ac:dyDescent="0.15">
      <c r="A8" s="4" t="s">
        <v>442</v>
      </c>
      <c r="B8" s="4" t="s">
        <v>45</v>
      </c>
      <c r="C8" s="4" t="s">
        <v>31</v>
      </c>
      <c r="D8" s="4" t="s">
        <v>146</v>
      </c>
      <c r="E8" s="29">
        <f>E5/E7</f>
        <v>0.69637952559300864</v>
      </c>
      <c r="F8" s="29">
        <f t="shared" ref="F8:X8" si="0">F5/F7</f>
        <v>0.68292832785475099</v>
      </c>
      <c r="G8" s="29">
        <f t="shared" si="0"/>
        <v>0.66925624565564057</v>
      </c>
      <c r="H8" s="29">
        <f t="shared" si="0"/>
        <v>0.67180358245830762</v>
      </c>
      <c r="I8" s="29">
        <f t="shared" si="0"/>
        <v>0.6499669433629619</v>
      </c>
      <c r="J8" s="29">
        <f t="shared" si="0"/>
        <v>0.62942629426294272</v>
      </c>
      <c r="K8" s="29">
        <f t="shared" si="0"/>
        <v>0.60830012780993914</v>
      </c>
      <c r="L8" s="29">
        <f t="shared" si="0"/>
        <v>0.59291331875869513</v>
      </c>
      <c r="M8" s="29">
        <f t="shared" si="0"/>
        <v>0.58157619815910344</v>
      </c>
      <c r="N8" s="29">
        <f t="shared" si="0"/>
        <v>0.57174329870286844</v>
      </c>
      <c r="O8" s="29">
        <f t="shared" si="0"/>
        <v>0.55756901707817408</v>
      </c>
      <c r="P8" s="29">
        <f t="shared" si="0"/>
        <v>0.54603084364312338</v>
      </c>
      <c r="Q8" s="29">
        <f t="shared" si="0"/>
        <v>0.54097070070061737</v>
      </c>
      <c r="R8" s="29">
        <f t="shared" si="0"/>
        <v>0.53895167107477759</v>
      </c>
      <c r="S8" s="29">
        <f t="shared" si="0"/>
        <v>0.54104226101340447</v>
      </c>
      <c r="T8" s="29">
        <f t="shared" si="0"/>
        <v>0.54052899701367096</v>
      </c>
      <c r="U8" s="29">
        <f t="shared" si="0"/>
        <v>0.54165305348998283</v>
      </c>
      <c r="V8" s="29">
        <f t="shared" si="0"/>
        <v>0.53646412615960082</v>
      </c>
      <c r="W8" s="29">
        <f t="shared" si="0"/>
        <v>0.53867890050006983</v>
      </c>
      <c r="X8" s="29">
        <f t="shared" si="0"/>
        <v>0.54146456912947638</v>
      </c>
    </row>
    <row r="9" spans="1:53" ht="15" customHeight="1" x14ac:dyDescent="0.15">
      <c r="A9" s="3" t="s">
        <v>443</v>
      </c>
      <c r="B9" s="4" t="s">
        <v>44</v>
      </c>
      <c r="C9" s="4" t="s">
        <v>31</v>
      </c>
      <c r="D9" s="4" t="s">
        <v>146</v>
      </c>
      <c r="E9" s="3">
        <v>4580.6000000000004</v>
      </c>
      <c r="F9" s="3">
        <v>4904.2</v>
      </c>
      <c r="G9" s="3">
        <v>5412.5</v>
      </c>
      <c r="H9" s="3">
        <v>5320.5</v>
      </c>
      <c r="I9" s="3">
        <v>5360.8</v>
      </c>
      <c r="J9" s="3">
        <v>5557.03</v>
      </c>
      <c r="K9" s="3">
        <v>5327.6</v>
      </c>
      <c r="L9" s="3">
        <v>5394.4</v>
      </c>
      <c r="M9" s="3">
        <v>5418.9</v>
      </c>
      <c r="N9" s="3">
        <v>5262.7999999999993</v>
      </c>
      <c r="O9" s="3">
        <v>5433.9</v>
      </c>
      <c r="P9" s="3">
        <v>5775.9999999999991</v>
      </c>
      <c r="Q9" s="3">
        <v>5761.1</v>
      </c>
      <c r="R9" s="3">
        <v>5772.1</v>
      </c>
      <c r="S9" s="3">
        <v>5552.6000000000013</v>
      </c>
      <c r="T9" s="3">
        <v>5503.5</v>
      </c>
      <c r="U9" s="3">
        <v>5831.5999999999995</v>
      </c>
      <c r="V9" s="3">
        <v>5787.4000000000005</v>
      </c>
      <c r="W9" s="3">
        <v>5733.0999999999995</v>
      </c>
      <c r="X9" s="3">
        <v>5624.9000000000005</v>
      </c>
      <c r="Y9" s="3">
        <f>proj_dem!E45*0.247</f>
        <v>7.8962689E-4</v>
      </c>
      <c r="Z9" s="3">
        <f>proj_dem!F45*0.247</f>
        <v>5.2065739266666669E-3</v>
      </c>
      <c r="AA9" s="3">
        <f>proj_dem!G45*0.247</f>
        <v>9.6235209633333332E-3</v>
      </c>
      <c r="AB9" s="3">
        <f>proj_dem!H45*0.247</f>
        <v>1.4040468E-2</v>
      </c>
      <c r="AC9" s="3">
        <f>proj_dem!I45*0.247</f>
        <v>1.8487703000000001E-2</v>
      </c>
      <c r="AD9" s="3">
        <f>proj_dem!J45*0.247</f>
        <v>2.2934937999999998E-2</v>
      </c>
      <c r="AE9" s="3">
        <f>proj_dem!K45*0.247</f>
        <v>2.7382172999999999E-2</v>
      </c>
      <c r="AF9" s="3">
        <f>proj_dem!L45*0.247</f>
        <v>3.1829408000000003E-2</v>
      </c>
      <c r="AG9" s="3">
        <f>proj_dem!M45*0.247</f>
        <v>3.6276642999999997E-2</v>
      </c>
      <c r="AH9" s="3">
        <f>proj_dem!N45*0.247</f>
        <v>3.8040173599999998E-2</v>
      </c>
      <c r="AI9" s="3">
        <f>proj_dem!O45*0.247</f>
        <v>3.9803704199999998E-2</v>
      </c>
      <c r="AJ9" s="3">
        <f>proj_dem!P45*0.247</f>
        <v>4.1567234799999998E-2</v>
      </c>
      <c r="AK9" s="3">
        <f>proj_dem!Q45*0.247</f>
        <v>4.3330765399999999E-2</v>
      </c>
      <c r="AL9" s="3">
        <f>proj_dem!R45*0.247</f>
        <v>4.5094295999999999E-2</v>
      </c>
      <c r="AM9" s="3">
        <f>proj_dem!S45*0.247</f>
        <v>4.4528912999999996E-2</v>
      </c>
      <c r="AN9" s="3">
        <f>proj_dem!T45*0.247</f>
        <v>4.3963530000000001E-2</v>
      </c>
      <c r="AO9" s="3">
        <f>proj_dem!U45*0.247</f>
        <v>4.3398146999999998E-2</v>
      </c>
      <c r="AP9" s="3">
        <f>proj_dem!V45*0.247</f>
        <v>4.2832764000000002E-2</v>
      </c>
      <c r="AQ9" s="3">
        <f>proj_dem!W45*0.247</f>
        <v>4.2267381E-2</v>
      </c>
      <c r="AR9" s="3">
        <f>proj_dem!X45*0.247</f>
        <v>4.0654322799999996E-2</v>
      </c>
      <c r="AS9" s="3">
        <f>proj_dem!Y45*0.247</f>
        <v>3.90412646E-2</v>
      </c>
      <c r="AT9" s="3">
        <f>proj_dem!Z45*0.247</f>
        <v>3.7428206400000004E-2</v>
      </c>
      <c r="AU9" s="3">
        <f>proj_dem!AA45*0.247</f>
        <v>3.5815148200000001E-2</v>
      </c>
      <c r="AV9" s="3">
        <f>proj_dem!AB45*0.247</f>
        <v>3.4202090000000004E-2</v>
      </c>
      <c r="AW9" s="3">
        <f>proj_dem!AC45*0.247</f>
        <v>3.8306538399999999E-2</v>
      </c>
      <c r="AX9" s="3">
        <f>proj_dem!AD45*0.247</f>
        <v>4.2410986800000001E-2</v>
      </c>
      <c r="AY9" s="3">
        <f>proj_dem!AE45*0.247</f>
        <v>4.6515435200000003E-2</v>
      </c>
      <c r="AZ9" s="3">
        <f>proj_dem!AF45*0.247</f>
        <v>5.0619883599999999E-2</v>
      </c>
      <c r="BA9" s="3">
        <f>proj_dem!AG45*0.247</f>
        <v>5.4724332000000001E-2</v>
      </c>
    </row>
    <row r="10" spans="1:53" ht="15" customHeight="1" x14ac:dyDescent="0.15">
      <c r="A10" s="3" t="s">
        <v>444</v>
      </c>
      <c r="B10" s="4" t="s">
        <v>44</v>
      </c>
      <c r="C10" s="4" t="s">
        <v>31</v>
      </c>
      <c r="D10" s="4" t="s">
        <v>146</v>
      </c>
      <c r="E10" s="3">
        <f>E9</f>
        <v>4580.6000000000004</v>
      </c>
      <c r="F10" s="3">
        <f>Tableau1[[#This Row],[2002]]+F9</f>
        <v>9484.7999999999993</v>
      </c>
      <c r="G10" s="3">
        <f>Tableau1[[#This Row],[2003]]+G9</f>
        <v>14897.3</v>
      </c>
      <c r="H10" s="3">
        <f>Tableau1[[#This Row],[2004]]+H9</f>
        <v>20217.8</v>
      </c>
      <c r="I10" s="3">
        <f>Tableau1[[#This Row],[2005]]+I9</f>
        <v>25578.6</v>
      </c>
      <c r="J10" s="3">
        <f>Tableau1[[#This Row],[2006]]+J9</f>
        <v>31135.629999999997</v>
      </c>
      <c r="K10" s="3">
        <f>Tableau1[[#This Row],[2007]]+K9</f>
        <v>36463.229999999996</v>
      </c>
      <c r="L10" s="3">
        <f>Tableau1[[#This Row],[2008]]+L9</f>
        <v>41857.629999999997</v>
      </c>
      <c r="M10" s="3">
        <f>Tableau1[[#This Row],[2009]]+M9</f>
        <v>47276.53</v>
      </c>
      <c r="N10" s="3">
        <f>Tableau1[[#This Row],[2010]]+N9</f>
        <v>52539.33</v>
      </c>
      <c r="O10" s="3">
        <f>Tableau1[[#This Row],[2011]]+O9</f>
        <v>57973.23</v>
      </c>
      <c r="P10" s="3">
        <f>Tableau1[[#This Row],[2012]]+P9</f>
        <v>63749.23</v>
      </c>
      <c r="Q10" s="3">
        <f>Tableau1[[#This Row],[2013]]+Q9</f>
        <v>69510.33</v>
      </c>
      <c r="R10" s="3">
        <f>Tableau1[[#This Row],[2014]]+R9</f>
        <v>75282.430000000008</v>
      </c>
      <c r="S10" s="3">
        <f>Tableau1[[#This Row],[2015]]+S9</f>
        <v>80835.030000000013</v>
      </c>
      <c r="T10" s="3">
        <f>Tableau1[[#This Row],[2016]]+T9</f>
        <v>86338.530000000013</v>
      </c>
      <c r="U10" s="3">
        <f>Tableau1[[#This Row],[2017]]+U9</f>
        <v>92170.130000000019</v>
      </c>
      <c r="V10" s="3">
        <f>Tableau1[[#This Row],[2018]]+V9</f>
        <v>97957.530000000013</v>
      </c>
      <c r="W10" s="3">
        <f>Tableau1[[#This Row],[2019]]+W9</f>
        <v>103690.63000000002</v>
      </c>
      <c r="X10" s="3">
        <f>Tableau1[[#This Row],[2020]]+X9</f>
        <v>109315.53000000001</v>
      </c>
      <c r="Y10" s="3">
        <f>Tableau1[[#This Row],[2021]]+Y9</f>
        <v>109315.53078962691</v>
      </c>
      <c r="Z10" s="3">
        <f>Tableau1[[#This Row],[2022]]+Z9</f>
        <v>109315.53599620084</v>
      </c>
      <c r="AA10" s="3">
        <f>Tableau1[[#This Row],[2023]]+AA9</f>
        <v>109315.5456197218</v>
      </c>
      <c r="AB10" s="3">
        <f>Tableau1[[#This Row],[2024]]+AB9</f>
        <v>109315.5596601898</v>
      </c>
      <c r="AC10" s="3">
        <f>Tableau1[[#This Row],[2025]]+AC9</f>
        <v>109315.5781478928</v>
      </c>
      <c r="AD10" s="3">
        <f>Tableau1[[#This Row],[2026]]+AD9</f>
        <v>109315.60108283079</v>
      </c>
      <c r="AE10" s="3">
        <f>Tableau1[[#This Row],[2027]]+AE9</f>
        <v>109315.62846500379</v>
      </c>
      <c r="AF10" s="3">
        <f>Tableau1[[#This Row],[2028]]+AF9</f>
        <v>109315.66029441179</v>
      </c>
      <c r="AG10" s="3">
        <f>Tableau1[[#This Row],[2029]]+AG9</f>
        <v>109315.6965710548</v>
      </c>
      <c r="AH10" s="3">
        <f>Tableau1[[#This Row],[2030]]+AH9</f>
        <v>109315.7346112284</v>
      </c>
      <c r="AI10" s="3">
        <f>Tableau1[[#This Row],[2031]]+AI9</f>
        <v>109315.7744149326</v>
      </c>
      <c r="AJ10" s="3">
        <f>Tableau1[[#This Row],[2032]]+AJ9</f>
        <v>109315.81598216741</v>
      </c>
      <c r="AK10" s="3">
        <f>Tableau1[[#This Row],[2033]]+AK9</f>
        <v>109315.85931293281</v>
      </c>
      <c r="AL10" s="3">
        <f>Tableau1[[#This Row],[2034]]+AL9</f>
        <v>109315.90440722881</v>
      </c>
      <c r="AM10" s="3">
        <f>Tableau1[[#This Row],[2035]]+AM9</f>
        <v>109315.94893614181</v>
      </c>
      <c r="AN10" s="3">
        <f>Tableau1[[#This Row],[2036]]+AN9</f>
        <v>109315.99289967181</v>
      </c>
      <c r="AO10" s="3">
        <f>Tableau1[[#This Row],[2037]]+AO9</f>
        <v>109316.03629781881</v>
      </c>
      <c r="AP10" s="3">
        <f>Tableau1[[#This Row],[2038]]+AP9</f>
        <v>109316.0791305828</v>
      </c>
      <c r="AQ10" s="3">
        <f>Tableau1[[#This Row],[2039]]+AQ9</f>
        <v>109316.1213979638</v>
      </c>
      <c r="AR10" s="3">
        <f>Tableau1[[#This Row],[2040]]+AR9</f>
        <v>109316.1620522866</v>
      </c>
      <c r="AS10" s="3">
        <f>Tableau1[[#This Row],[2041]]+AS9</f>
        <v>109316.20109355119</v>
      </c>
      <c r="AT10" s="3">
        <f>Tableau1[[#This Row],[2042]]+AT9</f>
        <v>109316.23852175759</v>
      </c>
      <c r="AU10" s="3">
        <f>Tableau1[[#This Row],[2043]]+AU9</f>
        <v>109316.2743369058</v>
      </c>
      <c r="AV10" s="3">
        <f>Tableau1[[#This Row],[2044]]+AV9</f>
        <v>109316.3085389958</v>
      </c>
      <c r="AW10" s="3">
        <f>Tableau1[[#This Row],[2045]]+AW9</f>
        <v>109316.34684553419</v>
      </c>
      <c r="AX10" s="3">
        <f>Tableau1[[#This Row],[2046]]+AX9</f>
        <v>109316.389256521</v>
      </c>
      <c r="AY10" s="3">
        <f>Tableau1[[#This Row],[2047]]+AY9</f>
        <v>109316.4357719562</v>
      </c>
      <c r="AZ10" s="3">
        <f>Tableau1[[#This Row],[2048]]+AZ9</f>
        <v>109316.48639183979</v>
      </c>
      <c r="BA10" s="3">
        <f>Tableau1[[#This Row],[2049]]+BA9</f>
        <v>109316.54111617179</v>
      </c>
    </row>
    <row r="11" spans="1:53" ht="15" customHeight="1" x14ac:dyDescent="0.15">
      <c r="A11" s="3" t="s">
        <v>445</v>
      </c>
      <c r="B11" s="4" t="s">
        <v>45</v>
      </c>
      <c r="C11" s="4" t="s">
        <v>31</v>
      </c>
      <c r="D11" s="4" t="s">
        <v>146</v>
      </c>
      <c r="E11" s="7">
        <v>1.1288298129131402</v>
      </c>
      <c r="F11" s="7">
        <v>1.0980251429835466</v>
      </c>
      <c r="G11" s="7">
        <v>1.1136887335171866</v>
      </c>
      <c r="H11" s="7">
        <v>1.0724012919459787</v>
      </c>
      <c r="I11" s="7">
        <v>1.0782485961312724</v>
      </c>
      <c r="J11" s="7">
        <v>1.082491065224638</v>
      </c>
      <c r="K11" s="7">
        <v>0.98820838640315234</v>
      </c>
      <c r="L11" s="7">
        <v>0.91773731689476801</v>
      </c>
      <c r="M11" s="7">
        <v>0.88770641390077842</v>
      </c>
      <c r="N11" s="7">
        <v>0.84411173516591831</v>
      </c>
      <c r="O11" s="3">
        <v>0.72</v>
      </c>
      <c r="P11" s="3">
        <v>0.71</v>
      </c>
      <c r="Q11" s="3">
        <v>0.72</v>
      </c>
      <c r="R11" s="3">
        <v>0.69</v>
      </c>
      <c r="S11" s="3">
        <v>0.65</v>
      </c>
      <c r="T11" s="3">
        <v>0.65</v>
      </c>
      <c r="U11" s="3">
        <v>0.61</v>
      </c>
      <c r="V11" s="3">
        <v>0.64</v>
      </c>
      <c r="W11" s="3">
        <v>0.64</v>
      </c>
      <c r="X11" s="3">
        <v>0.63</v>
      </c>
      <c r="Y11" s="30">
        <f>-0.208*LN(Y10)+3.0666</f>
        <v>0.65338529848231275</v>
      </c>
      <c r="Z11" s="30">
        <f t="shared" ref="Z11:BA11" si="1">-0.208*LN(Z10)+3.0666</f>
        <v>0.6533852885755107</v>
      </c>
      <c r="AA11" s="30">
        <f t="shared" si="1"/>
        <v>0.65338527026436921</v>
      </c>
      <c r="AB11" s="30">
        <f t="shared" si="1"/>
        <v>0.65338524354889005</v>
      </c>
      <c r="AC11" s="30">
        <f t="shared" si="1"/>
        <v>0.65338520837144687</v>
      </c>
      <c r="AD11" s="30">
        <f t="shared" si="1"/>
        <v>0.65338516473204367</v>
      </c>
      <c r="AE11" s="30">
        <f t="shared" si="1"/>
        <v>0.65338511263068533</v>
      </c>
      <c r="AF11" s="30">
        <f t="shared" si="1"/>
        <v>0.65338505206737896</v>
      </c>
      <c r="AG11" s="30">
        <f t="shared" si="1"/>
        <v>0.65338498304213166</v>
      </c>
      <c r="AH11" s="30">
        <f t="shared" si="1"/>
        <v>0.65338491066135784</v>
      </c>
      <c r="AI11" s="30">
        <f t="shared" si="1"/>
        <v>0.65338483492506017</v>
      </c>
      <c r="AJ11" s="30">
        <f t="shared" si="1"/>
        <v>0.65338475583324396</v>
      </c>
      <c r="AK11" s="30">
        <f t="shared" si="1"/>
        <v>0.65338467338591144</v>
      </c>
      <c r="AL11" s="30">
        <f t="shared" si="1"/>
        <v>0.65338458758306706</v>
      </c>
      <c r="AM11" s="30">
        <f t="shared" si="1"/>
        <v>0.65338450285603633</v>
      </c>
      <c r="AN11" s="30">
        <f t="shared" si="1"/>
        <v>0.65338441920481705</v>
      </c>
      <c r="AO11" s="30">
        <f t="shared" si="1"/>
        <v>0.65338433662940831</v>
      </c>
      <c r="AP11" s="30">
        <f t="shared" si="1"/>
        <v>0.6533842551298088</v>
      </c>
      <c r="AQ11" s="30">
        <f t="shared" si="1"/>
        <v>0.65338417470601762</v>
      </c>
      <c r="AR11" s="30">
        <f t="shared" si="1"/>
        <v>0.65338409735148417</v>
      </c>
      <c r="AS11" s="30">
        <f t="shared" si="1"/>
        <v>0.65338402306620535</v>
      </c>
      <c r="AT11" s="30">
        <f t="shared" si="1"/>
        <v>0.65338395185017761</v>
      </c>
      <c r="AU11" s="30">
        <f t="shared" si="1"/>
        <v>0.65338388370339828</v>
      </c>
      <c r="AV11" s="30">
        <f t="shared" si="1"/>
        <v>0.65338381862586381</v>
      </c>
      <c r="AW11" s="30">
        <f t="shared" si="1"/>
        <v>0.65338374573867375</v>
      </c>
      <c r="AX11" s="30">
        <f t="shared" si="1"/>
        <v>0.6533836650418352</v>
      </c>
      <c r="AY11" s="30">
        <f t="shared" si="1"/>
        <v>0.65338357653535883</v>
      </c>
      <c r="AZ11" s="30">
        <f t="shared" si="1"/>
        <v>0.65338348021925308</v>
      </c>
      <c r="BA11" s="30">
        <f t="shared" si="1"/>
        <v>0.65338337609352992</v>
      </c>
    </row>
    <row r="12" spans="1:53" ht="15" customHeight="1" x14ac:dyDescent="0.15">
      <c r="A12" s="4" t="s">
        <v>876</v>
      </c>
      <c r="B12" s="4" t="s">
        <v>877</v>
      </c>
      <c r="C12" s="4" t="s">
        <v>31</v>
      </c>
      <c r="D12" s="4" t="s">
        <v>146</v>
      </c>
      <c r="E12" s="3">
        <v>4076.8582304534793</v>
      </c>
      <c r="F12" s="3">
        <v>3964.3913269179002</v>
      </c>
      <c r="G12" s="3">
        <v>3932.8794933798886</v>
      </c>
      <c r="H12" s="3">
        <v>3799.9</v>
      </c>
      <c r="I12" s="3">
        <v>4084.6</v>
      </c>
      <c r="J12" s="3">
        <v>4702.8999999999996</v>
      </c>
      <c r="K12" s="3">
        <v>5186.3999999999996</v>
      </c>
      <c r="L12" s="3">
        <v>6155.9</v>
      </c>
      <c r="M12" s="3">
        <v>5705.9</v>
      </c>
      <c r="N12" s="3">
        <v>6986.2215422705704</v>
      </c>
      <c r="O12" s="3">
        <v>6764.9692080130308</v>
      </c>
      <c r="P12" s="3">
        <v>6905.1038945298797</v>
      </c>
      <c r="Q12" s="3">
        <v>7244.0181438774434</v>
      </c>
      <c r="R12" s="3">
        <v>7924.2206132232823</v>
      </c>
      <c r="S12" s="3">
        <v>8998.9898679084563</v>
      </c>
      <c r="T12" s="3">
        <v>8895.7566186380445</v>
      </c>
      <c r="U12" s="3">
        <v>9267.6936658450468</v>
      </c>
      <c r="V12" s="3">
        <v>8970.7514173644922</v>
      </c>
      <c r="W12" s="3">
        <v>9232.2322334339096</v>
      </c>
      <c r="X12" s="3">
        <v>8822.3867360503828</v>
      </c>
    </row>
    <row r="13" spans="1:53" ht="15" customHeight="1" x14ac:dyDescent="0.15">
      <c r="A13" s="4" t="s">
        <v>878</v>
      </c>
      <c r="B13" s="4" t="s">
        <v>877</v>
      </c>
      <c r="C13" s="4" t="s">
        <v>31</v>
      </c>
      <c r="D13" s="4" t="s">
        <v>146</v>
      </c>
      <c r="E13" s="3">
        <v>188.75151606368613</v>
      </c>
      <c r="F13" s="3">
        <v>203.39460936505662</v>
      </c>
      <c r="G13" s="3">
        <v>176.24423590822644</v>
      </c>
      <c r="H13" s="3">
        <v>215.82598778932038</v>
      </c>
      <c r="I13" s="3">
        <v>185.38483707950408</v>
      </c>
      <c r="J13" s="3">
        <v>188.64115821956671</v>
      </c>
      <c r="K13" s="3">
        <v>233.38731517670305</v>
      </c>
      <c r="L13" s="3">
        <v>238.57912961315833</v>
      </c>
      <c r="M13" s="3">
        <v>206.40723798406103</v>
      </c>
      <c r="N13" s="3">
        <v>222.22787395996599</v>
      </c>
      <c r="O13" s="3">
        <v>194.28049618641955</v>
      </c>
      <c r="P13" s="3">
        <v>248.08903866496001</v>
      </c>
      <c r="Q13" s="3">
        <v>236.09168123677986</v>
      </c>
      <c r="R13" s="3">
        <v>231.98797852544072</v>
      </c>
      <c r="S13" s="3">
        <v>352.83158081243465</v>
      </c>
      <c r="T13" s="3">
        <v>361.84960538497603</v>
      </c>
      <c r="U13" s="3">
        <v>292.01504546971358</v>
      </c>
      <c r="V13" s="3">
        <v>323.91361968012683</v>
      </c>
      <c r="W13" s="3">
        <v>430.53510501907368</v>
      </c>
      <c r="X13" s="3">
        <v>354.56553143699011</v>
      </c>
    </row>
    <row r="14" spans="1:53" ht="15" customHeight="1" x14ac:dyDescent="0.15">
      <c r="A14" s="4" t="s">
        <v>879</v>
      </c>
      <c r="B14" s="4" t="s">
        <v>877</v>
      </c>
      <c r="C14" s="4" t="s">
        <v>31</v>
      </c>
      <c r="D14" s="4" t="s">
        <v>146</v>
      </c>
      <c r="E14" s="3">
        <v>618.3304586951806</v>
      </c>
      <c r="F14" s="3">
        <v>673.4688583303863</v>
      </c>
      <c r="G14" s="3">
        <v>689.14471822578082</v>
      </c>
      <c r="H14" s="3">
        <v>770</v>
      </c>
      <c r="I14" s="3">
        <v>758.5</v>
      </c>
      <c r="J14" s="3">
        <v>757.3</v>
      </c>
      <c r="K14" s="3">
        <v>808.2</v>
      </c>
      <c r="L14" s="3">
        <v>878.1</v>
      </c>
      <c r="M14" s="3">
        <v>772.4</v>
      </c>
      <c r="N14" s="3">
        <v>840.49810939162501</v>
      </c>
      <c r="O14" s="3">
        <v>832.53980543284138</v>
      </c>
      <c r="P14" s="3">
        <v>821.5276089342201</v>
      </c>
      <c r="Q14" s="3">
        <v>817.77096532562962</v>
      </c>
      <c r="R14" s="3">
        <v>787.40674404727724</v>
      </c>
      <c r="S14" s="3">
        <v>772.54878710571245</v>
      </c>
      <c r="T14" s="3">
        <v>853.40569752796614</v>
      </c>
      <c r="U14" s="3">
        <v>834.27986793649006</v>
      </c>
      <c r="V14" s="3">
        <v>853.49697471330069</v>
      </c>
      <c r="W14" s="3">
        <v>958.66479498784281</v>
      </c>
      <c r="X14" s="3">
        <v>961.00532520815511</v>
      </c>
    </row>
    <row r="15" spans="1:53" ht="15" customHeight="1" x14ac:dyDescent="0.15">
      <c r="A15" s="4" t="s">
        <v>880</v>
      </c>
      <c r="B15" s="4" t="s">
        <v>877</v>
      </c>
      <c r="C15" s="4" t="s">
        <v>31</v>
      </c>
      <c r="D15" s="4" t="s">
        <v>146</v>
      </c>
      <c r="E15" s="3">
        <v>6881.705165135927</v>
      </c>
      <c r="F15" s="3">
        <v>7135.3156383311298</v>
      </c>
      <c r="G15" s="3">
        <v>6942.6786531269308</v>
      </c>
      <c r="H15" s="3">
        <v>7240.7382907097863</v>
      </c>
      <c r="I15" s="3">
        <v>7424.5023287714221</v>
      </c>
      <c r="J15" s="3">
        <v>7862.7450756225526</v>
      </c>
      <c r="K15" s="3">
        <v>8208.5472547420777</v>
      </c>
      <c r="L15" s="3">
        <v>9055.4980196366141</v>
      </c>
      <c r="M15" s="3">
        <v>8945.6</v>
      </c>
      <c r="N15" s="3">
        <v>10283.474781265535</v>
      </c>
      <c r="O15" s="3">
        <v>11250.298099905105</v>
      </c>
      <c r="P15" s="3">
        <v>10557.216981523503</v>
      </c>
      <c r="Q15" s="3">
        <v>10810.35307387483</v>
      </c>
      <c r="R15" s="3">
        <v>11325.036859037156</v>
      </c>
      <c r="S15" s="3">
        <v>12069.755775542058</v>
      </c>
      <c r="T15" s="3">
        <v>12147.435212275632</v>
      </c>
      <c r="U15" s="3">
        <v>11790.245156449704</v>
      </c>
      <c r="V15" s="3">
        <v>11405.500590237274</v>
      </c>
      <c r="W15" s="3">
        <v>11459.068400231688</v>
      </c>
      <c r="X15" s="3">
        <v>11999.98108985816</v>
      </c>
    </row>
    <row r="16" spans="1:53" ht="15" customHeight="1" x14ac:dyDescent="0.15">
      <c r="A16" s="4" t="s">
        <v>881</v>
      </c>
      <c r="D16" s="4"/>
    </row>
    <row r="17" spans="1:53" ht="15" customHeight="1" x14ac:dyDescent="0.15">
      <c r="A17" s="4" t="s">
        <v>443</v>
      </c>
      <c r="B17" s="4" t="s">
        <v>44</v>
      </c>
      <c r="C17" s="4" t="s">
        <v>32</v>
      </c>
      <c r="D17" s="4" t="s">
        <v>146</v>
      </c>
      <c r="E17" s="3">
        <v>1179.9000000000001</v>
      </c>
      <c r="F17" s="3">
        <v>1379.2</v>
      </c>
      <c r="G17" s="3">
        <v>1502.9</v>
      </c>
      <c r="H17" s="3">
        <v>1751.5</v>
      </c>
      <c r="I17" s="3">
        <v>1917.5</v>
      </c>
      <c r="J17" s="3">
        <v>2111.5</v>
      </c>
      <c r="K17" s="3">
        <v>2453.4</v>
      </c>
      <c r="L17" s="3">
        <v>2693.9</v>
      </c>
      <c r="M17" s="3">
        <v>2825.6</v>
      </c>
      <c r="N17" s="3">
        <v>2826</v>
      </c>
      <c r="O17" s="3">
        <v>1551.5</v>
      </c>
      <c r="P17" s="3">
        <v>1681.3040000000001</v>
      </c>
      <c r="Q17" s="3">
        <v>1741.2</v>
      </c>
      <c r="R17" s="3">
        <v>1667.1420000000001</v>
      </c>
      <c r="S17" s="3">
        <v>1850.672</v>
      </c>
      <c r="T17" s="3">
        <v>1656.404</v>
      </c>
      <c r="U17" s="3">
        <v>1506.6379999999999</v>
      </c>
      <c r="V17" s="3">
        <v>1601.318</v>
      </c>
      <c r="W17" s="3">
        <v>1673.338</v>
      </c>
      <c r="X17" s="3">
        <v>1740.6</v>
      </c>
      <c r="Y17" s="3">
        <f>proj_dem!E45*0.077</f>
        <v>2.4615899000000001E-4</v>
      </c>
      <c r="Z17" s="3">
        <f>proj_dem!F45*0.077</f>
        <v>1.6231019933333336E-3</v>
      </c>
      <c r="AA17" s="3">
        <f>proj_dem!G45*0.077</f>
        <v>3.0000449966666666E-3</v>
      </c>
      <c r="AB17" s="3">
        <f>proj_dem!H45*0.077</f>
        <v>4.3769880000000001E-3</v>
      </c>
      <c r="AC17" s="3">
        <f>proj_dem!I45*0.077</f>
        <v>5.7633729999999996E-3</v>
      </c>
      <c r="AD17" s="3">
        <f>proj_dem!J45*0.077</f>
        <v>7.1497579999999991E-3</v>
      </c>
      <c r="AE17" s="3">
        <f>proj_dem!K45*0.077</f>
        <v>8.5361429999999995E-3</v>
      </c>
      <c r="AF17" s="3">
        <f>proj_dem!L45*0.077</f>
        <v>9.9225279999999999E-3</v>
      </c>
      <c r="AG17" s="3">
        <f>proj_dem!M45*0.077</f>
        <v>1.1308913E-2</v>
      </c>
      <c r="AH17" s="3">
        <f>proj_dem!N45*0.077</f>
        <v>1.1858677599999999E-2</v>
      </c>
      <c r="AI17" s="3">
        <f>proj_dem!O45*0.077</f>
        <v>1.24084422E-2</v>
      </c>
      <c r="AJ17" s="3">
        <f>proj_dem!P45*0.077</f>
        <v>1.29582068E-2</v>
      </c>
      <c r="AK17" s="3">
        <f>proj_dem!Q45*0.077</f>
        <v>1.3507971400000001E-2</v>
      </c>
      <c r="AL17" s="3">
        <f>proj_dem!R45*0.077</f>
        <v>1.4057736000000001E-2</v>
      </c>
      <c r="AM17" s="3">
        <f>proj_dem!S45*0.077</f>
        <v>1.3881483E-2</v>
      </c>
      <c r="AN17" s="3">
        <f>proj_dem!T45*0.077</f>
        <v>1.3705230000000001E-2</v>
      </c>
      <c r="AO17" s="3">
        <f>proj_dem!U45*0.077</f>
        <v>1.3528976999999999E-2</v>
      </c>
      <c r="AP17" s="3">
        <f>proj_dem!V45*0.077</f>
        <v>1.3352724E-2</v>
      </c>
      <c r="AQ17" s="3">
        <f>proj_dem!W45*0.077</f>
        <v>1.3176471E-2</v>
      </c>
      <c r="AR17" s="3">
        <f>proj_dem!X45*0.077</f>
        <v>1.26736148E-2</v>
      </c>
      <c r="AS17" s="3">
        <f>proj_dem!Y45*0.077</f>
        <v>1.21707586E-2</v>
      </c>
      <c r="AT17" s="3">
        <f>proj_dem!Z45*0.077</f>
        <v>1.1667902400000001E-2</v>
      </c>
      <c r="AU17" s="3">
        <f>proj_dem!AA45*0.077</f>
        <v>1.1165046200000001E-2</v>
      </c>
      <c r="AV17" s="3">
        <f>proj_dem!AB45*0.077</f>
        <v>1.066219E-2</v>
      </c>
      <c r="AW17" s="3">
        <f>proj_dem!AC45*0.077</f>
        <v>1.1941714400000001E-2</v>
      </c>
      <c r="AX17" s="3">
        <f>proj_dem!AD45*0.077</f>
        <v>1.32212388E-2</v>
      </c>
      <c r="AY17" s="3">
        <f>proj_dem!AE45*0.077</f>
        <v>1.4500763200000001E-2</v>
      </c>
      <c r="AZ17" s="3">
        <f>proj_dem!AF45*0.077</f>
        <v>1.5780287600000002E-2</v>
      </c>
      <c r="BA17" s="3">
        <f>proj_dem!AG45*0.077</f>
        <v>1.7059812000000001E-2</v>
      </c>
    </row>
    <row r="18" spans="1:53" ht="15" customHeight="1" x14ac:dyDescent="0.15">
      <c r="B18" s="4"/>
      <c r="C18" s="4"/>
      <c r="D18" s="4"/>
      <c r="Y18" s="31"/>
      <c r="Z18" s="31"/>
      <c r="AA18" s="31"/>
      <c r="AB18" s="31"/>
    </row>
    <row r="19" spans="1:53" ht="15" customHeight="1" x14ac:dyDescent="0.15">
      <c r="B19" s="4"/>
      <c r="C19" s="4"/>
      <c r="D19" s="4"/>
    </row>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spans="2:3" ht="13" x14ac:dyDescent="0.15"/>
    <row r="82" spans="2:3" ht="13" x14ac:dyDescent="0.15"/>
    <row r="83" spans="2:3" ht="13" x14ac:dyDescent="0.15">
      <c r="B83" s="4"/>
    </row>
    <row r="84" spans="2:3" ht="13" x14ac:dyDescent="0.15">
      <c r="B84" s="4"/>
    </row>
    <row r="85" spans="2:3" ht="13" x14ac:dyDescent="0.15"/>
    <row r="86" spans="2:3" ht="13" x14ac:dyDescent="0.15">
      <c r="B86" s="4"/>
      <c r="C86" s="4"/>
    </row>
    <row r="87" spans="2:3" ht="13" x14ac:dyDescent="0.15">
      <c r="B87" s="4"/>
    </row>
    <row r="88" spans="2:3" ht="13" x14ac:dyDescent="0.15"/>
    <row r="89" spans="2:3" ht="13" x14ac:dyDescent="0.15"/>
    <row r="90" spans="2:3" ht="13" x14ac:dyDescent="0.15"/>
    <row r="91" spans="2:3" ht="13" x14ac:dyDescent="0.15"/>
    <row r="92" spans="2:3" ht="13" x14ac:dyDescent="0.15"/>
    <row r="93" spans="2:3" ht="13" x14ac:dyDescent="0.15"/>
    <row r="94" spans="2:3" ht="13" x14ac:dyDescent="0.15"/>
    <row r="95" spans="2:3" ht="13" x14ac:dyDescent="0.15"/>
    <row r="96" spans="2:3"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row r="981" ht="13" x14ac:dyDescent="0.15"/>
    <row r="982" ht="13" x14ac:dyDescent="0.15"/>
    <row r="983" ht="13" x14ac:dyDescent="0.15"/>
    <row r="984" ht="13" x14ac:dyDescent="0.15"/>
    <row r="985" ht="13" x14ac:dyDescent="0.15"/>
    <row r="986" ht="13" x14ac:dyDescent="0.15"/>
    <row r="987" ht="13" x14ac:dyDescent="0.15"/>
    <row r="988" ht="13" x14ac:dyDescent="0.15"/>
    <row r="989" ht="13" x14ac:dyDescent="0.15"/>
    <row r="990" ht="13" x14ac:dyDescent="0.15"/>
    <row r="991" ht="13" x14ac:dyDescent="0.15"/>
    <row r="992" ht="13" x14ac:dyDescent="0.15"/>
    <row r="993" ht="13" x14ac:dyDescent="0.15"/>
    <row r="994" ht="13" x14ac:dyDescent="0.15"/>
    <row r="995" ht="13" x14ac:dyDescent="0.15"/>
    <row r="996" ht="13" x14ac:dyDescent="0.15"/>
    <row r="997" ht="13" x14ac:dyDescent="0.15"/>
    <row r="998" ht="13" x14ac:dyDescent="0.15"/>
    <row r="999" ht="13" x14ac:dyDescent="0.15"/>
  </sheetData>
  <phoneticPr fontId="5" type="noConversion"/>
  <pageMargins left="0.7" right="0.7" top="0.75" bottom="0.75" header="0.3" footer="0.3"/>
  <pageSetup paperSize="9" orientation="portrait" horizontalDpi="0" verticalDpi="0"/>
  <ignoredErrors>
    <ignoredError sqref="Y17:Y18 Y9:Y11" calculatedColumn="1"/>
  </ignoredErrors>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D2AC0-7146-EE46-9737-4C465DA7B79E}">
  <dimension ref="A1:CU178"/>
  <sheetViews>
    <sheetView zoomScale="115" workbookViewId="0">
      <pane xSplit="4" ySplit="1" topLeftCell="E144" activePane="bottomRight" state="frozen"/>
      <selection pane="topRight" activeCell="E1" sqref="E1"/>
      <selection pane="bottomLeft" activeCell="A2" sqref="A2"/>
      <selection pane="bottomRight" activeCell="A173" sqref="A173"/>
    </sheetView>
  </sheetViews>
  <sheetFormatPr baseColWidth="10" defaultRowHeight="13" x14ac:dyDescent="0.15"/>
  <cols>
    <col min="1" max="1" width="17.33203125" customWidth="1"/>
    <col min="5" max="33" width="10.1640625" customWidth="1"/>
    <col min="34" max="34" width="10.83203125" customWidth="1"/>
  </cols>
  <sheetData>
    <row r="1" spans="1:34" x14ac:dyDescent="0.15">
      <c r="A1" s="5" t="s">
        <v>89</v>
      </c>
      <c r="B1" s="5" t="s">
        <v>90</v>
      </c>
      <c r="C1" s="5" t="s">
        <v>19</v>
      </c>
      <c r="D1" s="5" t="s">
        <v>93</v>
      </c>
      <c r="E1" s="5" t="s">
        <v>106</v>
      </c>
      <c r="F1" t="s">
        <v>107</v>
      </c>
      <c r="G1" t="s">
        <v>108</v>
      </c>
      <c r="H1" t="s">
        <v>109</v>
      </c>
      <c r="I1" t="s">
        <v>110</v>
      </c>
      <c r="J1" t="s">
        <v>111</v>
      </c>
      <c r="K1" t="s">
        <v>112</v>
      </c>
      <c r="L1" t="s">
        <v>113</v>
      </c>
      <c r="M1" t="s">
        <v>114</v>
      </c>
      <c r="N1" t="s">
        <v>115</v>
      </c>
      <c r="O1" t="s">
        <v>116</v>
      </c>
      <c r="P1" t="s">
        <v>117</v>
      </c>
      <c r="Q1" t="s">
        <v>118</v>
      </c>
      <c r="R1" t="s">
        <v>119</v>
      </c>
      <c r="S1" t="s">
        <v>120</v>
      </c>
      <c r="T1" t="s">
        <v>121</v>
      </c>
      <c r="U1" t="s">
        <v>122</v>
      </c>
      <c r="V1" t="s">
        <v>123</v>
      </c>
      <c r="W1" t="s">
        <v>124</v>
      </c>
      <c r="X1" t="s">
        <v>125</v>
      </c>
      <c r="Y1" t="s">
        <v>126</v>
      </c>
      <c r="Z1" t="s">
        <v>127</v>
      </c>
      <c r="AA1" t="s">
        <v>128</v>
      </c>
      <c r="AB1" t="s">
        <v>129</v>
      </c>
      <c r="AC1" t="s">
        <v>130</v>
      </c>
      <c r="AD1" t="s">
        <v>131</v>
      </c>
      <c r="AE1" t="s">
        <v>132</v>
      </c>
      <c r="AF1" t="s">
        <v>133</v>
      </c>
      <c r="AG1" t="s">
        <v>134</v>
      </c>
      <c r="AH1" s="5" t="s">
        <v>3566</v>
      </c>
    </row>
    <row r="2" spans="1:34" x14ac:dyDescent="0.15">
      <c r="A2" s="5" t="s">
        <v>143</v>
      </c>
      <c r="B2" s="5" t="s">
        <v>144</v>
      </c>
      <c r="C2" s="1" t="s">
        <v>0</v>
      </c>
      <c r="D2" s="5" t="s">
        <v>94</v>
      </c>
      <c r="E2" s="10">
        <v>10357</v>
      </c>
      <c r="F2" s="10">
        <f t="shared" ref="F2:G21" si="0">(($H2-$E2)/($H$1-$E$1))*(F$1-$E$1)+$E2</f>
        <v>10773.333333333334</v>
      </c>
      <c r="G2" s="10">
        <f>(($H2-$E2)/($H$1-$E$1))*(G$1-$E$1)+$E2</f>
        <v>11189.666666666666</v>
      </c>
      <c r="H2" s="10">
        <v>11606</v>
      </c>
      <c r="I2" s="10">
        <f t="shared" ref="I2:L21" si="1">(($M2-$H2)/($M$1-$H$1))*(I$1-$H$1)+$H2</f>
        <v>12190.2</v>
      </c>
      <c r="J2" s="10">
        <f t="shared" si="1"/>
        <v>12774.4</v>
      </c>
      <c r="K2" s="10">
        <f t="shared" si="1"/>
        <v>13358.6</v>
      </c>
      <c r="L2" s="10">
        <f t="shared" si="1"/>
        <v>13942.8</v>
      </c>
      <c r="M2" s="10">
        <v>14527</v>
      </c>
      <c r="N2" s="10">
        <f t="shared" ref="N2:Q21" si="2">(($R2-$M2)/($R$1-$M$1))*(N$1-$M$1)+$M2</f>
        <v>14518</v>
      </c>
      <c r="O2" s="10">
        <f t="shared" si="2"/>
        <v>14509</v>
      </c>
      <c r="P2" s="10">
        <f t="shared" si="2"/>
        <v>14500</v>
      </c>
      <c r="Q2" s="10">
        <f t="shared" si="2"/>
        <v>14491</v>
      </c>
      <c r="R2" s="10">
        <v>14482</v>
      </c>
      <c r="S2" s="10">
        <f t="shared" ref="S2:V21" si="3">(($W2-$R2)/($W$1-$R$1))*(S$1-$R$1)+$R2</f>
        <v>14420.4</v>
      </c>
      <c r="T2" s="10">
        <f t="shared" si="3"/>
        <v>14358.8</v>
      </c>
      <c r="U2" s="10">
        <f t="shared" si="3"/>
        <v>14297.2</v>
      </c>
      <c r="V2" s="10">
        <f t="shared" si="3"/>
        <v>14235.6</v>
      </c>
      <c r="W2" s="10">
        <v>14174</v>
      </c>
      <c r="X2" s="10">
        <f t="shared" ref="X2:AA21" si="4">(($AB2-$W2)/($AB$1-$W$1))*(X$1-$W$1)+$W2</f>
        <v>14327.8</v>
      </c>
      <c r="Y2" s="10">
        <f t="shared" si="4"/>
        <v>14481.6</v>
      </c>
      <c r="Z2" s="10">
        <f t="shared" si="4"/>
        <v>14635.4</v>
      </c>
      <c r="AA2" s="10">
        <f t="shared" si="4"/>
        <v>14789.2</v>
      </c>
      <c r="AB2" s="10">
        <v>14943</v>
      </c>
      <c r="AC2" s="10">
        <f t="shared" ref="AC2:AF21" si="5">(($AG2-$AB2)/($AG$1-$AB$1))*(AC$1-$AB$1)+$AB2</f>
        <v>14823</v>
      </c>
      <c r="AD2" s="10">
        <f t="shared" si="5"/>
        <v>14703</v>
      </c>
      <c r="AE2" s="10">
        <f t="shared" si="5"/>
        <v>14583</v>
      </c>
      <c r="AF2" s="10">
        <f t="shared" si="5"/>
        <v>14463</v>
      </c>
      <c r="AG2" s="10">
        <v>14343</v>
      </c>
      <c r="AH2" s="9">
        <f>SUM(Tableau2[[#This Row],[2022]:[2050]])</f>
        <v>400797</v>
      </c>
    </row>
    <row r="3" spans="1:34" hidden="1" x14ac:dyDescent="0.15">
      <c r="A3" s="5" t="s">
        <v>143</v>
      </c>
      <c r="B3" s="5" t="s">
        <v>144</v>
      </c>
      <c r="C3" s="2" t="s">
        <v>0</v>
      </c>
      <c r="D3" s="5" t="s">
        <v>95</v>
      </c>
      <c r="E3" s="6">
        <v>10357</v>
      </c>
      <c r="F3" s="6">
        <f t="shared" si="0"/>
        <v>10853.333333333334</v>
      </c>
      <c r="G3" s="6">
        <f t="shared" si="0"/>
        <v>11349.666666666666</v>
      </c>
      <c r="H3">
        <v>11846</v>
      </c>
      <c r="I3" s="6">
        <f t="shared" si="1"/>
        <v>12606.6</v>
      </c>
      <c r="J3" s="6">
        <f t="shared" si="1"/>
        <v>13367.2</v>
      </c>
      <c r="K3" s="6">
        <f t="shared" si="1"/>
        <v>14127.8</v>
      </c>
      <c r="L3" s="6">
        <f t="shared" si="1"/>
        <v>14888.4</v>
      </c>
      <c r="M3">
        <v>15649</v>
      </c>
      <c r="N3" s="6">
        <f t="shared" si="2"/>
        <v>15981.2</v>
      </c>
      <c r="O3" s="6">
        <f t="shared" si="2"/>
        <v>16313.4</v>
      </c>
      <c r="P3" s="6">
        <f t="shared" si="2"/>
        <v>16645.599999999999</v>
      </c>
      <c r="Q3" s="6">
        <f t="shared" si="2"/>
        <v>16977.8</v>
      </c>
      <c r="R3">
        <v>17310</v>
      </c>
      <c r="S3" s="6">
        <f t="shared" si="3"/>
        <v>17541.400000000001</v>
      </c>
      <c r="T3" s="6">
        <f t="shared" si="3"/>
        <v>17772.8</v>
      </c>
      <c r="U3" s="6">
        <f t="shared" si="3"/>
        <v>18004.2</v>
      </c>
      <c r="V3" s="6">
        <f t="shared" si="3"/>
        <v>18235.599999999999</v>
      </c>
      <c r="W3">
        <v>18467</v>
      </c>
      <c r="X3" s="6">
        <f t="shared" si="4"/>
        <v>18709.400000000001</v>
      </c>
      <c r="Y3" s="6">
        <f t="shared" si="4"/>
        <v>18951.8</v>
      </c>
      <c r="Z3" s="6">
        <f t="shared" si="4"/>
        <v>19194.2</v>
      </c>
      <c r="AA3" s="6">
        <f t="shared" si="4"/>
        <v>19436.599999999999</v>
      </c>
      <c r="AB3">
        <v>19679</v>
      </c>
      <c r="AC3" s="6">
        <f t="shared" si="5"/>
        <v>19534.599999999999</v>
      </c>
      <c r="AD3" s="6">
        <f t="shared" si="5"/>
        <v>19390.2</v>
      </c>
      <c r="AE3" s="6">
        <f t="shared" si="5"/>
        <v>19245.8</v>
      </c>
      <c r="AF3" s="6">
        <f t="shared" si="5"/>
        <v>19101.400000000001</v>
      </c>
      <c r="AG3">
        <v>18957</v>
      </c>
      <c r="AH3" s="9">
        <f>SUM(Tableau2[[#This Row],[2022]:[2050]])</f>
        <v>480494</v>
      </c>
    </row>
    <row r="4" spans="1:34" hidden="1" x14ac:dyDescent="0.15">
      <c r="A4" s="5" t="s">
        <v>143</v>
      </c>
      <c r="B4" s="5" t="s">
        <v>144</v>
      </c>
      <c r="C4" s="2" t="s">
        <v>0</v>
      </c>
      <c r="D4" s="5" t="s">
        <v>96</v>
      </c>
      <c r="E4" s="10">
        <v>10357</v>
      </c>
      <c r="F4" s="10">
        <f t="shared" si="0"/>
        <v>11045.666666666666</v>
      </c>
      <c r="G4" s="10">
        <f t="shared" si="0"/>
        <v>11734.333333333334</v>
      </c>
      <c r="H4" s="10">
        <v>12423</v>
      </c>
      <c r="I4" s="10">
        <f t="shared" si="1"/>
        <v>13512.8</v>
      </c>
      <c r="J4" s="10">
        <f t="shared" si="1"/>
        <v>14602.6</v>
      </c>
      <c r="K4" s="10">
        <f t="shared" si="1"/>
        <v>15692.4</v>
      </c>
      <c r="L4" s="10">
        <f t="shared" si="1"/>
        <v>16782.2</v>
      </c>
      <c r="M4" s="10">
        <v>17872</v>
      </c>
      <c r="N4" s="10">
        <f t="shared" si="2"/>
        <v>18861.2</v>
      </c>
      <c r="O4" s="10">
        <f t="shared" si="2"/>
        <v>19850.400000000001</v>
      </c>
      <c r="P4" s="10">
        <f t="shared" si="2"/>
        <v>20839.599999999999</v>
      </c>
      <c r="Q4" s="10">
        <f t="shared" si="2"/>
        <v>21828.799999999999</v>
      </c>
      <c r="R4" s="10">
        <v>22818</v>
      </c>
      <c r="S4" s="10">
        <f t="shared" si="3"/>
        <v>23535</v>
      </c>
      <c r="T4" s="10">
        <f t="shared" si="3"/>
        <v>24252</v>
      </c>
      <c r="U4" s="10">
        <f t="shared" si="3"/>
        <v>24969</v>
      </c>
      <c r="V4" s="10">
        <f t="shared" si="3"/>
        <v>25686</v>
      </c>
      <c r="W4" s="10">
        <v>26403</v>
      </c>
      <c r="X4" s="10">
        <f t="shared" si="4"/>
        <v>26152</v>
      </c>
      <c r="Y4" s="10">
        <f t="shared" si="4"/>
        <v>25901</v>
      </c>
      <c r="Z4" s="10">
        <f t="shared" si="4"/>
        <v>25650</v>
      </c>
      <c r="AA4" s="10">
        <f t="shared" si="4"/>
        <v>25399</v>
      </c>
      <c r="AB4" s="10">
        <v>25148</v>
      </c>
      <c r="AC4" s="10">
        <f t="shared" si="5"/>
        <v>24270.2</v>
      </c>
      <c r="AD4" s="10">
        <f t="shared" si="5"/>
        <v>23392.400000000001</v>
      </c>
      <c r="AE4" s="10">
        <f t="shared" si="5"/>
        <v>22514.6</v>
      </c>
      <c r="AF4" s="10">
        <f t="shared" si="5"/>
        <v>21636.799999999999</v>
      </c>
      <c r="AG4" s="10">
        <v>20759</v>
      </c>
      <c r="AH4" s="10">
        <f>SUM(Tableau2[[#This Row],[2022]:[2050]])</f>
        <v>593888</v>
      </c>
    </row>
    <row r="5" spans="1:34" x14ac:dyDescent="0.15">
      <c r="A5" s="5" t="s">
        <v>91</v>
      </c>
      <c r="B5" s="5" t="s">
        <v>105</v>
      </c>
      <c r="C5" s="1" t="s">
        <v>103</v>
      </c>
      <c r="D5" s="5" t="s">
        <v>94</v>
      </c>
      <c r="E5" s="10">
        <v>0</v>
      </c>
      <c r="F5" s="10">
        <f t="shared" si="0"/>
        <v>0</v>
      </c>
      <c r="G5" s="10">
        <f t="shared" si="0"/>
        <v>0</v>
      </c>
      <c r="H5" s="10">
        <v>0</v>
      </c>
      <c r="I5" s="10">
        <f t="shared" si="1"/>
        <v>3.8065799999999997E-2</v>
      </c>
      <c r="J5" s="10">
        <f t="shared" si="1"/>
        <v>7.6131599999999994E-2</v>
      </c>
      <c r="K5" s="10">
        <f t="shared" si="1"/>
        <v>0.11419739999999999</v>
      </c>
      <c r="L5" s="10">
        <f t="shared" si="1"/>
        <v>0.15226319999999999</v>
      </c>
      <c r="M5" s="10">
        <v>0.190329</v>
      </c>
      <c r="N5" s="10">
        <f t="shared" si="2"/>
        <v>0.36922920000000004</v>
      </c>
      <c r="O5" s="10">
        <f t="shared" si="2"/>
        <v>0.54812939999999999</v>
      </c>
      <c r="P5" s="10">
        <f t="shared" si="2"/>
        <v>0.72702960000000005</v>
      </c>
      <c r="Q5" s="10">
        <f t="shared" si="2"/>
        <v>0.90592980000000001</v>
      </c>
      <c r="R5" s="10">
        <v>1.08483</v>
      </c>
      <c r="S5" s="10">
        <f t="shared" si="3"/>
        <v>2.1442220000000001</v>
      </c>
      <c r="T5" s="10">
        <f t="shared" si="3"/>
        <v>3.203614</v>
      </c>
      <c r="U5" s="10">
        <f t="shared" si="3"/>
        <v>4.2630059999999999</v>
      </c>
      <c r="V5" s="10">
        <f t="shared" si="3"/>
        <v>5.3223979999999997</v>
      </c>
      <c r="W5" s="10">
        <v>6.3817899999999996</v>
      </c>
      <c r="X5" s="10">
        <f t="shared" si="4"/>
        <v>6.5824819999999997</v>
      </c>
      <c r="Y5" s="10">
        <f t="shared" si="4"/>
        <v>6.7831739999999998</v>
      </c>
      <c r="Z5" s="10">
        <f t="shared" si="4"/>
        <v>6.9838659999999999</v>
      </c>
      <c r="AA5" s="10">
        <f t="shared" si="4"/>
        <v>7.184558</v>
      </c>
      <c r="AB5" s="10">
        <v>7.3852500000000001</v>
      </c>
      <c r="AC5" s="10">
        <f t="shared" si="5"/>
        <v>7.5781660000000004</v>
      </c>
      <c r="AD5" s="10">
        <f t="shared" si="5"/>
        <v>7.7710820000000007</v>
      </c>
      <c r="AE5" s="10">
        <f t="shared" si="5"/>
        <v>7.9639980000000001</v>
      </c>
      <c r="AF5" s="10">
        <f t="shared" si="5"/>
        <v>8.1569140000000004</v>
      </c>
      <c r="AG5" s="10">
        <v>8.3498300000000008</v>
      </c>
      <c r="AH5" s="9">
        <f>SUM(Tableau2[[#This Row],[2022]:[2050]])</f>
        <v>100.26048500000002</v>
      </c>
    </row>
    <row r="6" spans="1:34" hidden="1" x14ac:dyDescent="0.15">
      <c r="A6" s="5" t="s">
        <v>91</v>
      </c>
      <c r="B6" s="5" t="s">
        <v>105</v>
      </c>
      <c r="C6" s="1" t="s">
        <v>103</v>
      </c>
      <c r="D6" s="5" t="s">
        <v>95</v>
      </c>
      <c r="E6" s="6">
        <v>0</v>
      </c>
      <c r="F6" s="6">
        <f t="shared" si="0"/>
        <v>0</v>
      </c>
      <c r="G6" s="6">
        <f t="shared" si="0"/>
        <v>0</v>
      </c>
      <c r="H6" s="6">
        <v>0</v>
      </c>
      <c r="I6" s="6">
        <f t="shared" si="1"/>
        <v>5.0844999999999994E-2</v>
      </c>
      <c r="J6" s="6">
        <f t="shared" si="1"/>
        <v>0.10168999999999999</v>
      </c>
      <c r="K6" s="6">
        <f t="shared" si="1"/>
        <v>0.15253499999999998</v>
      </c>
      <c r="L6" s="6">
        <f t="shared" si="1"/>
        <v>0.20337999999999998</v>
      </c>
      <c r="M6" s="6">
        <v>0.25422499999999998</v>
      </c>
      <c r="N6" s="6">
        <f t="shared" si="2"/>
        <v>0.53866600000000009</v>
      </c>
      <c r="O6" s="6">
        <f t="shared" si="2"/>
        <v>0.82310700000000003</v>
      </c>
      <c r="P6" s="6">
        <f t="shared" si="2"/>
        <v>1.1075480000000002</v>
      </c>
      <c r="Q6" s="6">
        <f t="shared" si="2"/>
        <v>1.3919890000000001</v>
      </c>
      <c r="R6" s="6">
        <v>1.6764300000000001</v>
      </c>
      <c r="S6" s="6">
        <f t="shared" si="3"/>
        <v>3.2846860000000002</v>
      </c>
      <c r="T6" s="6">
        <f t="shared" si="3"/>
        <v>4.8929420000000006</v>
      </c>
      <c r="U6" s="6">
        <f t="shared" si="3"/>
        <v>6.5011980000000005</v>
      </c>
      <c r="V6" s="6">
        <f t="shared" si="3"/>
        <v>8.1094540000000013</v>
      </c>
      <c r="W6" s="6">
        <v>9.7177100000000003</v>
      </c>
      <c r="X6" s="6">
        <f t="shared" si="4"/>
        <v>10.055747999999999</v>
      </c>
      <c r="Y6" s="6">
        <f t="shared" si="4"/>
        <v>10.393786</v>
      </c>
      <c r="Z6" s="6">
        <f t="shared" si="4"/>
        <v>10.731824</v>
      </c>
      <c r="AA6" s="6">
        <f t="shared" si="4"/>
        <v>11.069862000000001</v>
      </c>
      <c r="AB6" s="6">
        <v>11.4079</v>
      </c>
      <c r="AC6" s="6">
        <f t="shared" si="5"/>
        <v>11.69186</v>
      </c>
      <c r="AD6" s="6">
        <f t="shared" si="5"/>
        <v>11.975820000000001</v>
      </c>
      <c r="AE6" s="6">
        <f t="shared" si="5"/>
        <v>12.259779999999999</v>
      </c>
      <c r="AF6" s="6">
        <f t="shared" si="5"/>
        <v>12.54374</v>
      </c>
      <c r="AG6" s="6">
        <v>12.8277</v>
      </c>
      <c r="AH6" s="9">
        <f>SUM(Tableau2[[#This Row],[2022]:[2050]])</f>
        <v>153.76442500000002</v>
      </c>
    </row>
    <row r="7" spans="1:34" hidden="1" x14ac:dyDescent="0.15">
      <c r="A7" s="5" t="s">
        <v>91</v>
      </c>
      <c r="B7" s="5" t="s">
        <v>105</v>
      </c>
      <c r="C7" s="1" t="s">
        <v>103</v>
      </c>
      <c r="D7" s="5" t="s">
        <v>96</v>
      </c>
      <c r="E7" s="10">
        <v>0</v>
      </c>
      <c r="F7" s="10">
        <f t="shared" si="0"/>
        <v>0</v>
      </c>
      <c r="G7" s="10">
        <f t="shared" si="0"/>
        <v>0</v>
      </c>
      <c r="H7" s="10">
        <v>0</v>
      </c>
      <c r="I7" s="10">
        <f t="shared" si="1"/>
        <v>8.7227200000000005E-2</v>
      </c>
      <c r="J7" s="10">
        <f t="shared" si="1"/>
        <v>0.17445440000000001</v>
      </c>
      <c r="K7" s="10">
        <f t="shared" si="1"/>
        <v>0.26168160000000001</v>
      </c>
      <c r="L7" s="10">
        <f t="shared" si="1"/>
        <v>0.34890880000000002</v>
      </c>
      <c r="M7" s="10">
        <v>0.43613600000000002</v>
      </c>
      <c r="N7" s="10">
        <f t="shared" si="2"/>
        <v>0.8501088</v>
      </c>
      <c r="O7" s="10">
        <f t="shared" si="2"/>
        <v>1.2640815999999999</v>
      </c>
      <c r="P7" s="10">
        <f t="shared" si="2"/>
        <v>1.6780543999999999</v>
      </c>
      <c r="Q7" s="10">
        <f t="shared" si="2"/>
        <v>2.0920272</v>
      </c>
      <c r="R7" s="10">
        <v>2.5059999999999998</v>
      </c>
      <c r="S7" s="10">
        <f t="shared" si="3"/>
        <v>4.767059999999999</v>
      </c>
      <c r="T7" s="10">
        <f t="shared" si="3"/>
        <v>7.0281199999999995</v>
      </c>
      <c r="U7" s="10">
        <f t="shared" si="3"/>
        <v>9.2891799999999982</v>
      </c>
      <c r="V7" s="10">
        <f t="shared" si="3"/>
        <v>11.550239999999999</v>
      </c>
      <c r="W7" s="10">
        <v>13.811299999999999</v>
      </c>
      <c r="X7" s="10">
        <f t="shared" si="4"/>
        <v>13.29246</v>
      </c>
      <c r="Y7" s="10">
        <f t="shared" si="4"/>
        <v>12.773619999999999</v>
      </c>
      <c r="Z7" s="10">
        <f t="shared" si="4"/>
        <v>12.25478</v>
      </c>
      <c r="AA7" s="10">
        <f t="shared" si="4"/>
        <v>11.735939999999999</v>
      </c>
      <c r="AB7" s="10">
        <v>11.2171</v>
      </c>
      <c r="AC7" s="10">
        <f t="shared" si="5"/>
        <v>11.48254</v>
      </c>
      <c r="AD7" s="10">
        <f t="shared" si="5"/>
        <v>11.74798</v>
      </c>
      <c r="AE7" s="10">
        <f t="shared" si="5"/>
        <v>12.01342</v>
      </c>
      <c r="AF7" s="10">
        <f t="shared" si="5"/>
        <v>12.27886</v>
      </c>
      <c r="AG7" s="10">
        <v>12.5443</v>
      </c>
      <c r="AH7" s="10">
        <f>SUM(Tableau2[[#This Row],[2022]:[2050]])</f>
        <v>177.48558</v>
      </c>
    </row>
    <row r="8" spans="1:34" x14ac:dyDescent="0.15">
      <c r="A8" s="5" t="s">
        <v>20</v>
      </c>
      <c r="B8" s="5" t="s">
        <v>135</v>
      </c>
      <c r="C8" s="1" t="s">
        <v>23</v>
      </c>
      <c r="D8" s="5" t="s">
        <v>94</v>
      </c>
      <c r="E8" s="10">
        <v>0.15845699999999999</v>
      </c>
      <c r="F8" s="10">
        <f t="shared" si="0"/>
        <v>0.16416866666666666</v>
      </c>
      <c r="G8" s="10">
        <f t="shared" si="0"/>
        <v>0.16988033333333333</v>
      </c>
      <c r="H8" s="10">
        <v>0.175592</v>
      </c>
      <c r="I8" s="10">
        <f t="shared" si="1"/>
        <v>0.20341319999999999</v>
      </c>
      <c r="J8" s="10">
        <f t="shared" si="1"/>
        <v>0.23123440000000001</v>
      </c>
      <c r="K8" s="10">
        <f t="shared" si="1"/>
        <v>0.2590556</v>
      </c>
      <c r="L8" s="10">
        <f t="shared" si="1"/>
        <v>0.28687679999999999</v>
      </c>
      <c r="M8" s="10">
        <v>0.31469799999999998</v>
      </c>
      <c r="N8" s="10">
        <f t="shared" si="2"/>
        <v>0.30927099999999996</v>
      </c>
      <c r="O8" s="10">
        <f t="shared" si="2"/>
        <v>0.303844</v>
      </c>
      <c r="P8" s="10">
        <f t="shared" si="2"/>
        <v>0.29841699999999999</v>
      </c>
      <c r="Q8" s="10">
        <f t="shared" si="2"/>
        <v>0.29299000000000003</v>
      </c>
      <c r="R8" s="10">
        <v>0.28756300000000001</v>
      </c>
      <c r="S8" s="10">
        <f t="shared" si="3"/>
        <v>0.2819488</v>
      </c>
      <c r="T8" s="10">
        <f t="shared" si="3"/>
        <v>0.27633459999999999</v>
      </c>
      <c r="U8" s="10">
        <f t="shared" si="3"/>
        <v>0.27072040000000003</v>
      </c>
      <c r="V8" s="10">
        <f t="shared" si="3"/>
        <v>0.26510620000000001</v>
      </c>
      <c r="W8" s="10">
        <v>0.259492</v>
      </c>
      <c r="X8" s="10">
        <f t="shared" si="4"/>
        <v>0.27344760000000001</v>
      </c>
      <c r="Y8" s="10">
        <f t="shared" si="4"/>
        <v>0.28740320000000003</v>
      </c>
      <c r="Z8" s="10">
        <f t="shared" si="4"/>
        <v>0.30135880000000004</v>
      </c>
      <c r="AA8" s="10">
        <f t="shared" si="4"/>
        <v>0.31531439999999999</v>
      </c>
      <c r="AB8" s="10">
        <v>0.32927000000000001</v>
      </c>
      <c r="AC8" s="10">
        <f t="shared" si="5"/>
        <v>0.34499920000000001</v>
      </c>
      <c r="AD8" s="10">
        <f t="shared" si="5"/>
        <v>0.3607284</v>
      </c>
      <c r="AE8" s="10">
        <f t="shared" si="5"/>
        <v>0.3764576</v>
      </c>
      <c r="AF8" s="10">
        <f t="shared" si="5"/>
        <v>0.3921868</v>
      </c>
      <c r="AG8" s="10">
        <v>0.407916</v>
      </c>
      <c r="AH8" s="9">
        <f>SUM(Tableau2[[#This Row],[2022]:[2050]])</f>
        <v>8.1981450000000002</v>
      </c>
    </row>
    <row r="9" spans="1:34" hidden="1" x14ac:dyDescent="0.15">
      <c r="A9" s="5" t="s">
        <v>20</v>
      </c>
      <c r="B9" s="5" t="s">
        <v>135</v>
      </c>
      <c r="C9" s="1" t="s">
        <v>23</v>
      </c>
      <c r="D9" s="5" t="s">
        <v>95</v>
      </c>
      <c r="E9" s="6">
        <v>0.15845699999999999</v>
      </c>
      <c r="F9" s="6">
        <f t="shared" si="0"/>
        <v>0.180978</v>
      </c>
      <c r="G9" s="6">
        <f t="shared" si="0"/>
        <v>0.20349899999999999</v>
      </c>
      <c r="H9" s="6">
        <v>0.22602</v>
      </c>
      <c r="I9" s="6">
        <f t="shared" si="1"/>
        <v>0.26273360000000001</v>
      </c>
      <c r="J9" s="6">
        <f t="shared" si="1"/>
        <v>0.29944720000000002</v>
      </c>
      <c r="K9" s="6">
        <f t="shared" si="1"/>
        <v>0.33616079999999998</v>
      </c>
      <c r="L9" s="6">
        <f t="shared" si="1"/>
        <v>0.37287439999999999</v>
      </c>
      <c r="M9" s="6">
        <v>0.40958800000000001</v>
      </c>
      <c r="N9" s="6">
        <f t="shared" si="2"/>
        <v>0.42279880000000003</v>
      </c>
      <c r="O9" s="6">
        <f t="shared" si="2"/>
        <v>0.4360096</v>
      </c>
      <c r="P9" s="6">
        <f t="shared" si="2"/>
        <v>0.44922040000000002</v>
      </c>
      <c r="Q9" s="6">
        <f t="shared" si="2"/>
        <v>0.46243119999999999</v>
      </c>
      <c r="R9" s="6">
        <v>0.47564200000000001</v>
      </c>
      <c r="S9" s="6">
        <f t="shared" si="3"/>
        <v>0.47936299999999998</v>
      </c>
      <c r="T9" s="6">
        <f t="shared" si="3"/>
        <v>0.48308400000000001</v>
      </c>
      <c r="U9" s="6">
        <f t="shared" si="3"/>
        <v>0.48680499999999999</v>
      </c>
      <c r="V9" s="6">
        <f t="shared" si="3"/>
        <v>0.49052600000000002</v>
      </c>
      <c r="W9" s="6">
        <v>0.49424699999999999</v>
      </c>
      <c r="X9" s="6">
        <f t="shared" si="4"/>
        <v>0.50366339999999998</v>
      </c>
      <c r="Y9" s="6">
        <f t="shared" si="4"/>
        <v>0.51307979999999997</v>
      </c>
      <c r="Z9" s="6">
        <f t="shared" si="4"/>
        <v>0.52249619999999997</v>
      </c>
      <c r="AA9" s="6">
        <f t="shared" si="4"/>
        <v>0.53191259999999996</v>
      </c>
      <c r="AB9" s="6">
        <v>0.54132899999999995</v>
      </c>
      <c r="AC9" s="6">
        <f t="shared" si="5"/>
        <v>0.5616816</v>
      </c>
      <c r="AD9" s="6">
        <f t="shared" si="5"/>
        <v>0.58203419999999995</v>
      </c>
      <c r="AE9" s="6">
        <f t="shared" si="5"/>
        <v>0.6023868</v>
      </c>
      <c r="AF9" s="6">
        <f t="shared" si="5"/>
        <v>0.62273939999999994</v>
      </c>
      <c r="AG9" s="6">
        <v>0.643092</v>
      </c>
      <c r="AH9" s="9">
        <f>SUM(Tableau2[[#This Row],[2022]:[2050]])</f>
        <v>12.754300000000001</v>
      </c>
    </row>
    <row r="10" spans="1:34" hidden="1" x14ac:dyDescent="0.15">
      <c r="A10" s="5" t="s">
        <v>20</v>
      </c>
      <c r="B10" s="5" t="s">
        <v>135</v>
      </c>
      <c r="C10" s="1" t="s">
        <v>23</v>
      </c>
      <c r="D10" s="5" t="s">
        <v>96</v>
      </c>
      <c r="E10" s="10">
        <v>0.15845699999999999</v>
      </c>
      <c r="F10" s="10">
        <f t="shared" si="0"/>
        <v>0.19965233333333332</v>
      </c>
      <c r="G10" s="10">
        <f t="shared" si="0"/>
        <v>0.24084766666666665</v>
      </c>
      <c r="H10" s="10">
        <v>0.28204299999999999</v>
      </c>
      <c r="I10" s="10">
        <f t="shared" si="1"/>
        <v>0.3717512</v>
      </c>
      <c r="J10" s="10">
        <f t="shared" si="1"/>
        <v>0.46145939999999996</v>
      </c>
      <c r="K10" s="10">
        <f t="shared" si="1"/>
        <v>0.55116759999999998</v>
      </c>
      <c r="L10" s="10">
        <f t="shared" si="1"/>
        <v>0.6408758</v>
      </c>
      <c r="M10" s="10">
        <v>0.73058400000000001</v>
      </c>
      <c r="N10" s="10">
        <f t="shared" si="2"/>
        <v>0.73005719999999996</v>
      </c>
      <c r="O10" s="10">
        <f t="shared" si="2"/>
        <v>0.72953040000000002</v>
      </c>
      <c r="P10" s="10">
        <f t="shared" si="2"/>
        <v>0.72900359999999997</v>
      </c>
      <c r="Q10" s="10">
        <f t="shared" si="2"/>
        <v>0.72847680000000004</v>
      </c>
      <c r="R10" s="10">
        <v>0.72794999999999999</v>
      </c>
      <c r="S10" s="10">
        <f t="shared" si="3"/>
        <v>0.72057640000000001</v>
      </c>
      <c r="T10" s="10">
        <f t="shared" si="3"/>
        <v>0.71320280000000003</v>
      </c>
      <c r="U10" s="10">
        <f t="shared" si="3"/>
        <v>0.70582919999999993</v>
      </c>
      <c r="V10" s="10">
        <f t="shared" si="3"/>
        <v>0.69845559999999995</v>
      </c>
      <c r="W10" s="10">
        <v>0.69108199999999997</v>
      </c>
      <c r="X10" s="10">
        <f t="shared" si="4"/>
        <v>0.64734179999999997</v>
      </c>
      <c r="Y10" s="10">
        <f t="shared" si="4"/>
        <v>0.60360159999999996</v>
      </c>
      <c r="Z10" s="10">
        <f t="shared" si="4"/>
        <v>0.55986139999999995</v>
      </c>
      <c r="AA10" s="10">
        <f t="shared" si="4"/>
        <v>0.51612119999999995</v>
      </c>
      <c r="AB10" s="10">
        <v>0.472381</v>
      </c>
      <c r="AC10" s="10">
        <f t="shared" si="5"/>
        <v>0.52702740000000003</v>
      </c>
      <c r="AD10" s="10">
        <f t="shared" si="5"/>
        <v>0.58167380000000002</v>
      </c>
      <c r="AE10" s="10">
        <f t="shared" si="5"/>
        <v>0.6363202</v>
      </c>
      <c r="AF10" s="10">
        <f t="shared" si="5"/>
        <v>0.69096659999999999</v>
      </c>
      <c r="AG10" s="10">
        <v>0.74561299999999997</v>
      </c>
      <c r="AH10" s="10">
        <f>SUM(Tableau2[[#This Row],[2022]:[2050]])</f>
        <v>16.791909999999994</v>
      </c>
    </row>
    <row r="11" spans="1:34" x14ac:dyDescent="0.15">
      <c r="A11" s="5" t="s">
        <v>91</v>
      </c>
      <c r="B11" s="5" t="s">
        <v>92</v>
      </c>
      <c r="C11" s="1" t="s">
        <v>1</v>
      </c>
      <c r="D11" s="5" t="s">
        <v>94</v>
      </c>
      <c r="E11" s="10">
        <v>0.40629199999999999</v>
      </c>
      <c r="F11" s="10">
        <f t="shared" si="0"/>
        <v>0.40829833333333332</v>
      </c>
      <c r="G11" s="10">
        <f t="shared" si="0"/>
        <v>0.41030466666666665</v>
      </c>
      <c r="H11" s="10">
        <v>0.41231099999999998</v>
      </c>
      <c r="I11" s="10">
        <f t="shared" si="1"/>
        <v>0.4040802</v>
      </c>
      <c r="J11" s="10">
        <f t="shared" si="1"/>
        <v>0.39584940000000002</v>
      </c>
      <c r="K11" s="10">
        <f t="shared" si="1"/>
        <v>0.38761859999999998</v>
      </c>
      <c r="L11" s="10">
        <f t="shared" si="1"/>
        <v>0.3793878</v>
      </c>
      <c r="M11" s="10">
        <v>0.37115700000000001</v>
      </c>
      <c r="N11" s="10">
        <f t="shared" si="2"/>
        <v>0.37265540000000003</v>
      </c>
      <c r="O11" s="10">
        <f t="shared" si="2"/>
        <v>0.37415380000000004</v>
      </c>
      <c r="P11" s="10">
        <f t="shared" si="2"/>
        <v>0.37565219999999999</v>
      </c>
      <c r="Q11" s="10">
        <f t="shared" si="2"/>
        <v>0.3771506</v>
      </c>
      <c r="R11" s="10">
        <v>0.37864900000000001</v>
      </c>
      <c r="S11" s="10">
        <f t="shared" si="3"/>
        <v>0.38292920000000003</v>
      </c>
      <c r="T11" s="10">
        <f t="shared" si="3"/>
        <v>0.38720940000000004</v>
      </c>
      <c r="U11" s="10">
        <f t="shared" si="3"/>
        <v>0.39148959999999999</v>
      </c>
      <c r="V11" s="10">
        <f t="shared" si="3"/>
        <v>0.3957698</v>
      </c>
      <c r="W11" s="10">
        <v>0.40005000000000002</v>
      </c>
      <c r="X11" s="10">
        <f t="shared" si="4"/>
        <v>0.40952880000000003</v>
      </c>
      <c r="Y11" s="10">
        <f t="shared" si="4"/>
        <v>0.41900760000000004</v>
      </c>
      <c r="Z11" s="10">
        <f t="shared" si="4"/>
        <v>0.42848639999999999</v>
      </c>
      <c r="AA11" s="10">
        <f t="shared" si="4"/>
        <v>0.4379652</v>
      </c>
      <c r="AB11" s="10">
        <v>0.44744400000000001</v>
      </c>
      <c r="AC11" s="10">
        <f t="shared" si="5"/>
        <v>0.45594580000000001</v>
      </c>
      <c r="AD11" s="10">
        <f t="shared" si="5"/>
        <v>0.46444760000000002</v>
      </c>
      <c r="AE11" s="10">
        <f t="shared" si="5"/>
        <v>0.47294940000000002</v>
      </c>
      <c r="AF11" s="10">
        <f t="shared" si="5"/>
        <v>0.48145120000000002</v>
      </c>
      <c r="AG11" s="10">
        <v>0.48995300000000003</v>
      </c>
      <c r="AH11" s="9">
        <f>SUM(Tableau2[[#This Row],[2022]:[2050]])</f>
        <v>11.918187000000003</v>
      </c>
    </row>
    <row r="12" spans="1:34" hidden="1" x14ac:dyDescent="0.15">
      <c r="A12" s="5" t="s">
        <v>91</v>
      </c>
      <c r="B12" s="5" t="s">
        <v>92</v>
      </c>
      <c r="C12" s="1" t="s">
        <v>1</v>
      </c>
      <c r="D12" s="5" t="s">
        <v>95</v>
      </c>
      <c r="E12" s="6">
        <v>0.40629199999999999</v>
      </c>
      <c r="F12" s="6">
        <f t="shared" si="0"/>
        <v>0.43390633333333334</v>
      </c>
      <c r="G12" s="6">
        <f t="shared" si="0"/>
        <v>0.46152066666666663</v>
      </c>
      <c r="H12" s="6">
        <v>0.48913499999999999</v>
      </c>
      <c r="I12" s="6">
        <f t="shared" si="1"/>
        <v>0.48783219999999999</v>
      </c>
      <c r="J12" s="6">
        <f t="shared" si="1"/>
        <v>0.4865294</v>
      </c>
      <c r="K12" s="6">
        <f t="shared" si="1"/>
        <v>0.48522660000000001</v>
      </c>
      <c r="L12" s="6">
        <f t="shared" si="1"/>
        <v>0.48392380000000002</v>
      </c>
      <c r="M12" s="6">
        <v>0.48262100000000002</v>
      </c>
      <c r="N12" s="6">
        <f t="shared" si="2"/>
        <v>0.49567360000000005</v>
      </c>
      <c r="O12" s="6">
        <f t="shared" si="2"/>
        <v>0.50872620000000002</v>
      </c>
      <c r="P12" s="6">
        <f t="shared" si="2"/>
        <v>0.52177879999999999</v>
      </c>
      <c r="Q12" s="6">
        <f t="shared" si="2"/>
        <v>0.53483140000000007</v>
      </c>
      <c r="R12" s="6">
        <v>0.54788400000000004</v>
      </c>
      <c r="S12" s="6">
        <f t="shared" si="3"/>
        <v>0.54629300000000003</v>
      </c>
      <c r="T12" s="6">
        <f t="shared" si="3"/>
        <v>0.54470200000000002</v>
      </c>
      <c r="U12" s="6">
        <f t="shared" si="3"/>
        <v>0.54311100000000001</v>
      </c>
      <c r="V12" s="6">
        <f t="shared" si="3"/>
        <v>0.54152</v>
      </c>
      <c r="W12" s="6">
        <v>0.53992899999999999</v>
      </c>
      <c r="X12" s="6">
        <f t="shared" si="4"/>
        <v>0.54746459999999997</v>
      </c>
      <c r="Y12" s="6">
        <f t="shared" si="4"/>
        <v>0.55500019999999994</v>
      </c>
      <c r="Z12" s="6">
        <f t="shared" si="4"/>
        <v>0.56253580000000003</v>
      </c>
      <c r="AA12" s="6">
        <f t="shared" si="4"/>
        <v>0.57007140000000001</v>
      </c>
      <c r="AB12" s="6">
        <v>0.57760699999999998</v>
      </c>
      <c r="AC12" s="6">
        <f t="shared" si="5"/>
        <v>0.57647300000000001</v>
      </c>
      <c r="AD12" s="6">
        <f t="shared" si="5"/>
        <v>0.57533900000000004</v>
      </c>
      <c r="AE12" s="6">
        <f t="shared" si="5"/>
        <v>0.57420499999999997</v>
      </c>
      <c r="AF12" s="6">
        <f t="shared" si="5"/>
        <v>0.573071</v>
      </c>
      <c r="AG12" s="6">
        <v>0.57193700000000003</v>
      </c>
      <c r="AH12" s="9">
        <f>SUM(Tableau2[[#This Row],[2022]:[2050]])</f>
        <v>15.22514</v>
      </c>
    </row>
    <row r="13" spans="1:34" hidden="1" x14ac:dyDescent="0.15">
      <c r="A13" s="5" t="s">
        <v>91</v>
      </c>
      <c r="B13" s="5" t="s">
        <v>92</v>
      </c>
      <c r="C13" s="1" t="s">
        <v>1</v>
      </c>
      <c r="D13" s="5" t="s">
        <v>96</v>
      </c>
      <c r="E13" s="10">
        <v>0.40629199999999999</v>
      </c>
      <c r="F13" s="10">
        <f t="shared" si="0"/>
        <v>0.52415566666666669</v>
      </c>
      <c r="G13" s="10">
        <f t="shared" si="0"/>
        <v>0.64201933333333328</v>
      </c>
      <c r="H13" s="10">
        <v>0.75988299999999998</v>
      </c>
      <c r="I13" s="10">
        <f t="shared" si="1"/>
        <v>0.84629639999999995</v>
      </c>
      <c r="J13" s="10">
        <f t="shared" si="1"/>
        <v>0.93270980000000003</v>
      </c>
      <c r="K13" s="10">
        <f t="shared" si="1"/>
        <v>1.0191232000000001</v>
      </c>
      <c r="L13" s="10">
        <f t="shared" si="1"/>
        <v>1.1055366</v>
      </c>
      <c r="M13" s="10">
        <v>1.1919500000000001</v>
      </c>
      <c r="N13" s="10">
        <f t="shared" si="2"/>
        <v>1.173794</v>
      </c>
      <c r="O13" s="10">
        <f t="shared" si="2"/>
        <v>1.1556379999999999</v>
      </c>
      <c r="P13" s="10">
        <f t="shared" si="2"/>
        <v>1.1374820000000001</v>
      </c>
      <c r="Q13" s="10">
        <f t="shared" si="2"/>
        <v>1.119326</v>
      </c>
      <c r="R13" s="10">
        <v>1.10117</v>
      </c>
      <c r="S13" s="10">
        <f t="shared" si="3"/>
        <v>1.067321</v>
      </c>
      <c r="T13" s="10">
        <f t="shared" si="3"/>
        <v>1.0334719999999999</v>
      </c>
      <c r="U13" s="10">
        <f t="shared" si="3"/>
        <v>0.99962299999999993</v>
      </c>
      <c r="V13" s="10">
        <f t="shared" si="3"/>
        <v>0.96577400000000002</v>
      </c>
      <c r="W13" s="10">
        <v>0.931925</v>
      </c>
      <c r="X13" s="10">
        <f t="shared" si="4"/>
        <v>0.86118099999999997</v>
      </c>
      <c r="Y13" s="10">
        <f t="shared" si="4"/>
        <v>0.79043700000000006</v>
      </c>
      <c r="Z13" s="10">
        <f t="shared" si="4"/>
        <v>0.71969300000000003</v>
      </c>
      <c r="AA13" s="10">
        <f t="shared" si="4"/>
        <v>0.648949</v>
      </c>
      <c r="AB13" s="10">
        <v>0.57820499999999997</v>
      </c>
      <c r="AC13" s="10">
        <f t="shared" si="5"/>
        <v>0.54489359999999998</v>
      </c>
      <c r="AD13" s="10">
        <f t="shared" si="5"/>
        <v>0.51158219999999999</v>
      </c>
      <c r="AE13" s="10">
        <f t="shared" si="5"/>
        <v>0.4782708</v>
      </c>
      <c r="AF13" s="10">
        <f t="shared" si="5"/>
        <v>0.4449594</v>
      </c>
      <c r="AG13" s="10">
        <v>0.41164800000000001</v>
      </c>
      <c r="AH13" s="10">
        <f>SUM(Tableau2[[#This Row],[2022]:[2050]])</f>
        <v>24.103309999999993</v>
      </c>
    </row>
    <row r="14" spans="1:34" hidden="1" x14ac:dyDescent="0.15">
      <c r="A14" s="5" t="s">
        <v>43</v>
      </c>
      <c r="B14" s="5" t="s">
        <v>3511</v>
      </c>
      <c r="C14" s="1" t="s">
        <v>2</v>
      </c>
      <c r="D14" s="5" t="s">
        <v>95</v>
      </c>
      <c r="E14" s="5">
        <v>130.79300000000001</v>
      </c>
      <c r="F14" s="6">
        <f t="shared" si="0"/>
        <v>153.85936666666669</v>
      </c>
      <c r="G14" s="6">
        <f t="shared" si="0"/>
        <v>176.92573333333334</v>
      </c>
      <c r="H14" s="6">
        <v>199.99210000000002</v>
      </c>
      <c r="I14" s="6">
        <f t="shared" si="1"/>
        <v>244.87968000000001</v>
      </c>
      <c r="J14" s="6">
        <f t="shared" si="1"/>
        <v>289.76725999999996</v>
      </c>
      <c r="K14" s="6">
        <f t="shared" si="1"/>
        <v>334.65483999999998</v>
      </c>
      <c r="L14" s="6">
        <f t="shared" si="1"/>
        <v>379.54241999999999</v>
      </c>
      <c r="M14" s="6">
        <v>424.42999999999995</v>
      </c>
      <c r="N14" s="6">
        <f t="shared" si="2"/>
        <v>420.72919999999999</v>
      </c>
      <c r="O14" s="6">
        <f t="shared" si="2"/>
        <v>417.02839999999998</v>
      </c>
      <c r="P14" s="6">
        <f t="shared" si="2"/>
        <v>413.32760000000002</v>
      </c>
      <c r="Q14" s="6">
        <f t="shared" si="2"/>
        <v>409.6268</v>
      </c>
      <c r="R14" s="6">
        <v>405.92600000000004</v>
      </c>
      <c r="S14" s="6">
        <f t="shared" si="3"/>
        <v>422.31000000000006</v>
      </c>
      <c r="T14" s="6">
        <f t="shared" si="3"/>
        <v>438.69400000000002</v>
      </c>
      <c r="U14" s="6">
        <f t="shared" si="3"/>
        <v>455.07800000000003</v>
      </c>
      <c r="V14" s="6">
        <f t="shared" si="3"/>
        <v>471.46199999999999</v>
      </c>
      <c r="W14" s="6">
        <v>487.846</v>
      </c>
      <c r="X14" s="6">
        <f t="shared" si="4"/>
        <v>463.3218</v>
      </c>
      <c r="Y14" s="6">
        <f t="shared" si="4"/>
        <v>438.79759999999999</v>
      </c>
      <c r="Z14" s="6">
        <f t="shared" si="4"/>
        <v>414.27340000000004</v>
      </c>
      <c r="AA14" s="6">
        <f t="shared" si="4"/>
        <v>389.74920000000003</v>
      </c>
      <c r="AB14" s="6">
        <v>365.22500000000002</v>
      </c>
      <c r="AC14" s="6">
        <f t="shared" si="5"/>
        <v>377.48540000000003</v>
      </c>
      <c r="AD14" s="6">
        <f t="shared" si="5"/>
        <v>389.74580000000003</v>
      </c>
      <c r="AE14" s="6">
        <f t="shared" si="5"/>
        <v>402.00620000000004</v>
      </c>
      <c r="AF14" s="6">
        <f t="shared" si="5"/>
        <v>414.26660000000004</v>
      </c>
      <c r="AG14" s="6">
        <v>426.52700000000004</v>
      </c>
      <c r="AH14" s="9">
        <f>SUM(Tableau2[[#This Row],[2022]:[2050]])</f>
        <v>10758.270400000001</v>
      </c>
    </row>
    <row r="15" spans="1:34" x14ac:dyDescent="0.15">
      <c r="A15" s="5" t="s">
        <v>43</v>
      </c>
      <c r="B15" s="5" t="s">
        <v>3511</v>
      </c>
      <c r="C15" s="1" t="s">
        <v>2</v>
      </c>
      <c r="D15" s="5" t="s">
        <v>94</v>
      </c>
      <c r="E15" s="11">
        <v>130.79300000000001</v>
      </c>
      <c r="F15" s="10">
        <f t="shared" si="0"/>
        <v>141.4556</v>
      </c>
      <c r="G15" s="10">
        <f t="shared" si="0"/>
        <v>152.1182</v>
      </c>
      <c r="H15" s="10">
        <v>162.7808</v>
      </c>
      <c r="I15" s="10">
        <f t="shared" si="1"/>
        <v>188.71564000000001</v>
      </c>
      <c r="J15" s="10">
        <f t="shared" si="1"/>
        <v>214.65047999999999</v>
      </c>
      <c r="K15" s="10">
        <f t="shared" si="1"/>
        <v>240.58532</v>
      </c>
      <c r="L15" s="10">
        <f t="shared" si="1"/>
        <v>266.52015999999998</v>
      </c>
      <c r="M15" s="10">
        <v>292.45499999999998</v>
      </c>
      <c r="N15" s="10">
        <f t="shared" si="2"/>
        <v>282.72705999999999</v>
      </c>
      <c r="O15" s="10">
        <f t="shared" si="2"/>
        <v>272.99912</v>
      </c>
      <c r="P15" s="10">
        <f t="shared" si="2"/>
        <v>263.27117999999996</v>
      </c>
      <c r="Q15" s="10">
        <f t="shared" si="2"/>
        <v>253.54323999999997</v>
      </c>
      <c r="R15" s="10">
        <v>243.81529999999998</v>
      </c>
      <c r="S15" s="10">
        <f t="shared" si="3"/>
        <v>267.38292000000001</v>
      </c>
      <c r="T15" s="10">
        <f t="shared" si="3"/>
        <v>290.95053999999999</v>
      </c>
      <c r="U15" s="10">
        <f t="shared" si="3"/>
        <v>314.51816000000002</v>
      </c>
      <c r="V15" s="10">
        <f t="shared" si="3"/>
        <v>338.08578</v>
      </c>
      <c r="W15" s="10">
        <v>361.65340000000003</v>
      </c>
      <c r="X15" s="10">
        <f t="shared" si="4"/>
        <v>339.29048</v>
      </c>
      <c r="Y15" s="10">
        <f t="shared" si="4"/>
        <v>316.92756000000003</v>
      </c>
      <c r="Z15" s="10">
        <f t="shared" si="4"/>
        <v>294.56464</v>
      </c>
      <c r="AA15" s="10">
        <f t="shared" si="4"/>
        <v>272.20172000000002</v>
      </c>
      <c r="AB15" s="10">
        <v>249.83879999999999</v>
      </c>
      <c r="AC15" s="10">
        <f t="shared" si="5"/>
        <v>247.07934</v>
      </c>
      <c r="AD15" s="10">
        <f t="shared" si="5"/>
        <v>244.31987999999998</v>
      </c>
      <c r="AE15" s="10">
        <f t="shared" si="5"/>
        <v>241.56041999999999</v>
      </c>
      <c r="AF15" s="10">
        <f t="shared" si="5"/>
        <v>238.80095999999998</v>
      </c>
      <c r="AG15" s="10">
        <v>236.04149999999998</v>
      </c>
      <c r="AH15" s="9">
        <f>SUM(Tableau2[[#This Row],[2022]:[2050]])</f>
        <v>7359.6462000000001</v>
      </c>
    </row>
    <row r="16" spans="1:34" hidden="1" x14ac:dyDescent="0.15">
      <c r="A16" s="5" t="s">
        <v>43</v>
      </c>
      <c r="B16" s="5" t="s">
        <v>3511</v>
      </c>
      <c r="C16" s="1" t="s">
        <v>2</v>
      </c>
      <c r="D16" s="5" t="s">
        <v>96</v>
      </c>
      <c r="E16" s="11">
        <v>130.79300000000001</v>
      </c>
      <c r="F16" s="10">
        <f t="shared" si="0"/>
        <v>192.7379</v>
      </c>
      <c r="G16" s="10">
        <f t="shared" si="0"/>
        <v>254.68279999999999</v>
      </c>
      <c r="H16" s="10">
        <v>316.6277</v>
      </c>
      <c r="I16" s="10">
        <f t="shared" si="1"/>
        <v>384.72316000000001</v>
      </c>
      <c r="J16" s="10">
        <f t="shared" si="1"/>
        <v>452.81862000000001</v>
      </c>
      <c r="K16" s="10">
        <f t="shared" si="1"/>
        <v>520.91408000000001</v>
      </c>
      <c r="L16" s="10">
        <f t="shared" si="1"/>
        <v>589.00954000000002</v>
      </c>
      <c r="M16" s="10">
        <v>657.10500000000002</v>
      </c>
      <c r="N16" s="10">
        <f t="shared" si="2"/>
        <v>640.42899999999997</v>
      </c>
      <c r="O16" s="10">
        <f t="shared" si="2"/>
        <v>623.75299999999993</v>
      </c>
      <c r="P16" s="10">
        <f t="shared" si="2"/>
        <v>607.077</v>
      </c>
      <c r="Q16" s="10">
        <f t="shared" si="2"/>
        <v>590.40099999999995</v>
      </c>
      <c r="R16" s="10">
        <v>573.72499999999991</v>
      </c>
      <c r="S16" s="10">
        <f t="shared" si="3"/>
        <v>573.12899999999991</v>
      </c>
      <c r="T16" s="10">
        <f t="shared" si="3"/>
        <v>572.53300000000002</v>
      </c>
      <c r="U16" s="10">
        <f t="shared" si="3"/>
        <v>571.93700000000001</v>
      </c>
      <c r="V16" s="10">
        <f t="shared" si="3"/>
        <v>571.34100000000012</v>
      </c>
      <c r="W16" s="10">
        <v>570.74500000000012</v>
      </c>
      <c r="X16" s="10">
        <f t="shared" si="4"/>
        <v>528.53520000000015</v>
      </c>
      <c r="Y16" s="10">
        <f t="shared" si="4"/>
        <v>486.32540000000006</v>
      </c>
      <c r="Z16" s="10">
        <f t="shared" si="4"/>
        <v>444.11560000000009</v>
      </c>
      <c r="AA16" s="10">
        <f t="shared" si="4"/>
        <v>401.90580000000006</v>
      </c>
      <c r="AB16" s="10">
        <v>359.69600000000003</v>
      </c>
      <c r="AC16" s="10">
        <f t="shared" si="5"/>
        <v>348.56120000000004</v>
      </c>
      <c r="AD16" s="10">
        <f t="shared" si="5"/>
        <v>337.42640000000006</v>
      </c>
      <c r="AE16" s="10">
        <f t="shared" si="5"/>
        <v>326.29160000000002</v>
      </c>
      <c r="AF16" s="10">
        <f t="shared" si="5"/>
        <v>315.15680000000003</v>
      </c>
      <c r="AG16" s="10">
        <v>304.02200000000005</v>
      </c>
      <c r="AH16" s="10">
        <f>SUM(Tableau2[[#This Row],[2022]:[2050]])</f>
        <v>13246.517800000005</v>
      </c>
    </row>
    <row r="17" spans="1:37" x14ac:dyDescent="0.15">
      <c r="A17" s="5" t="s">
        <v>20</v>
      </c>
      <c r="B17" s="5" t="s">
        <v>16</v>
      </c>
      <c r="C17" s="1" t="s">
        <v>2</v>
      </c>
      <c r="D17" s="5" t="s">
        <v>94</v>
      </c>
      <c r="E17" s="10">
        <v>50.316000000000003</v>
      </c>
      <c r="F17" s="10">
        <f t="shared" si="0"/>
        <v>51.60306666666667</v>
      </c>
      <c r="G17" s="10">
        <f t="shared" si="0"/>
        <v>52.890133333333331</v>
      </c>
      <c r="H17" s="10">
        <v>54.177199999999999</v>
      </c>
      <c r="I17" s="10">
        <f t="shared" si="1"/>
        <v>57.876759999999997</v>
      </c>
      <c r="J17" s="10">
        <f t="shared" si="1"/>
        <v>61.576319999999996</v>
      </c>
      <c r="K17" s="10">
        <f t="shared" si="1"/>
        <v>65.275880000000001</v>
      </c>
      <c r="L17" s="10">
        <f t="shared" si="1"/>
        <v>68.975439999999992</v>
      </c>
      <c r="M17" s="10">
        <v>72.674999999999997</v>
      </c>
      <c r="N17" s="10">
        <f t="shared" si="2"/>
        <v>72.275139999999993</v>
      </c>
      <c r="O17" s="10">
        <f t="shared" si="2"/>
        <v>71.875280000000004</v>
      </c>
      <c r="P17" s="10">
        <f t="shared" si="2"/>
        <v>71.47542</v>
      </c>
      <c r="Q17" s="10">
        <f t="shared" si="2"/>
        <v>71.07556000000001</v>
      </c>
      <c r="R17" s="10">
        <v>70.675700000000006</v>
      </c>
      <c r="S17" s="10">
        <f t="shared" si="3"/>
        <v>69.713680000000011</v>
      </c>
      <c r="T17" s="10">
        <f t="shared" si="3"/>
        <v>68.751660000000001</v>
      </c>
      <c r="U17" s="10">
        <f t="shared" si="3"/>
        <v>67.789640000000006</v>
      </c>
      <c r="V17" s="10">
        <f t="shared" si="3"/>
        <v>66.827619999999996</v>
      </c>
      <c r="W17" s="10">
        <v>65.865600000000001</v>
      </c>
      <c r="X17" s="10">
        <f t="shared" si="4"/>
        <v>68.950919999999996</v>
      </c>
      <c r="Y17" s="10">
        <f t="shared" si="4"/>
        <v>72.036239999999992</v>
      </c>
      <c r="Z17" s="10">
        <f t="shared" si="4"/>
        <v>75.121559999999988</v>
      </c>
      <c r="AA17" s="10">
        <f t="shared" si="4"/>
        <v>78.206879999999998</v>
      </c>
      <c r="AB17" s="10">
        <v>81.292199999999994</v>
      </c>
      <c r="AC17" s="10">
        <f t="shared" si="5"/>
        <v>83.048059999999992</v>
      </c>
      <c r="AD17" s="10">
        <f t="shared" si="5"/>
        <v>84.803919999999991</v>
      </c>
      <c r="AE17" s="10">
        <f t="shared" si="5"/>
        <v>86.559780000000003</v>
      </c>
      <c r="AF17" s="10">
        <f t="shared" si="5"/>
        <v>88.315640000000002</v>
      </c>
      <c r="AG17" s="10">
        <v>90.0715</v>
      </c>
      <c r="AH17" s="9">
        <f>SUM(Tableau2[[#This Row],[2022]:[2050]])</f>
        <v>2040.0978000000002</v>
      </c>
    </row>
    <row r="18" spans="1:37" hidden="1" x14ac:dyDescent="0.15">
      <c r="A18" s="5" t="s">
        <v>20</v>
      </c>
      <c r="B18" s="5" t="s">
        <v>16</v>
      </c>
      <c r="C18" s="1" t="s">
        <v>2</v>
      </c>
      <c r="D18" s="5" t="s">
        <v>96</v>
      </c>
      <c r="E18" s="10">
        <v>50.316000000000003</v>
      </c>
      <c r="F18" s="10">
        <f t="shared" si="0"/>
        <v>63.805433333333333</v>
      </c>
      <c r="G18" s="10">
        <f t="shared" si="0"/>
        <v>77.294866666666664</v>
      </c>
      <c r="H18" s="10">
        <v>90.784300000000002</v>
      </c>
      <c r="I18" s="10">
        <f t="shared" si="1"/>
        <v>111.57724</v>
      </c>
      <c r="J18" s="10">
        <f t="shared" si="1"/>
        <v>132.37018</v>
      </c>
      <c r="K18" s="10">
        <f t="shared" si="1"/>
        <v>153.16311999999999</v>
      </c>
      <c r="L18" s="10">
        <f t="shared" si="1"/>
        <v>173.95605999999998</v>
      </c>
      <c r="M18" s="10">
        <v>194.749</v>
      </c>
      <c r="N18" s="10">
        <f t="shared" si="2"/>
        <v>192.66120000000001</v>
      </c>
      <c r="O18" s="10">
        <f t="shared" si="2"/>
        <v>190.57339999999999</v>
      </c>
      <c r="P18" s="10">
        <f t="shared" si="2"/>
        <v>188.48560000000001</v>
      </c>
      <c r="Q18" s="10">
        <f t="shared" si="2"/>
        <v>186.39779999999999</v>
      </c>
      <c r="R18" s="10">
        <v>184.31</v>
      </c>
      <c r="S18" s="10">
        <f t="shared" si="3"/>
        <v>177.512</v>
      </c>
      <c r="T18" s="10">
        <f t="shared" si="3"/>
        <v>170.714</v>
      </c>
      <c r="U18" s="10">
        <f t="shared" si="3"/>
        <v>163.916</v>
      </c>
      <c r="V18" s="10">
        <f t="shared" si="3"/>
        <v>157.11799999999999</v>
      </c>
      <c r="W18" s="10">
        <v>150.32</v>
      </c>
      <c r="X18" s="10">
        <f t="shared" si="4"/>
        <v>141.15899999999999</v>
      </c>
      <c r="Y18" s="10">
        <f t="shared" si="4"/>
        <v>131.99799999999999</v>
      </c>
      <c r="Z18" s="10">
        <f t="shared" si="4"/>
        <v>122.837</v>
      </c>
      <c r="AA18" s="10">
        <f t="shared" si="4"/>
        <v>113.676</v>
      </c>
      <c r="AB18" s="10">
        <v>104.515</v>
      </c>
      <c r="AC18" s="10">
        <f t="shared" si="5"/>
        <v>114.62860000000001</v>
      </c>
      <c r="AD18" s="10">
        <f t="shared" si="5"/>
        <v>124.7422</v>
      </c>
      <c r="AE18" s="10">
        <f t="shared" si="5"/>
        <v>134.85579999999999</v>
      </c>
      <c r="AF18" s="10">
        <f t="shared" si="5"/>
        <v>144.96940000000001</v>
      </c>
      <c r="AG18" s="10">
        <v>155.083</v>
      </c>
      <c r="AH18" s="10">
        <f>SUM(Tableau2[[#This Row],[2022]:[2050]])</f>
        <v>4098.4881999999998</v>
      </c>
    </row>
    <row r="19" spans="1:37" hidden="1" x14ac:dyDescent="0.15">
      <c r="A19" s="5" t="s">
        <v>20</v>
      </c>
      <c r="B19" s="5" t="s">
        <v>16</v>
      </c>
      <c r="C19" s="1" t="s">
        <v>2</v>
      </c>
      <c r="D19" s="5" t="s">
        <v>95</v>
      </c>
      <c r="E19" s="6">
        <v>50.316000000000003</v>
      </c>
      <c r="F19" s="6">
        <f t="shared" si="0"/>
        <v>56.085633333333334</v>
      </c>
      <c r="G19" s="6">
        <f t="shared" si="0"/>
        <v>61.855266666666665</v>
      </c>
      <c r="H19">
        <v>67.624899999999997</v>
      </c>
      <c r="I19" s="6">
        <f t="shared" si="1"/>
        <v>74.774720000000002</v>
      </c>
      <c r="J19" s="6">
        <f t="shared" si="1"/>
        <v>81.924539999999993</v>
      </c>
      <c r="K19" s="6">
        <f t="shared" si="1"/>
        <v>89.074359999999999</v>
      </c>
      <c r="L19" s="6">
        <f t="shared" si="1"/>
        <v>96.22417999999999</v>
      </c>
      <c r="M19">
        <v>103.374</v>
      </c>
      <c r="N19" s="6">
        <f t="shared" si="2"/>
        <v>105.8626</v>
      </c>
      <c r="O19" s="6">
        <f t="shared" si="2"/>
        <v>108.35119999999999</v>
      </c>
      <c r="P19" s="6">
        <f t="shared" si="2"/>
        <v>110.8398</v>
      </c>
      <c r="Q19" s="6">
        <f t="shared" si="2"/>
        <v>113.32839999999999</v>
      </c>
      <c r="R19">
        <v>115.81699999999999</v>
      </c>
      <c r="S19" s="6">
        <f t="shared" si="3"/>
        <v>116.36619999999999</v>
      </c>
      <c r="T19" s="6">
        <f t="shared" si="3"/>
        <v>116.91539999999999</v>
      </c>
      <c r="U19" s="6">
        <f t="shared" si="3"/>
        <v>117.4646</v>
      </c>
      <c r="V19" s="6">
        <f t="shared" si="3"/>
        <v>118.0138</v>
      </c>
      <c r="W19">
        <v>118.563</v>
      </c>
      <c r="X19" s="6">
        <f t="shared" si="4"/>
        <v>118.4456</v>
      </c>
      <c r="Y19" s="6">
        <f t="shared" si="4"/>
        <v>118.3282</v>
      </c>
      <c r="Z19" s="6">
        <f t="shared" si="4"/>
        <v>118.21080000000001</v>
      </c>
      <c r="AA19" s="6">
        <f t="shared" si="4"/>
        <v>118.0934</v>
      </c>
      <c r="AB19">
        <v>117.976</v>
      </c>
      <c r="AC19" s="6">
        <f t="shared" si="5"/>
        <v>120.657</v>
      </c>
      <c r="AD19" s="6">
        <f t="shared" si="5"/>
        <v>123.33799999999999</v>
      </c>
      <c r="AE19" s="6">
        <f t="shared" si="5"/>
        <v>126.01900000000001</v>
      </c>
      <c r="AF19" s="6">
        <f t="shared" si="5"/>
        <v>128.69999999999999</v>
      </c>
      <c r="AG19">
        <v>131.381</v>
      </c>
      <c r="AH19" s="9">
        <f>SUM(Tableau2[[#This Row],[2022]:[2050]])</f>
        <v>3043.9246000000007</v>
      </c>
    </row>
    <row r="20" spans="1:37" x14ac:dyDescent="0.15">
      <c r="A20" s="5" t="s">
        <v>142</v>
      </c>
      <c r="B20" s="5" t="s">
        <v>141</v>
      </c>
      <c r="C20" s="1" t="s">
        <v>3</v>
      </c>
      <c r="D20" s="5" t="s">
        <v>94</v>
      </c>
      <c r="E20" s="11">
        <v>3.58853</v>
      </c>
      <c r="F20" s="10">
        <f t="shared" si="0"/>
        <v>3.4224866666666665</v>
      </c>
      <c r="G20" s="10">
        <f t="shared" si="0"/>
        <v>3.2564433333333334</v>
      </c>
      <c r="H20" s="10">
        <v>3.0903999999999998</v>
      </c>
      <c r="I20" s="10">
        <f t="shared" si="1"/>
        <v>3.56325</v>
      </c>
      <c r="J20" s="10">
        <f t="shared" si="1"/>
        <v>4.0361000000000002</v>
      </c>
      <c r="K20" s="10">
        <f t="shared" si="1"/>
        <v>4.5089500000000005</v>
      </c>
      <c r="L20" s="10">
        <f t="shared" si="1"/>
        <v>4.9817999999999998</v>
      </c>
      <c r="M20" s="10">
        <v>5.45465</v>
      </c>
      <c r="N20" s="10">
        <f t="shared" si="2"/>
        <v>5.5984020000000001</v>
      </c>
      <c r="O20" s="10">
        <f t="shared" si="2"/>
        <v>5.7421540000000002</v>
      </c>
      <c r="P20" s="10">
        <f t="shared" si="2"/>
        <v>5.8859059999999994</v>
      </c>
      <c r="Q20" s="10">
        <f t="shared" si="2"/>
        <v>6.0296579999999995</v>
      </c>
      <c r="R20" s="10">
        <v>6.1734099999999996</v>
      </c>
      <c r="S20" s="10">
        <f t="shared" si="3"/>
        <v>5.8878139999999997</v>
      </c>
      <c r="T20" s="10">
        <f t="shared" si="3"/>
        <v>5.6022179999999997</v>
      </c>
      <c r="U20" s="10">
        <f t="shared" si="3"/>
        <v>5.3166219999999997</v>
      </c>
      <c r="V20" s="10">
        <f t="shared" si="3"/>
        <v>5.0310259999999998</v>
      </c>
      <c r="W20" s="10">
        <v>4.7454299999999998</v>
      </c>
      <c r="X20" s="10">
        <f t="shared" si="4"/>
        <v>4.2481260000000001</v>
      </c>
      <c r="Y20" s="10">
        <f t="shared" si="4"/>
        <v>3.7508219999999999</v>
      </c>
      <c r="Z20" s="10">
        <f t="shared" si="4"/>
        <v>3.2535180000000001</v>
      </c>
      <c r="AA20" s="10">
        <f t="shared" si="4"/>
        <v>2.7562139999999999</v>
      </c>
      <c r="AB20" s="10">
        <v>2.2589100000000002</v>
      </c>
      <c r="AC20" s="10">
        <f t="shared" si="5"/>
        <v>1.8071280000000001</v>
      </c>
      <c r="AD20" s="10">
        <f t="shared" si="5"/>
        <v>1.3553460000000002</v>
      </c>
      <c r="AE20" s="10">
        <f t="shared" si="5"/>
        <v>0.90356400000000026</v>
      </c>
      <c r="AF20" s="10">
        <f t="shared" si="5"/>
        <v>0.45178200000000013</v>
      </c>
      <c r="AG20" s="10">
        <v>0</v>
      </c>
      <c r="AH20" s="9">
        <f>SUM(Tableau2[[#This Row],[2022]:[2050]])</f>
        <v>112.70065999999998</v>
      </c>
    </row>
    <row r="21" spans="1:37" hidden="1" x14ac:dyDescent="0.15">
      <c r="A21" s="5" t="s">
        <v>142</v>
      </c>
      <c r="B21" s="5" t="s">
        <v>141</v>
      </c>
      <c r="C21" s="1" t="s">
        <v>3</v>
      </c>
      <c r="D21" s="5" t="s">
        <v>95</v>
      </c>
      <c r="E21" s="5">
        <v>3.58853</v>
      </c>
      <c r="F21" s="6">
        <f t="shared" si="0"/>
        <v>3.7899733333333332</v>
      </c>
      <c r="G21" s="6">
        <f t="shared" si="0"/>
        <v>3.9914166666666664</v>
      </c>
      <c r="H21">
        <v>4.1928599999999996</v>
      </c>
      <c r="I21" s="6">
        <f t="shared" si="1"/>
        <v>5.0628259999999994</v>
      </c>
      <c r="J21" s="6">
        <f t="shared" si="1"/>
        <v>5.9327920000000001</v>
      </c>
      <c r="K21" s="6">
        <f t="shared" si="1"/>
        <v>6.8027579999999999</v>
      </c>
      <c r="L21" s="6">
        <f t="shared" si="1"/>
        <v>7.6727240000000005</v>
      </c>
      <c r="M21">
        <v>8.5426900000000003</v>
      </c>
      <c r="N21" s="6">
        <f t="shared" si="2"/>
        <v>8.6858120000000003</v>
      </c>
      <c r="O21" s="6">
        <f t="shared" si="2"/>
        <v>8.8289340000000003</v>
      </c>
      <c r="P21" s="6">
        <f t="shared" si="2"/>
        <v>8.9720560000000003</v>
      </c>
      <c r="Q21" s="6">
        <f t="shared" si="2"/>
        <v>9.1151780000000002</v>
      </c>
      <c r="R21">
        <v>9.2583000000000002</v>
      </c>
      <c r="S21" s="6">
        <f t="shared" si="3"/>
        <v>8.9894180000000006</v>
      </c>
      <c r="T21" s="6">
        <f t="shared" si="3"/>
        <v>8.720536000000001</v>
      </c>
      <c r="U21" s="6">
        <f t="shared" si="3"/>
        <v>8.4516539999999996</v>
      </c>
      <c r="V21" s="6">
        <f t="shared" si="3"/>
        <v>8.1827719999999999</v>
      </c>
      <c r="W21">
        <v>7.9138900000000003</v>
      </c>
      <c r="X21" s="6">
        <f t="shared" si="4"/>
        <v>7.11273</v>
      </c>
      <c r="Y21" s="6">
        <f t="shared" si="4"/>
        <v>6.3115699999999997</v>
      </c>
      <c r="Z21" s="6">
        <f t="shared" si="4"/>
        <v>5.5104100000000003</v>
      </c>
      <c r="AA21" s="6">
        <f t="shared" si="4"/>
        <v>4.7092499999999999</v>
      </c>
      <c r="AB21">
        <v>3.9080900000000001</v>
      </c>
      <c r="AC21" s="6">
        <f t="shared" si="5"/>
        <v>3.1264720000000001</v>
      </c>
      <c r="AD21" s="6">
        <f t="shared" si="5"/>
        <v>2.3448539999999998</v>
      </c>
      <c r="AE21" s="6">
        <f t="shared" si="5"/>
        <v>1.5632359999999998</v>
      </c>
      <c r="AF21" s="6">
        <f t="shared" si="5"/>
        <v>0.78161799999999992</v>
      </c>
      <c r="AG21">
        <v>0</v>
      </c>
      <c r="AH21" s="9">
        <f>SUM(Tableau2[[#This Row],[2022]:[2050]])</f>
        <v>172.06334999999999</v>
      </c>
    </row>
    <row r="22" spans="1:37" hidden="1" x14ac:dyDescent="0.15">
      <c r="A22" s="5" t="s">
        <v>21</v>
      </c>
      <c r="B22" s="5" t="s">
        <v>141</v>
      </c>
      <c r="C22" s="1" t="s">
        <v>3</v>
      </c>
      <c r="D22" s="5" t="s">
        <v>96</v>
      </c>
      <c r="E22" s="10">
        <v>64.560599999999994</v>
      </c>
      <c r="F22" s="10">
        <f t="shared" ref="F22:G41" si="6">(($H22-$E22)/($H$1-$E$1))*(F$1-$E$1)+$E22</f>
        <v>86.51306666666666</v>
      </c>
      <c r="G22" s="10">
        <f t="shared" si="6"/>
        <v>108.46553333333333</v>
      </c>
      <c r="H22" s="10">
        <v>130.41800000000001</v>
      </c>
      <c r="I22" s="10">
        <f t="shared" ref="I22:L41" si="7">(($M22-$H22)/($M$1-$H$1))*(I$1-$H$1)+$H22</f>
        <v>141.93299999999999</v>
      </c>
      <c r="J22" s="10">
        <f t="shared" si="7"/>
        <v>153.44800000000001</v>
      </c>
      <c r="K22" s="10">
        <f t="shared" si="7"/>
        <v>164.96299999999999</v>
      </c>
      <c r="L22" s="10">
        <f t="shared" si="7"/>
        <v>176.47800000000001</v>
      </c>
      <c r="M22" s="10">
        <v>187.99299999999999</v>
      </c>
      <c r="N22" s="10">
        <f t="shared" ref="N22:Q41" si="8">(($R22-$M22)/($R$1-$M$1))*(N$1-$M$1)+$M22</f>
        <v>196.56</v>
      </c>
      <c r="O22" s="10">
        <f t="shared" si="8"/>
        <v>205.12700000000001</v>
      </c>
      <c r="P22" s="10">
        <f t="shared" si="8"/>
        <v>213.69400000000002</v>
      </c>
      <c r="Q22" s="10">
        <f t="shared" si="8"/>
        <v>222.261</v>
      </c>
      <c r="R22" s="10">
        <v>230.828</v>
      </c>
      <c r="S22" s="10">
        <f t="shared" ref="S22:V41" si="9">(($W22-$R22)/($W$1-$R$1))*(S$1-$R$1)+$R22</f>
        <v>233.45680000000002</v>
      </c>
      <c r="T22" s="10">
        <f t="shared" si="9"/>
        <v>236.0856</v>
      </c>
      <c r="U22" s="10">
        <f t="shared" si="9"/>
        <v>238.71440000000001</v>
      </c>
      <c r="V22" s="10">
        <f t="shared" si="9"/>
        <v>241.3432</v>
      </c>
      <c r="W22" s="10">
        <v>243.97200000000001</v>
      </c>
      <c r="X22" s="10">
        <f t="shared" ref="X22:AA41" si="10">(($AB22-$W22)/($AB$1-$W$1))*(X$1-$W$1)+$W22</f>
        <v>250.82040000000001</v>
      </c>
      <c r="Y22" s="10">
        <f t="shared" si="10"/>
        <v>257.66880000000003</v>
      </c>
      <c r="Z22" s="10">
        <f t="shared" si="10"/>
        <v>264.5172</v>
      </c>
      <c r="AA22" s="10">
        <f t="shared" si="10"/>
        <v>271.36559999999997</v>
      </c>
      <c r="AB22" s="10">
        <v>278.214</v>
      </c>
      <c r="AC22" s="10">
        <f t="shared" ref="AC22:AF41" si="11">(($AG22-$AB22)/($AG$1-$AB$1))*(AC$1-$AB$1)+$AB22</f>
        <v>280.68259999999998</v>
      </c>
      <c r="AD22" s="10">
        <f t="shared" si="11"/>
        <v>283.15120000000002</v>
      </c>
      <c r="AE22" s="10">
        <f t="shared" si="11"/>
        <v>285.6198</v>
      </c>
      <c r="AF22" s="10">
        <f t="shared" si="11"/>
        <v>288.08840000000004</v>
      </c>
      <c r="AG22" s="10">
        <v>290.55700000000002</v>
      </c>
      <c r="AH22" s="10">
        <f>SUM(Tableau2[[#This Row],[2022]:[2050]])</f>
        <v>6227.4991999999993</v>
      </c>
    </row>
    <row r="23" spans="1:37" x14ac:dyDescent="0.15">
      <c r="A23" s="5" t="s">
        <v>21</v>
      </c>
      <c r="B23" s="5" t="s">
        <v>141</v>
      </c>
      <c r="C23" s="1" t="s">
        <v>3</v>
      </c>
      <c r="D23" s="5" t="s">
        <v>94</v>
      </c>
      <c r="E23" s="10">
        <v>64.560599999999994</v>
      </c>
      <c r="F23" s="10">
        <f t="shared" si="6"/>
        <v>65.16376666666666</v>
      </c>
      <c r="G23" s="10">
        <f t="shared" si="6"/>
        <v>65.766933333333327</v>
      </c>
      <c r="H23" s="10">
        <v>66.370099999999994</v>
      </c>
      <c r="I23" s="10">
        <f t="shared" si="7"/>
        <v>67.883559999999989</v>
      </c>
      <c r="J23" s="10">
        <f t="shared" si="7"/>
        <v>69.397019999999998</v>
      </c>
      <c r="K23" s="10">
        <f t="shared" si="7"/>
        <v>70.910479999999993</v>
      </c>
      <c r="L23" s="10">
        <f t="shared" si="7"/>
        <v>72.423940000000002</v>
      </c>
      <c r="M23" s="10">
        <v>73.937399999999997</v>
      </c>
      <c r="N23" s="10">
        <f t="shared" si="8"/>
        <v>74.684479999999994</v>
      </c>
      <c r="O23" s="10">
        <f t="shared" si="8"/>
        <v>75.43155999999999</v>
      </c>
      <c r="P23" s="10">
        <f t="shared" si="8"/>
        <v>76.178640000000001</v>
      </c>
      <c r="Q23" s="10">
        <f t="shared" si="8"/>
        <v>76.925719999999998</v>
      </c>
      <c r="R23" s="10">
        <v>77.672799999999995</v>
      </c>
      <c r="S23" s="10">
        <f t="shared" si="9"/>
        <v>83.200040000000001</v>
      </c>
      <c r="T23" s="10">
        <f t="shared" si="9"/>
        <v>88.727279999999993</v>
      </c>
      <c r="U23" s="10">
        <f t="shared" si="9"/>
        <v>94.254519999999999</v>
      </c>
      <c r="V23" s="10">
        <f t="shared" si="9"/>
        <v>99.781759999999991</v>
      </c>
      <c r="W23" s="10">
        <v>105.309</v>
      </c>
      <c r="X23" s="10">
        <f t="shared" si="10"/>
        <v>111.0446</v>
      </c>
      <c r="Y23" s="10">
        <f t="shared" si="10"/>
        <v>116.78019999999999</v>
      </c>
      <c r="Z23" s="10">
        <f t="shared" si="10"/>
        <v>122.5158</v>
      </c>
      <c r="AA23" s="10">
        <f t="shared" si="10"/>
        <v>128.25139999999999</v>
      </c>
      <c r="AB23" s="10">
        <v>133.98699999999999</v>
      </c>
      <c r="AC23" s="10">
        <f t="shared" si="11"/>
        <v>136.31219999999999</v>
      </c>
      <c r="AD23" s="10">
        <f t="shared" si="11"/>
        <v>138.63739999999999</v>
      </c>
      <c r="AE23" s="10">
        <f t="shared" si="11"/>
        <v>140.96260000000001</v>
      </c>
      <c r="AF23" s="10">
        <f t="shared" si="11"/>
        <v>143.2878</v>
      </c>
      <c r="AG23" s="10">
        <v>145.613</v>
      </c>
      <c r="AH23" s="9">
        <f>SUM(Tableau2[[#This Row],[2022]:[2050]])</f>
        <v>2785.9715999999994</v>
      </c>
    </row>
    <row r="24" spans="1:37" hidden="1" x14ac:dyDescent="0.15">
      <c r="A24" s="5" t="s">
        <v>21</v>
      </c>
      <c r="B24" s="5" t="s">
        <v>141</v>
      </c>
      <c r="C24" s="1" t="s">
        <v>3</v>
      </c>
      <c r="D24" s="5" t="s">
        <v>95</v>
      </c>
      <c r="E24" s="6">
        <v>64.560599999999994</v>
      </c>
      <c r="F24" s="6">
        <f t="shared" si="6"/>
        <v>68.870599999999996</v>
      </c>
      <c r="G24" s="6">
        <f t="shared" si="6"/>
        <v>73.180599999999998</v>
      </c>
      <c r="H24">
        <v>77.490600000000001</v>
      </c>
      <c r="I24" s="6">
        <f t="shared" si="7"/>
        <v>84.575479999999999</v>
      </c>
      <c r="J24" s="6">
        <f t="shared" si="7"/>
        <v>91.660359999999997</v>
      </c>
      <c r="K24" s="6">
        <f t="shared" si="7"/>
        <v>98.745239999999995</v>
      </c>
      <c r="L24" s="6">
        <f t="shared" si="7"/>
        <v>105.83012000000001</v>
      </c>
      <c r="M24">
        <v>112.91500000000001</v>
      </c>
      <c r="N24" s="6">
        <f t="shared" si="8"/>
        <v>122.202</v>
      </c>
      <c r="O24" s="6">
        <f t="shared" si="8"/>
        <v>131.489</v>
      </c>
      <c r="P24" s="6">
        <f t="shared" si="8"/>
        <v>140.77600000000001</v>
      </c>
      <c r="Q24" s="6">
        <f t="shared" si="8"/>
        <v>150.06299999999999</v>
      </c>
      <c r="R24">
        <v>159.35</v>
      </c>
      <c r="S24" s="6">
        <f t="shared" si="9"/>
        <v>169.9958</v>
      </c>
      <c r="T24" s="6">
        <f t="shared" si="9"/>
        <v>180.64160000000001</v>
      </c>
      <c r="U24" s="6">
        <f t="shared" si="9"/>
        <v>191.28739999999999</v>
      </c>
      <c r="V24" s="6">
        <f t="shared" si="9"/>
        <v>201.9332</v>
      </c>
      <c r="W24">
        <v>212.57900000000001</v>
      </c>
      <c r="X24" s="6">
        <f t="shared" si="10"/>
        <v>221.63240000000002</v>
      </c>
      <c r="Y24" s="6">
        <f t="shared" si="10"/>
        <v>230.6858</v>
      </c>
      <c r="Z24" s="6">
        <f t="shared" si="10"/>
        <v>239.73920000000001</v>
      </c>
      <c r="AA24" s="6">
        <f t="shared" si="10"/>
        <v>248.79259999999999</v>
      </c>
      <c r="AB24">
        <v>257.846</v>
      </c>
      <c r="AC24" s="6">
        <f t="shared" si="11"/>
        <v>265.41419999999999</v>
      </c>
      <c r="AD24" s="6">
        <f t="shared" si="11"/>
        <v>272.98239999999998</v>
      </c>
      <c r="AE24" s="6">
        <f t="shared" si="11"/>
        <v>280.55060000000003</v>
      </c>
      <c r="AF24" s="6">
        <f t="shared" si="11"/>
        <v>288.11880000000002</v>
      </c>
      <c r="AG24">
        <v>295.68700000000001</v>
      </c>
      <c r="AH24" s="9">
        <f>SUM(Tableau2[[#This Row],[2022]:[2050]])</f>
        <v>5039.5946000000004</v>
      </c>
    </row>
    <row r="25" spans="1:37" hidden="1" x14ac:dyDescent="0.15">
      <c r="A25" s="5" t="s">
        <v>142</v>
      </c>
      <c r="B25" s="5" t="s">
        <v>141</v>
      </c>
      <c r="C25" s="1" t="s">
        <v>3</v>
      </c>
      <c r="D25" s="5" t="s">
        <v>96</v>
      </c>
      <c r="E25" s="11">
        <v>3.58853</v>
      </c>
      <c r="F25" s="10">
        <f t="shared" si="6"/>
        <v>4.4689033333333334</v>
      </c>
      <c r="G25" s="10">
        <f t="shared" si="6"/>
        <v>5.3492766666666665</v>
      </c>
      <c r="H25" s="10">
        <v>6.2296500000000004</v>
      </c>
      <c r="I25" s="10">
        <f t="shared" si="7"/>
        <v>8.3879400000000004</v>
      </c>
      <c r="J25" s="10">
        <f t="shared" si="7"/>
        <v>10.546230000000001</v>
      </c>
      <c r="K25" s="10">
        <f t="shared" si="7"/>
        <v>12.70452</v>
      </c>
      <c r="L25" s="10">
        <f t="shared" si="7"/>
        <v>14.86281</v>
      </c>
      <c r="M25" s="10">
        <v>17.021100000000001</v>
      </c>
      <c r="N25" s="10">
        <f t="shared" si="8"/>
        <v>17.16094</v>
      </c>
      <c r="O25" s="10">
        <f t="shared" si="8"/>
        <v>17.30078</v>
      </c>
      <c r="P25" s="10">
        <f t="shared" si="8"/>
        <v>17.440620000000003</v>
      </c>
      <c r="Q25" s="10">
        <f t="shared" si="8"/>
        <v>17.580460000000002</v>
      </c>
      <c r="R25" s="10">
        <v>17.720300000000002</v>
      </c>
      <c r="S25" s="10">
        <f t="shared" si="9"/>
        <v>17.063760000000002</v>
      </c>
      <c r="T25" s="10">
        <f t="shared" si="9"/>
        <v>16.407220000000002</v>
      </c>
      <c r="U25" s="10">
        <f t="shared" si="9"/>
        <v>15.750680000000001</v>
      </c>
      <c r="V25" s="10">
        <f t="shared" si="9"/>
        <v>15.094139999999999</v>
      </c>
      <c r="W25" s="10">
        <v>14.4376</v>
      </c>
      <c r="X25" s="10">
        <f t="shared" si="10"/>
        <v>12.940244</v>
      </c>
      <c r="Y25" s="10">
        <f t="shared" si="10"/>
        <v>11.442888</v>
      </c>
      <c r="Z25" s="10">
        <f t="shared" si="10"/>
        <v>9.945532</v>
      </c>
      <c r="AA25" s="10">
        <f t="shared" si="10"/>
        <v>8.4481760000000001</v>
      </c>
      <c r="AB25" s="10">
        <v>6.9508200000000002</v>
      </c>
      <c r="AC25" s="10">
        <f t="shared" si="11"/>
        <v>5.5606559999999998</v>
      </c>
      <c r="AD25" s="10">
        <f t="shared" si="11"/>
        <v>4.1704920000000003</v>
      </c>
      <c r="AE25" s="10">
        <f t="shared" si="11"/>
        <v>2.7803280000000008</v>
      </c>
      <c r="AF25" s="10">
        <f t="shared" si="11"/>
        <v>1.3901640000000004</v>
      </c>
      <c r="AG25" s="10">
        <v>0</v>
      </c>
      <c r="AH25" s="10">
        <f>SUM(Tableau2[[#This Row],[2022]:[2050]])</f>
        <v>312.7447600000001</v>
      </c>
      <c r="AK25" s="10"/>
    </row>
    <row r="26" spans="1:37" x14ac:dyDescent="0.15">
      <c r="A26" s="5" t="s">
        <v>22</v>
      </c>
      <c r="B26" s="5"/>
      <c r="C26" s="2" t="s">
        <v>3</v>
      </c>
      <c r="D26" s="5" t="s">
        <v>94</v>
      </c>
      <c r="E26" s="10">
        <v>1.07346E-2</v>
      </c>
      <c r="F26" s="10">
        <f t="shared" si="6"/>
        <v>1.0594966666666667E-2</v>
      </c>
      <c r="G26" s="10">
        <f t="shared" si="6"/>
        <v>1.0455333333333334E-2</v>
      </c>
      <c r="H26" s="10">
        <v>1.0315700000000001E-2</v>
      </c>
      <c r="I26" s="10">
        <f t="shared" si="7"/>
        <v>1.103312E-2</v>
      </c>
      <c r="J26" s="10">
        <f t="shared" si="7"/>
        <v>1.175054E-2</v>
      </c>
      <c r="K26" s="10">
        <f t="shared" si="7"/>
        <v>1.246796E-2</v>
      </c>
      <c r="L26" s="10">
        <f t="shared" si="7"/>
        <v>1.318538E-2</v>
      </c>
      <c r="M26" s="10">
        <v>1.39028E-2</v>
      </c>
      <c r="N26" s="10">
        <f t="shared" si="8"/>
        <v>1.2595864E-2</v>
      </c>
      <c r="O26" s="10">
        <f t="shared" si="8"/>
        <v>1.1288928E-2</v>
      </c>
      <c r="P26" s="10">
        <f t="shared" si="8"/>
        <v>9.9819919999999986E-3</v>
      </c>
      <c r="Q26" s="10">
        <f t="shared" si="8"/>
        <v>8.6750560000000004E-3</v>
      </c>
      <c r="R26" s="10">
        <v>7.3681199999999997E-3</v>
      </c>
      <c r="S26" s="10">
        <f t="shared" si="9"/>
        <v>6.5544619999999996E-3</v>
      </c>
      <c r="T26" s="10">
        <f t="shared" si="9"/>
        <v>5.7408040000000004E-3</v>
      </c>
      <c r="U26" s="10">
        <f t="shared" si="9"/>
        <v>4.9271460000000003E-3</v>
      </c>
      <c r="V26" s="10">
        <f t="shared" si="9"/>
        <v>4.1134880000000002E-3</v>
      </c>
      <c r="W26" s="10">
        <v>3.2998300000000001E-3</v>
      </c>
      <c r="X26" s="10">
        <f t="shared" si="10"/>
        <v>3.3521919999999999E-3</v>
      </c>
      <c r="Y26" s="10">
        <f t="shared" si="10"/>
        <v>3.4045540000000002E-3</v>
      </c>
      <c r="Z26" s="10">
        <f t="shared" si="10"/>
        <v>3.456916E-3</v>
      </c>
      <c r="AA26" s="10">
        <f t="shared" si="10"/>
        <v>3.5092780000000002E-3</v>
      </c>
      <c r="AB26" s="10">
        <v>3.56164E-3</v>
      </c>
      <c r="AC26" s="10">
        <f t="shared" si="11"/>
        <v>3.8400439999999999E-3</v>
      </c>
      <c r="AD26" s="10">
        <f t="shared" si="11"/>
        <v>4.1184480000000002E-3</v>
      </c>
      <c r="AE26" s="10">
        <f t="shared" si="11"/>
        <v>4.3968519999999997E-3</v>
      </c>
      <c r="AF26" s="10">
        <f t="shared" si="11"/>
        <v>4.675256E-3</v>
      </c>
      <c r="AG26" s="10">
        <v>4.9536600000000004E-3</v>
      </c>
      <c r="AH26" s="9">
        <f>SUM(Tableau2[[#This Row],[2022]:[2050]])</f>
        <v>0.21825492999999999</v>
      </c>
    </row>
    <row r="27" spans="1:37" hidden="1" x14ac:dyDescent="0.15">
      <c r="A27" s="5" t="s">
        <v>22</v>
      </c>
      <c r="B27" s="5"/>
      <c r="C27" s="2" t="s">
        <v>3</v>
      </c>
      <c r="D27" s="5" t="s">
        <v>95</v>
      </c>
      <c r="E27" s="6">
        <v>1.07346E-2</v>
      </c>
      <c r="F27" s="6">
        <f t="shared" si="6"/>
        <v>3.4218033333333335E-2</v>
      </c>
      <c r="G27" s="6">
        <f t="shared" si="6"/>
        <v>5.7701466666666673E-2</v>
      </c>
      <c r="H27">
        <v>8.1184900000000004E-2</v>
      </c>
      <c r="I27" s="6">
        <f t="shared" si="7"/>
        <v>8.8512320000000005E-2</v>
      </c>
      <c r="J27" s="6">
        <f t="shared" si="7"/>
        <v>9.5839740000000007E-2</v>
      </c>
      <c r="K27" s="6">
        <f t="shared" si="7"/>
        <v>0.10316716000000001</v>
      </c>
      <c r="L27" s="6">
        <f t="shared" si="7"/>
        <v>0.11049458</v>
      </c>
      <c r="M27">
        <v>0.117822</v>
      </c>
      <c r="N27" s="6">
        <f t="shared" si="8"/>
        <v>0.109362</v>
      </c>
      <c r="O27" s="6">
        <f t="shared" si="8"/>
        <v>0.10090199999999999</v>
      </c>
      <c r="P27" s="6">
        <f t="shared" si="8"/>
        <v>9.2441999999999996E-2</v>
      </c>
      <c r="Q27" s="6">
        <f t="shared" si="8"/>
        <v>8.3982000000000001E-2</v>
      </c>
      <c r="R27">
        <v>7.5522000000000006E-2</v>
      </c>
      <c r="S27" s="6">
        <f t="shared" si="9"/>
        <v>6.8507200000000004E-2</v>
      </c>
      <c r="T27" s="6">
        <f t="shared" si="9"/>
        <v>6.1492400000000003E-2</v>
      </c>
      <c r="U27" s="6">
        <f t="shared" si="9"/>
        <v>5.4477600000000001E-2</v>
      </c>
      <c r="V27" s="6">
        <f t="shared" si="9"/>
        <v>4.7462799999999999E-2</v>
      </c>
      <c r="W27">
        <v>4.0447999999999998E-2</v>
      </c>
      <c r="X27" s="6">
        <f t="shared" si="10"/>
        <v>4.0582219999999995E-2</v>
      </c>
      <c r="Y27" s="6">
        <f t="shared" si="10"/>
        <v>4.071644E-2</v>
      </c>
      <c r="Z27" s="6">
        <f t="shared" si="10"/>
        <v>4.0850659999999997E-2</v>
      </c>
      <c r="AA27" s="6">
        <f t="shared" si="10"/>
        <v>4.0984880000000001E-2</v>
      </c>
      <c r="AB27">
        <v>4.1119099999999999E-2</v>
      </c>
      <c r="AC27" s="6">
        <f t="shared" si="11"/>
        <v>4.3590119999999996E-2</v>
      </c>
      <c r="AD27" s="6">
        <f t="shared" si="11"/>
        <v>4.606114E-2</v>
      </c>
      <c r="AE27" s="6">
        <f t="shared" si="11"/>
        <v>4.8532159999999998E-2</v>
      </c>
      <c r="AF27" s="6">
        <f t="shared" si="11"/>
        <v>5.1003179999999995E-2</v>
      </c>
      <c r="AG27">
        <v>5.34742E-2</v>
      </c>
      <c r="AH27" s="9">
        <f>SUM(Tableau2[[#This Row],[2022]:[2050]])</f>
        <v>1.8811868999999992</v>
      </c>
    </row>
    <row r="28" spans="1:37" hidden="1" x14ac:dyDescent="0.15">
      <c r="A28" s="5" t="s">
        <v>22</v>
      </c>
      <c r="B28" s="5"/>
      <c r="C28" s="2" t="s">
        <v>3</v>
      </c>
      <c r="D28" s="5" t="s">
        <v>96</v>
      </c>
      <c r="E28" s="10">
        <v>1.07346E-2</v>
      </c>
      <c r="F28" s="10">
        <f t="shared" si="6"/>
        <v>5.7523400000000002E-2</v>
      </c>
      <c r="G28" s="10">
        <f t="shared" si="6"/>
        <v>0.10431219999999999</v>
      </c>
      <c r="H28" s="10">
        <v>0.15110100000000001</v>
      </c>
      <c r="I28" s="10">
        <f t="shared" si="7"/>
        <v>0.18129420000000002</v>
      </c>
      <c r="J28" s="10">
        <f t="shared" si="7"/>
        <v>0.21148739999999999</v>
      </c>
      <c r="K28" s="10">
        <f t="shared" si="7"/>
        <v>0.2416806</v>
      </c>
      <c r="L28" s="10">
        <f t="shared" si="7"/>
        <v>0.2718738</v>
      </c>
      <c r="M28" s="10">
        <v>0.30206699999999997</v>
      </c>
      <c r="N28" s="10">
        <f t="shared" si="8"/>
        <v>0.2828426</v>
      </c>
      <c r="O28" s="10">
        <f t="shared" si="8"/>
        <v>0.26361819999999997</v>
      </c>
      <c r="P28" s="10">
        <f t="shared" si="8"/>
        <v>0.24439379999999999</v>
      </c>
      <c r="Q28" s="10">
        <f t="shared" si="8"/>
        <v>0.22516939999999999</v>
      </c>
      <c r="R28" s="10">
        <v>0.20594499999999999</v>
      </c>
      <c r="S28" s="10">
        <f t="shared" si="9"/>
        <v>0.18091437999999999</v>
      </c>
      <c r="T28" s="10">
        <f t="shared" si="9"/>
        <v>0.15588375999999998</v>
      </c>
      <c r="U28" s="10">
        <f t="shared" si="9"/>
        <v>0.13085314000000001</v>
      </c>
      <c r="V28" s="10">
        <f t="shared" si="9"/>
        <v>0.10582252</v>
      </c>
      <c r="W28" s="10">
        <v>8.07919E-2</v>
      </c>
      <c r="X28" s="10">
        <f t="shared" si="10"/>
        <v>7.5717339999999994E-2</v>
      </c>
      <c r="Y28" s="10">
        <f t="shared" si="10"/>
        <v>7.0642780000000002E-2</v>
      </c>
      <c r="Z28" s="10">
        <f t="shared" si="10"/>
        <v>6.5568219999999997E-2</v>
      </c>
      <c r="AA28" s="10">
        <f t="shared" si="10"/>
        <v>6.0493659999999998E-2</v>
      </c>
      <c r="AB28" s="10">
        <v>5.5419099999999999E-2</v>
      </c>
      <c r="AC28" s="10">
        <f t="shared" si="11"/>
        <v>5.9509079999999999E-2</v>
      </c>
      <c r="AD28" s="10">
        <f t="shared" si="11"/>
        <v>6.3599059999999999E-2</v>
      </c>
      <c r="AE28" s="10">
        <f t="shared" si="11"/>
        <v>6.7689040000000006E-2</v>
      </c>
      <c r="AF28" s="10">
        <f t="shared" si="11"/>
        <v>7.1779019999999999E-2</v>
      </c>
      <c r="AG28" s="10">
        <v>7.5869000000000006E-2</v>
      </c>
      <c r="AH28" s="10">
        <f>SUM(Tableau2[[#This Row],[2022]:[2050]])</f>
        <v>4.0745952000000001</v>
      </c>
      <c r="AJ28" s="10"/>
    </row>
    <row r="29" spans="1:37" x14ac:dyDescent="0.15">
      <c r="A29" s="5" t="s">
        <v>142</v>
      </c>
      <c r="B29" s="5" t="s">
        <v>141</v>
      </c>
      <c r="C29" s="1" t="s">
        <v>4</v>
      </c>
      <c r="D29" s="5" t="s">
        <v>94</v>
      </c>
      <c r="E29" s="10">
        <v>20.4468</v>
      </c>
      <c r="F29" s="10">
        <f t="shared" si="6"/>
        <v>26.445766666666668</v>
      </c>
      <c r="G29" s="10">
        <f t="shared" si="6"/>
        <v>32.444733333333332</v>
      </c>
      <c r="H29" s="10">
        <v>38.4437</v>
      </c>
      <c r="I29" s="10">
        <f t="shared" si="7"/>
        <v>47.300539999999998</v>
      </c>
      <c r="J29" s="10">
        <f t="shared" si="7"/>
        <v>56.157380000000003</v>
      </c>
      <c r="K29" s="10">
        <f t="shared" si="7"/>
        <v>65.014220000000009</v>
      </c>
      <c r="L29" s="10">
        <f t="shared" si="7"/>
        <v>73.87106</v>
      </c>
      <c r="M29" s="10">
        <v>82.727900000000005</v>
      </c>
      <c r="N29" s="10">
        <f t="shared" si="8"/>
        <v>96.899720000000002</v>
      </c>
      <c r="O29" s="10">
        <f t="shared" si="8"/>
        <v>111.07154</v>
      </c>
      <c r="P29" s="10">
        <f t="shared" si="8"/>
        <v>125.24336</v>
      </c>
      <c r="Q29" s="10">
        <f t="shared" si="8"/>
        <v>139.41517999999999</v>
      </c>
      <c r="R29" s="10">
        <v>153.58699999999999</v>
      </c>
      <c r="S29" s="10">
        <f t="shared" si="9"/>
        <v>167.92019999999999</v>
      </c>
      <c r="T29" s="10">
        <f t="shared" si="9"/>
        <v>182.2534</v>
      </c>
      <c r="U29" s="10">
        <f t="shared" si="9"/>
        <v>196.58659999999998</v>
      </c>
      <c r="V29" s="10">
        <f t="shared" si="9"/>
        <v>210.91979999999998</v>
      </c>
      <c r="W29" s="10">
        <v>225.25299999999999</v>
      </c>
      <c r="X29" s="10">
        <f t="shared" si="10"/>
        <v>227.89919999999998</v>
      </c>
      <c r="Y29" s="10">
        <f t="shared" si="10"/>
        <v>230.5454</v>
      </c>
      <c r="Z29" s="10">
        <f t="shared" si="10"/>
        <v>233.19159999999999</v>
      </c>
      <c r="AA29" s="10">
        <f t="shared" si="10"/>
        <v>235.83780000000002</v>
      </c>
      <c r="AB29" s="10">
        <v>238.48400000000001</v>
      </c>
      <c r="AC29" s="10">
        <f t="shared" si="11"/>
        <v>234.732</v>
      </c>
      <c r="AD29" s="10">
        <f t="shared" si="11"/>
        <v>230.98</v>
      </c>
      <c r="AE29" s="10">
        <f t="shared" si="11"/>
        <v>227.22800000000001</v>
      </c>
      <c r="AF29" s="10">
        <f t="shared" si="11"/>
        <v>223.476</v>
      </c>
      <c r="AG29" s="10">
        <v>219.72399999999999</v>
      </c>
      <c r="AH29" s="9">
        <f>SUM(Tableau2[[#This Row],[2022]:[2050]])</f>
        <v>4354.0998999999993</v>
      </c>
    </row>
    <row r="30" spans="1:37" hidden="1" x14ac:dyDescent="0.15">
      <c r="A30" s="5" t="s">
        <v>143</v>
      </c>
      <c r="B30" s="5" t="s">
        <v>144</v>
      </c>
      <c r="C30" s="1" t="s">
        <v>4</v>
      </c>
      <c r="D30" s="5" t="s">
        <v>96</v>
      </c>
      <c r="E30" s="10">
        <v>4181.6099999999997</v>
      </c>
      <c r="F30" s="10">
        <f t="shared" si="6"/>
        <v>4462.4933333333329</v>
      </c>
      <c r="G30" s="10">
        <f t="shared" si="6"/>
        <v>4743.376666666667</v>
      </c>
      <c r="H30" s="10">
        <v>5024.26</v>
      </c>
      <c r="I30" s="10">
        <f t="shared" si="7"/>
        <v>5804.1280000000006</v>
      </c>
      <c r="J30" s="10">
        <f t="shared" si="7"/>
        <v>6583.9960000000001</v>
      </c>
      <c r="K30" s="10">
        <f t="shared" si="7"/>
        <v>7363.8640000000005</v>
      </c>
      <c r="L30" s="10">
        <f t="shared" si="7"/>
        <v>8143.732</v>
      </c>
      <c r="M30" s="10">
        <v>8923.6</v>
      </c>
      <c r="N30" s="10">
        <f t="shared" si="8"/>
        <v>9427.7800000000007</v>
      </c>
      <c r="O30" s="10">
        <f t="shared" si="8"/>
        <v>9931.9600000000009</v>
      </c>
      <c r="P30" s="10">
        <f t="shared" si="8"/>
        <v>10436.14</v>
      </c>
      <c r="Q30" s="10">
        <f t="shared" si="8"/>
        <v>10940.32</v>
      </c>
      <c r="R30" s="10">
        <v>11444.5</v>
      </c>
      <c r="S30" s="10">
        <f t="shared" si="9"/>
        <v>11670.48</v>
      </c>
      <c r="T30" s="10">
        <f t="shared" si="9"/>
        <v>11896.46</v>
      </c>
      <c r="U30" s="10">
        <f t="shared" si="9"/>
        <v>12122.44</v>
      </c>
      <c r="V30" s="10">
        <f t="shared" si="9"/>
        <v>12348.42</v>
      </c>
      <c r="W30" s="10">
        <v>12574.4</v>
      </c>
      <c r="X30" s="10">
        <f t="shared" si="10"/>
        <v>12410.9</v>
      </c>
      <c r="Y30" s="10">
        <f t="shared" si="10"/>
        <v>12247.4</v>
      </c>
      <c r="Z30" s="10">
        <f t="shared" si="10"/>
        <v>12083.9</v>
      </c>
      <c r="AA30" s="10">
        <f t="shared" si="10"/>
        <v>11920.4</v>
      </c>
      <c r="AB30" s="10">
        <v>11756.9</v>
      </c>
      <c r="AC30" s="10">
        <f t="shared" si="11"/>
        <v>11361.088</v>
      </c>
      <c r="AD30" s="10">
        <f t="shared" si="11"/>
        <v>10965.276</v>
      </c>
      <c r="AE30" s="10">
        <f t="shared" si="11"/>
        <v>10569.464</v>
      </c>
      <c r="AF30" s="10">
        <f t="shared" si="11"/>
        <v>10173.652</v>
      </c>
      <c r="AG30" s="10">
        <v>9777.84</v>
      </c>
      <c r="AH30" s="10">
        <f>SUM(Tableau2[[#This Row],[2022]:[2050]])</f>
        <v>281290.77999999997</v>
      </c>
      <c r="AJ30" s="10"/>
    </row>
    <row r="31" spans="1:37" hidden="1" x14ac:dyDescent="0.15">
      <c r="A31" s="5" t="s">
        <v>142</v>
      </c>
      <c r="B31" s="5" t="s">
        <v>141</v>
      </c>
      <c r="C31" s="1" t="s">
        <v>4</v>
      </c>
      <c r="D31" s="5" t="s">
        <v>95</v>
      </c>
      <c r="E31" s="6">
        <v>20.4468</v>
      </c>
      <c r="F31" s="6">
        <f t="shared" si="6"/>
        <v>31.017200000000003</v>
      </c>
      <c r="G31" s="6">
        <f t="shared" si="6"/>
        <v>41.587600000000002</v>
      </c>
      <c r="H31">
        <v>52.158000000000001</v>
      </c>
      <c r="I31" s="6">
        <f t="shared" si="7"/>
        <v>67.638999999999996</v>
      </c>
      <c r="J31" s="6">
        <f t="shared" si="7"/>
        <v>83.12</v>
      </c>
      <c r="K31" s="6">
        <f t="shared" si="7"/>
        <v>98.600999999999999</v>
      </c>
      <c r="L31" s="6">
        <f t="shared" si="7"/>
        <v>114.08199999999999</v>
      </c>
      <c r="M31">
        <v>129.56299999999999</v>
      </c>
      <c r="N31" s="6">
        <f t="shared" si="8"/>
        <v>149.7174</v>
      </c>
      <c r="O31" s="6">
        <f t="shared" si="8"/>
        <v>169.87180000000001</v>
      </c>
      <c r="P31" s="6">
        <f t="shared" si="8"/>
        <v>190.02619999999999</v>
      </c>
      <c r="Q31" s="6">
        <f t="shared" si="8"/>
        <v>210.1806</v>
      </c>
      <c r="R31">
        <v>230.33500000000001</v>
      </c>
      <c r="S31" s="6">
        <f t="shared" si="9"/>
        <v>259.39820000000003</v>
      </c>
      <c r="T31" s="6">
        <f t="shared" si="9"/>
        <v>288.46140000000003</v>
      </c>
      <c r="U31" s="6">
        <f t="shared" si="9"/>
        <v>317.52460000000002</v>
      </c>
      <c r="V31" s="6">
        <f t="shared" si="9"/>
        <v>346.58780000000002</v>
      </c>
      <c r="W31">
        <v>375.65100000000001</v>
      </c>
      <c r="X31" s="6">
        <f t="shared" si="10"/>
        <v>383.03960000000001</v>
      </c>
      <c r="Y31" s="6">
        <f t="shared" si="10"/>
        <v>390.4282</v>
      </c>
      <c r="Z31" s="6">
        <f t="shared" si="10"/>
        <v>397.8168</v>
      </c>
      <c r="AA31" s="6">
        <f t="shared" si="10"/>
        <v>405.2054</v>
      </c>
      <c r="AB31">
        <v>412.59399999999999</v>
      </c>
      <c r="AC31" s="6">
        <f t="shared" si="11"/>
        <v>418.83620000000002</v>
      </c>
      <c r="AD31" s="6">
        <f t="shared" si="11"/>
        <v>425.07839999999999</v>
      </c>
      <c r="AE31" s="6">
        <f t="shared" si="11"/>
        <v>431.32060000000001</v>
      </c>
      <c r="AF31" s="6">
        <f t="shared" si="11"/>
        <v>437.56279999999998</v>
      </c>
      <c r="AG31">
        <v>443.80500000000001</v>
      </c>
      <c r="AH31" s="9">
        <f>SUM(Tableau2[[#This Row],[2022]:[2050]])</f>
        <v>7321.6556</v>
      </c>
    </row>
    <row r="32" spans="1:37" hidden="1" x14ac:dyDescent="0.15">
      <c r="A32" s="5" t="s">
        <v>143</v>
      </c>
      <c r="B32" s="5" t="s">
        <v>144</v>
      </c>
      <c r="C32" s="2" t="s">
        <v>4</v>
      </c>
      <c r="D32" s="5" t="s">
        <v>95</v>
      </c>
      <c r="E32" s="6">
        <v>4181.6099999999997</v>
      </c>
      <c r="F32" s="6">
        <f t="shared" si="6"/>
        <v>4436.163333333333</v>
      </c>
      <c r="G32" s="6">
        <f t="shared" si="6"/>
        <v>4690.7166666666672</v>
      </c>
      <c r="H32">
        <v>4945.2700000000004</v>
      </c>
      <c r="I32" s="6">
        <f t="shared" si="7"/>
        <v>5444.2080000000005</v>
      </c>
      <c r="J32" s="6">
        <f t="shared" si="7"/>
        <v>5943.1460000000006</v>
      </c>
      <c r="K32" s="6">
        <f t="shared" si="7"/>
        <v>6442.0840000000007</v>
      </c>
      <c r="L32" s="6">
        <f t="shared" si="7"/>
        <v>6941.0219999999999</v>
      </c>
      <c r="M32">
        <v>7439.96</v>
      </c>
      <c r="N32" s="6">
        <f t="shared" si="8"/>
        <v>7630.848</v>
      </c>
      <c r="O32" s="6">
        <f t="shared" si="8"/>
        <v>7821.7359999999999</v>
      </c>
      <c r="P32" s="6">
        <f t="shared" si="8"/>
        <v>8012.6239999999998</v>
      </c>
      <c r="Q32" s="6">
        <f t="shared" si="8"/>
        <v>8203.5119999999988</v>
      </c>
      <c r="R32">
        <v>8394.4</v>
      </c>
      <c r="S32" s="6">
        <f t="shared" si="9"/>
        <v>8527.268</v>
      </c>
      <c r="T32" s="6">
        <f t="shared" si="9"/>
        <v>8660.1360000000004</v>
      </c>
      <c r="U32" s="6">
        <f t="shared" si="9"/>
        <v>8793.003999999999</v>
      </c>
      <c r="V32" s="6">
        <f t="shared" si="9"/>
        <v>8925.8719999999994</v>
      </c>
      <c r="W32">
        <v>9058.74</v>
      </c>
      <c r="X32" s="6">
        <f t="shared" si="10"/>
        <v>9140.152</v>
      </c>
      <c r="Y32" s="6">
        <f t="shared" si="10"/>
        <v>9221.5640000000003</v>
      </c>
      <c r="Z32" s="6">
        <f t="shared" si="10"/>
        <v>9302.9759999999987</v>
      </c>
      <c r="AA32" s="6">
        <f t="shared" si="10"/>
        <v>9384.387999999999</v>
      </c>
      <c r="AB32">
        <v>9465.7999999999993</v>
      </c>
      <c r="AC32" s="6">
        <f t="shared" si="11"/>
        <v>9350.1080000000002</v>
      </c>
      <c r="AD32" s="6">
        <f t="shared" si="11"/>
        <v>9234.4159999999993</v>
      </c>
      <c r="AE32" s="6">
        <f t="shared" si="11"/>
        <v>9118.7240000000002</v>
      </c>
      <c r="AF32" s="6">
        <f t="shared" si="11"/>
        <v>9003.0319999999992</v>
      </c>
      <c r="AG32">
        <v>8887.34</v>
      </c>
      <c r="AH32" s="9">
        <f>SUM(Tableau2[[#This Row],[2022]:[2050]])</f>
        <v>226600.81999999998</v>
      </c>
    </row>
    <row r="33" spans="1:99" x14ac:dyDescent="0.15">
      <c r="A33" s="5" t="s">
        <v>143</v>
      </c>
      <c r="B33" s="5" t="s">
        <v>144</v>
      </c>
      <c r="C33" s="2" t="s">
        <v>4</v>
      </c>
      <c r="D33" s="5" t="s">
        <v>94</v>
      </c>
      <c r="E33" s="10">
        <v>4181.6099999999997</v>
      </c>
      <c r="F33" s="10">
        <f t="shared" si="6"/>
        <v>4314.0433333333331</v>
      </c>
      <c r="G33" s="10">
        <f t="shared" si="6"/>
        <v>4446.4766666666665</v>
      </c>
      <c r="H33" s="10">
        <v>4578.91</v>
      </c>
      <c r="I33" s="10">
        <f t="shared" si="7"/>
        <v>4965.1779999999999</v>
      </c>
      <c r="J33" s="10">
        <f t="shared" si="7"/>
        <v>5351.4459999999999</v>
      </c>
      <c r="K33" s="10">
        <f t="shared" si="7"/>
        <v>5737.7139999999999</v>
      </c>
      <c r="L33" s="10">
        <f t="shared" si="7"/>
        <v>6123.982</v>
      </c>
      <c r="M33" s="10">
        <v>6510.25</v>
      </c>
      <c r="N33" s="10">
        <f t="shared" si="8"/>
        <v>6510.366</v>
      </c>
      <c r="O33" s="10">
        <f t="shared" si="8"/>
        <v>6510.482</v>
      </c>
      <c r="P33" s="10">
        <f t="shared" si="8"/>
        <v>6510.598</v>
      </c>
      <c r="Q33" s="10">
        <f t="shared" si="8"/>
        <v>6510.7139999999999</v>
      </c>
      <c r="R33" s="10">
        <v>6510.83</v>
      </c>
      <c r="S33" s="10">
        <f t="shared" si="9"/>
        <v>6525.1440000000002</v>
      </c>
      <c r="T33" s="10">
        <f t="shared" si="9"/>
        <v>6539.4579999999996</v>
      </c>
      <c r="U33" s="10">
        <f t="shared" si="9"/>
        <v>6553.7719999999999</v>
      </c>
      <c r="V33" s="10">
        <f t="shared" si="9"/>
        <v>6568.0859999999993</v>
      </c>
      <c r="W33" s="10">
        <v>6582.4</v>
      </c>
      <c r="X33" s="10">
        <f t="shared" si="10"/>
        <v>6688.6059999999998</v>
      </c>
      <c r="Y33" s="10">
        <f t="shared" si="10"/>
        <v>6794.8119999999999</v>
      </c>
      <c r="Z33" s="10">
        <f t="shared" si="10"/>
        <v>6901.018</v>
      </c>
      <c r="AA33" s="10">
        <f t="shared" si="10"/>
        <v>7007.2240000000002</v>
      </c>
      <c r="AB33" s="10">
        <v>7113.43</v>
      </c>
      <c r="AC33" s="10">
        <f t="shared" si="11"/>
        <v>7087.2080000000005</v>
      </c>
      <c r="AD33" s="10">
        <f t="shared" si="11"/>
        <v>7060.9859999999999</v>
      </c>
      <c r="AE33" s="10">
        <f t="shared" si="11"/>
        <v>7034.7640000000001</v>
      </c>
      <c r="AF33" s="10">
        <f t="shared" si="11"/>
        <v>7008.5419999999995</v>
      </c>
      <c r="AG33" s="10">
        <v>6982.32</v>
      </c>
      <c r="AH33" s="9">
        <f>SUM(Tableau2[[#This Row],[2022]:[2050]])</f>
        <v>181210.36999999997</v>
      </c>
    </row>
    <row r="34" spans="1:99" hidden="1" x14ac:dyDescent="0.15">
      <c r="A34" s="5" t="s">
        <v>91</v>
      </c>
      <c r="B34" s="5"/>
      <c r="C34" s="2" t="s">
        <v>4</v>
      </c>
      <c r="D34" s="5" t="s">
        <v>96</v>
      </c>
      <c r="E34" s="10">
        <v>681.64499999999998</v>
      </c>
      <c r="F34" s="10">
        <f t="shared" si="6"/>
        <v>874.01666666666665</v>
      </c>
      <c r="G34" s="10">
        <f t="shared" si="6"/>
        <v>1066.3883333333333</v>
      </c>
      <c r="H34" s="10">
        <v>1258.76</v>
      </c>
      <c r="I34" s="10">
        <f t="shared" si="7"/>
        <v>1405.068</v>
      </c>
      <c r="J34" s="10">
        <f t="shared" si="7"/>
        <v>1551.376</v>
      </c>
      <c r="K34" s="10">
        <f t="shared" si="7"/>
        <v>1697.684</v>
      </c>
      <c r="L34" s="10">
        <f t="shared" si="7"/>
        <v>1843.992</v>
      </c>
      <c r="M34" s="10">
        <v>1990.3</v>
      </c>
      <c r="N34" s="10">
        <f t="shared" si="8"/>
        <v>2004.74</v>
      </c>
      <c r="O34" s="10">
        <f t="shared" si="8"/>
        <v>2019.18</v>
      </c>
      <c r="P34" s="10">
        <f t="shared" si="8"/>
        <v>2033.62</v>
      </c>
      <c r="Q34" s="10">
        <f t="shared" si="8"/>
        <v>2048.06</v>
      </c>
      <c r="R34" s="10">
        <v>2062.5</v>
      </c>
      <c r="S34" s="10">
        <f t="shared" si="9"/>
        <v>2055.27</v>
      </c>
      <c r="T34" s="10">
        <f t="shared" si="9"/>
        <v>2048.04</v>
      </c>
      <c r="U34" s="10">
        <f t="shared" si="9"/>
        <v>2040.81</v>
      </c>
      <c r="V34" s="10">
        <f t="shared" si="9"/>
        <v>2033.58</v>
      </c>
      <c r="W34" s="10">
        <v>2026.35</v>
      </c>
      <c r="X34" s="10">
        <f t="shared" si="10"/>
        <v>1955.82</v>
      </c>
      <c r="Y34" s="10">
        <f t="shared" si="10"/>
        <v>1885.29</v>
      </c>
      <c r="Z34" s="10">
        <f t="shared" si="10"/>
        <v>1814.76</v>
      </c>
      <c r="AA34" s="10">
        <f t="shared" si="10"/>
        <v>1744.23</v>
      </c>
      <c r="AB34" s="10">
        <v>1673.7</v>
      </c>
      <c r="AC34" s="10">
        <f t="shared" si="11"/>
        <v>1714.9159999999999</v>
      </c>
      <c r="AD34" s="10">
        <f t="shared" si="11"/>
        <v>1756.1320000000001</v>
      </c>
      <c r="AE34" s="10">
        <f t="shared" si="11"/>
        <v>1797.348</v>
      </c>
      <c r="AF34" s="10">
        <f t="shared" si="11"/>
        <v>1838.5640000000001</v>
      </c>
      <c r="AG34" s="10">
        <v>1879.78</v>
      </c>
      <c r="AH34" s="10">
        <f>SUM(Tableau2[[#This Row],[2022]:[2050]])</f>
        <v>50801.919999999991</v>
      </c>
    </row>
    <row r="35" spans="1:99" hidden="1" x14ac:dyDescent="0.15">
      <c r="A35" s="5" t="s">
        <v>21</v>
      </c>
      <c r="B35" s="5"/>
      <c r="C35" s="2" t="s">
        <v>4</v>
      </c>
      <c r="D35" s="5" t="s">
        <v>95</v>
      </c>
      <c r="E35" s="6">
        <v>373.33100000000002</v>
      </c>
      <c r="F35" s="6">
        <f t="shared" si="6"/>
        <v>478.44633333333337</v>
      </c>
      <c r="G35" s="6">
        <f t="shared" si="6"/>
        <v>583.56166666666672</v>
      </c>
      <c r="H35">
        <v>688.67700000000002</v>
      </c>
      <c r="I35" s="6">
        <f t="shared" si="7"/>
        <v>869.32760000000007</v>
      </c>
      <c r="J35" s="6">
        <f t="shared" si="7"/>
        <v>1049.9782</v>
      </c>
      <c r="K35" s="6">
        <f t="shared" si="7"/>
        <v>1230.6288</v>
      </c>
      <c r="L35" s="6">
        <f t="shared" si="7"/>
        <v>1411.2793999999999</v>
      </c>
      <c r="M35">
        <v>1591.93</v>
      </c>
      <c r="N35" s="6">
        <f t="shared" si="8"/>
        <v>1787.624</v>
      </c>
      <c r="O35" s="6">
        <f t="shared" si="8"/>
        <v>1983.3180000000002</v>
      </c>
      <c r="P35" s="6">
        <f t="shared" si="8"/>
        <v>2179.0120000000002</v>
      </c>
      <c r="Q35" s="6">
        <f t="shared" si="8"/>
        <v>2374.7060000000001</v>
      </c>
      <c r="R35">
        <v>2570.4</v>
      </c>
      <c r="S35" s="6">
        <f t="shared" si="9"/>
        <v>2683.2739999999999</v>
      </c>
      <c r="T35" s="6">
        <f t="shared" si="9"/>
        <v>2796.1480000000001</v>
      </c>
      <c r="U35" s="6">
        <f t="shared" si="9"/>
        <v>2909.0219999999999</v>
      </c>
      <c r="V35" s="6">
        <f t="shared" si="9"/>
        <v>3021.8960000000002</v>
      </c>
      <c r="W35">
        <v>3134.77</v>
      </c>
      <c r="X35" s="6">
        <f t="shared" si="10"/>
        <v>3156.0639999999999</v>
      </c>
      <c r="Y35" s="6">
        <f t="shared" si="10"/>
        <v>3177.3579999999997</v>
      </c>
      <c r="Z35" s="6">
        <f t="shared" si="10"/>
        <v>3198.652</v>
      </c>
      <c r="AA35" s="6">
        <f t="shared" si="10"/>
        <v>3219.9459999999999</v>
      </c>
      <c r="AB35">
        <v>3241.24</v>
      </c>
      <c r="AC35" s="6">
        <f t="shared" si="11"/>
        <v>3254.3579999999997</v>
      </c>
      <c r="AD35" s="6">
        <f t="shared" si="11"/>
        <v>3267.4759999999997</v>
      </c>
      <c r="AE35" s="6">
        <f t="shared" si="11"/>
        <v>3280.5940000000001</v>
      </c>
      <c r="AF35" s="6">
        <f t="shared" si="11"/>
        <v>3293.712</v>
      </c>
      <c r="AG35">
        <v>3306.83</v>
      </c>
      <c r="AH35" s="9">
        <f>SUM(Tableau2[[#This Row],[2022]:[2050]])</f>
        <v>66113.56</v>
      </c>
    </row>
    <row r="36" spans="1:99" x14ac:dyDescent="0.15">
      <c r="A36" s="5" t="s">
        <v>21</v>
      </c>
      <c r="B36" s="5"/>
      <c r="C36" s="2" t="s">
        <v>4</v>
      </c>
      <c r="D36" s="5" t="s">
        <v>94</v>
      </c>
      <c r="E36" s="10">
        <v>373.33100000000002</v>
      </c>
      <c r="F36" s="10">
        <f t="shared" si="6"/>
        <v>442.149</v>
      </c>
      <c r="G36" s="10">
        <f t="shared" si="6"/>
        <v>510.96699999999998</v>
      </c>
      <c r="H36" s="10">
        <v>579.78499999999997</v>
      </c>
      <c r="I36" s="10">
        <f t="shared" si="7"/>
        <v>672.65599999999995</v>
      </c>
      <c r="J36" s="10">
        <f t="shared" si="7"/>
        <v>765.52700000000004</v>
      </c>
      <c r="K36" s="10">
        <f t="shared" si="7"/>
        <v>858.39800000000002</v>
      </c>
      <c r="L36" s="10">
        <f t="shared" si="7"/>
        <v>951.26900000000001</v>
      </c>
      <c r="M36" s="10">
        <v>1044.1400000000001</v>
      </c>
      <c r="N36" s="10">
        <f t="shared" si="8"/>
        <v>1079.154</v>
      </c>
      <c r="O36" s="10">
        <f t="shared" si="8"/>
        <v>1114.1680000000001</v>
      </c>
      <c r="P36" s="10">
        <f t="shared" si="8"/>
        <v>1149.182</v>
      </c>
      <c r="Q36" s="10">
        <f t="shared" si="8"/>
        <v>1184.1960000000001</v>
      </c>
      <c r="R36" s="10">
        <v>1219.21</v>
      </c>
      <c r="S36" s="10">
        <f t="shared" si="9"/>
        <v>1259.6000000000001</v>
      </c>
      <c r="T36" s="10">
        <f t="shared" si="9"/>
        <v>1299.99</v>
      </c>
      <c r="U36" s="10">
        <f t="shared" si="9"/>
        <v>1340.38</v>
      </c>
      <c r="V36" s="10">
        <f t="shared" si="9"/>
        <v>1380.77</v>
      </c>
      <c r="W36" s="10">
        <v>1421.16</v>
      </c>
      <c r="X36" s="10">
        <f t="shared" si="10"/>
        <v>1428.46</v>
      </c>
      <c r="Y36" s="10">
        <f t="shared" si="10"/>
        <v>1435.76</v>
      </c>
      <c r="Z36" s="10">
        <f t="shared" si="10"/>
        <v>1443.0600000000002</v>
      </c>
      <c r="AA36" s="10">
        <f t="shared" si="10"/>
        <v>1450.3600000000001</v>
      </c>
      <c r="AB36" s="10">
        <v>1457.66</v>
      </c>
      <c r="AC36" s="10">
        <f t="shared" si="11"/>
        <v>1435.3020000000001</v>
      </c>
      <c r="AD36" s="10">
        <f t="shared" si="11"/>
        <v>1412.944</v>
      </c>
      <c r="AE36" s="10">
        <f t="shared" si="11"/>
        <v>1390.586</v>
      </c>
      <c r="AF36" s="10">
        <f t="shared" si="11"/>
        <v>1368.2279999999998</v>
      </c>
      <c r="AG36" s="10">
        <v>1345.87</v>
      </c>
      <c r="AH36" s="9">
        <f>SUM(Tableau2[[#This Row],[2022]:[2050]])</f>
        <v>32814.262000000002</v>
      </c>
    </row>
    <row r="37" spans="1:99" hidden="1" x14ac:dyDescent="0.15">
      <c r="A37" s="5" t="s">
        <v>20</v>
      </c>
      <c r="B37" s="5"/>
      <c r="C37" s="2" t="s">
        <v>4</v>
      </c>
      <c r="D37" s="5" t="s">
        <v>96</v>
      </c>
      <c r="E37" s="10">
        <v>393.79199999999997</v>
      </c>
      <c r="F37" s="10">
        <f t="shared" si="6"/>
        <v>497.4973333333333</v>
      </c>
      <c r="G37" s="10">
        <f t="shared" si="6"/>
        <v>601.20266666666669</v>
      </c>
      <c r="H37" s="10">
        <v>704.90800000000002</v>
      </c>
      <c r="I37" s="10">
        <f t="shared" si="7"/>
        <v>889.93439999999998</v>
      </c>
      <c r="J37" s="10">
        <f t="shared" si="7"/>
        <v>1074.9608000000001</v>
      </c>
      <c r="K37" s="10">
        <f t="shared" si="7"/>
        <v>1259.9872</v>
      </c>
      <c r="L37" s="10">
        <f t="shared" si="7"/>
        <v>1445.0136</v>
      </c>
      <c r="M37" s="10">
        <v>1630.04</v>
      </c>
      <c r="N37" s="10">
        <f t="shared" si="8"/>
        <v>1612.5619999999999</v>
      </c>
      <c r="O37" s="10">
        <f t="shared" si="8"/>
        <v>1595.0840000000001</v>
      </c>
      <c r="P37" s="10">
        <f t="shared" si="8"/>
        <v>1577.606</v>
      </c>
      <c r="Q37" s="10">
        <f t="shared" si="8"/>
        <v>1560.1280000000002</v>
      </c>
      <c r="R37" s="10">
        <v>1542.65</v>
      </c>
      <c r="S37" s="10">
        <f t="shared" si="9"/>
        <v>1499.6960000000001</v>
      </c>
      <c r="T37" s="10">
        <f t="shared" si="9"/>
        <v>1456.7420000000002</v>
      </c>
      <c r="U37" s="10">
        <f t="shared" si="9"/>
        <v>1413.788</v>
      </c>
      <c r="V37" s="10">
        <f t="shared" si="9"/>
        <v>1370.8340000000001</v>
      </c>
      <c r="W37" s="10">
        <v>1327.88</v>
      </c>
      <c r="X37" s="10">
        <f t="shared" si="10"/>
        <v>1238.5884000000001</v>
      </c>
      <c r="Y37" s="10">
        <f t="shared" si="10"/>
        <v>1149.2968000000001</v>
      </c>
      <c r="Z37" s="10">
        <f t="shared" si="10"/>
        <v>1060.0052000000001</v>
      </c>
      <c r="AA37" s="10">
        <f t="shared" si="10"/>
        <v>970.71360000000004</v>
      </c>
      <c r="AB37" s="10">
        <v>881.42200000000003</v>
      </c>
      <c r="AC37" s="10">
        <f t="shared" si="11"/>
        <v>965.7876</v>
      </c>
      <c r="AD37" s="10">
        <f t="shared" si="11"/>
        <v>1050.1532</v>
      </c>
      <c r="AE37" s="10">
        <f t="shared" si="11"/>
        <v>1134.5188000000001</v>
      </c>
      <c r="AF37" s="10">
        <f t="shared" si="11"/>
        <v>1218.8843999999999</v>
      </c>
      <c r="AG37" s="10">
        <v>1303.25</v>
      </c>
      <c r="AH37" s="10">
        <f>SUM(Tableau2[[#This Row],[2022]:[2050]])</f>
        <v>34426.926000000007</v>
      </c>
    </row>
    <row r="38" spans="1:99" x14ac:dyDescent="0.15">
      <c r="A38" s="5" t="s">
        <v>22</v>
      </c>
      <c r="B38" s="5"/>
      <c r="C38" s="2" t="s">
        <v>4</v>
      </c>
      <c r="D38" s="5" t="s">
        <v>94</v>
      </c>
      <c r="E38" s="10">
        <v>3.1968700000000001E-3</v>
      </c>
      <c r="F38" s="10">
        <f t="shared" si="6"/>
        <v>3.4248300000000002E-3</v>
      </c>
      <c r="G38" s="10">
        <f t="shared" si="6"/>
        <v>3.6527899999999999E-3</v>
      </c>
      <c r="H38" s="10">
        <v>3.8807500000000001E-3</v>
      </c>
      <c r="I38" s="10">
        <f t="shared" si="7"/>
        <v>4.456542E-3</v>
      </c>
      <c r="J38" s="10">
        <f t="shared" si="7"/>
        <v>5.0323340000000003E-3</v>
      </c>
      <c r="K38" s="10">
        <f t="shared" si="7"/>
        <v>5.6081260000000006E-3</v>
      </c>
      <c r="L38" s="10">
        <f t="shared" si="7"/>
        <v>6.1839180000000001E-3</v>
      </c>
      <c r="M38" s="10">
        <v>6.7597100000000004E-3</v>
      </c>
      <c r="N38" s="10">
        <f t="shared" si="8"/>
        <v>6.7141200000000005E-3</v>
      </c>
      <c r="O38" s="10">
        <f t="shared" si="8"/>
        <v>6.6685300000000006E-3</v>
      </c>
      <c r="P38" s="10">
        <f t="shared" si="8"/>
        <v>6.6229399999999999E-3</v>
      </c>
      <c r="Q38" s="10">
        <f t="shared" si="8"/>
        <v>6.57735E-3</v>
      </c>
      <c r="R38" s="10">
        <v>6.5317600000000002E-3</v>
      </c>
      <c r="S38" s="10">
        <f t="shared" si="9"/>
        <v>6.623266E-3</v>
      </c>
      <c r="T38" s="10">
        <f t="shared" si="9"/>
        <v>6.7147719999999999E-3</v>
      </c>
      <c r="U38" s="10">
        <f t="shared" si="9"/>
        <v>6.8062780000000007E-3</v>
      </c>
      <c r="V38" s="10">
        <f t="shared" si="9"/>
        <v>6.8977840000000006E-3</v>
      </c>
      <c r="W38" s="10">
        <v>6.9892900000000004E-3</v>
      </c>
      <c r="X38" s="10">
        <f t="shared" si="10"/>
        <v>7.3712540000000007E-3</v>
      </c>
      <c r="Y38" s="10">
        <f t="shared" si="10"/>
        <v>7.7532180000000001E-3</v>
      </c>
      <c r="Z38" s="10">
        <f t="shared" si="10"/>
        <v>8.1351820000000012E-3</v>
      </c>
      <c r="AA38" s="10">
        <f t="shared" si="10"/>
        <v>8.5171459999999997E-3</v>
      </c>
      <c r="AB38" s="10">
        <v>8.89911E-3</v>
      </c>
      <c r="AC38" s="10">
        <f t="shared" si="11"/>
        <v>1.0012468E-2</v>
      </c>
      <c r="AD38" s="10">
        <f t="shared" si="11"/>
        <v>1.1125826E-2</v>
      </c>
      <c r="AE38" s="10">
        <f t="shared" si="11"/>
        <v>1.2239184E-2</v>
      </c>
      <c r="AF38" s="10">
        <f t="shared" si="11"/>
        <v>1.3352542E-2</v>
      </c>
      <c r="AG38" s="10">
        <v>1.44659E-2</v>
      </c>
      <c r="AH38" s="9">
        <f>SUM(Tableau2[[#This Row],[2022]:[2050]])</f>
        <v>0.21121378999999996</v>
      </c>
    </row>
    <row r="39" spans="1:99" hidden="1" x14ac:dyDescent="0.15">
      <c r="A39" s="5" t="s">
        <v>22</v>
      </c>
      <c r="B39" s="5"/>
      <c r="C39" s="2" t="s">
        <v>4</v>
      </c>
      <c r="D39" s="5" t="s">
        <v>95</v>
      </c>
      <c r="E39" s="6">
        <v>3.1968700000000001E-3</v>
      </c>
      <c r="F39" s="6">
        <f t="shared" si="6"/>
        <v>1.2311746666666665E-2</v>
      </c>
      <c r="G39" s="6">
        <f t="shared" si="6"/>
        <v>2.1426623333333332E-2</v>
      </c>
      <c r="H39" s="6">
        <v>3.0541499999999999E-2</v>
      </c>
      <c r="I39" s="6">
        <f t="shared" si="7"/>
        <v>3.5890499999999999E-2</v>
      </c>
      <c r="J39" s="6">
        <f t="shared" si="7"/>
        <v>4.1239499999999998E-2</v>
      </c>
      <c r="K39" s="6">
        <f t="shared" si="7"/>
        <v>4.6588499999999998E-2</v>
      </c>
      <c r="L39" s="6">
        <f t="shared" si="7"/>
        <v>5.1937499999999998E-2</v>
      </c>
      <c r="M39">
        <v>5.7286499999999997E-2</v>
      </c>
      <c r="N39" s="6">
        <f t="shared" si="8"/>
        <v>5.9219099999999997E-2</v>
      </c>
      <c r="O39" s="6">
        <f t="shared" si="8"/>
        <v>6.1151699999999996E-2</v>
      </c>
      <c r="P39" s="6">
        <f t="shared" si="8"/>
        <v>6.3084299999999996E-2</v>
      </c>
      <c r="Q39" s="6">
        <f t="shared" si="8"/>
        <v>6.5016899999999989E-2</v>
      </c>
      <c r="R39">
        <v>6.6949499999999995E-2</v>
      </c>
      <c r="S39" s="6">
        <f t="shared" si="9"/>
        <v>7.069397999999999E-2</v>
      </c>
      <c r="T39" s="6">
        <f t="shared" si="9"/>
        <v>7.4438459999999998E-2</v>
      </c>
      <c r="U39" s="6">
        <f t="shared" si="9"/>
        <v>7.8182939999999992E-2</v>
      </c>
      <c r="V39" s="6">
        <f t="shared" si="9"/>
        <v>8.1927420000000001E-2</v>
      </c>
      <c r="W39">
        <v>8.5671899999999995E-2</v>
      </c>
      <c r="X39" s="6">
        <f t="shared" si="10"/>
        <v>8.9085520000000001E-2</v>
      </c>
      <c r="Y39" s="6">
        <f t="shared" si="10"/>
        <v>9.2499139999999994E-2</v>
      </c>
      <c r="Z39" s="6">
        <f t="shared" si="10"/>
        <v>9.591276E-2</v>
      </c>
      <c r="AA39" s="6">
        <f t="shared" si="10"/>
        <v>9.9326379999999992E-2</v>
      </c>
      <c r="AB39">
        <v>0.10274</v>
      </c>
      <c r="AC39" s="6">
        <f t="shared" si="11"/>
        <v>0.11342339999999999</v>
      </c>
      <c r="AD39" s="6">
        <f t="shared" si="11"/>
        <v>0.12410679999999999</v>
      </c>
      <c r="AE39" s="6">
        <f t="shared" si="11"/>
        <v>0.1347902</v>
      </c>
      <c r="AF39" s="6">
        <f t="shared" si="11"/>
        <v>0.14547359999999998</v>
      </c>
      <c r="AG39">
        <v>0.15615699999999999</v>
      </c>
      <c r="AH39" s="9">
        <f>SUM(Tableau2[[#This Row],[2022]:[2050]])</f>
        <v>2.16027024</v>
      </c>
    </row>
    <row r="40" spans="1:99" hidden="1" x14ac:dyDescent="0.15">
      <c r="A40" s="5" t="s">
        <v>21</v>
      </c>
      <c r="B40" s="5"/>
      <c r="C40" s="2" t="s">
        <v>4</v>
      </c>
      <c r="D40" s="5" t="s">
        <v>96</v>
      </c>
      <c r="E40" s="10">
        <v>373.33100000000002</v>
      </c>
      <c r="F40" s="10">
        <f t="shared" si="6"/>
        <v>632.904</v>
      </c>
      <c r="G40" s="10">
        <f t="shared" si="6"/>
        <v>892.47699999999998</v>
      </c>
      <c r="H40" s="10">
        <v>1152.05</v>
      </c>
      <c r="I40" s="10">
        <f t="shared" si="7"/>
        <v>1462.422</v>
      </c>
      <c r="J40" s="10">
        <f t="shared" si="7"/>
        <v>1772.7939999999999</v>
      </c>
      <c r="K40" s="10">
        <f t="shared" si="7"/>
        <v>2083.1659999999997</v>
      </c>
      <c r="L40" s="10">
        <f t="shared" si="7"/>
        <v>2393.5379999999996</v>
      </c>
      <c r="M40" s="10">
        <v>2703.91</v>
      </c>
      <c r="N40" s="10">
        <f t="shared" si="8"/>
        <v>2923.0219999999999</v>
      </c>
      <c r="O40" s="10">
        <f t="shared" si="8"/>
        <v>3142.134</v>
      </c>
      <c r="P40" s="10">
        <f t="shared" si="8"/>
        <v>3361.2460000000001</v>
      </c>
      <c r="Q40" s="10">
        <f t="shared" si="8"/>
        <v>3580.3579999999997</v>
      </c>
      <c r="R40" s="10">
        <v>3799.47</v>
      </c>
      <c r="S40" s="10">
        <f t="shared" si="9"/>
        <v>3816.2999999999997</v>
      </c>
      <c r="T40" s="10">
        <f t="shared" si="9"/>
        <v>3833.1299999999997</v>
      </c>
      <c r="U40" s="10">
        <f t="shared" si="9"/>
        <v>3849.96</v>
      </c>
      <c r="V40" s="10">
        <f t="shared" si="9"/>
        <v>3866.79</v>
      </c>
      <c r="W40" s="10">
        <v>3883.62</v>
      </c>
      <c r="X40" s="10">
        <f t="shared" si="10"/>
        <v>3886.3679999999999</v>
      </c>
      <c r="Y40" s="10">
        <f t="shared" si="10"/>
        <v>3889.116</v>
      </c>
      <c r="Z40" s="10">
        <f t="shared" si="10"/>
        <v>3891.864</v>
      </c>
      <c r="AA40" s="10">
        <f t="shared" si="10"/>
        <v>3894.6120000000001</v>
      </c>
      <c r="AB40" s="10">
        <v>3897.36</v>
      </c>
      <c r="AC40" s="10">
        <f t="shared" si="11"/>
        <v>3834.4720000000002</v>
      </c>
      <c r="AD40" s="10">
        <f t="shared" si="11"/>
        <v>3771.5840000000003</v>
      </c>
      <c r="AE40" s="10">
        <f t="shared" si="11"/>
        <v>3708.6959999999999</v>
      </c>
      <c r="AF40" s="10">
        <f t="shared" si="11"/>
        <v>3645.808</v>
      </c>
      <c r="AG40" s="10">
        <v>3582.92</v>
      </c>
      <c r="AH40" s="10">
        <f>SUM(Tableau2[[#This Row],[2022]:[2050]])</f>
        <v>87525.422000000006</v>
      </c>
    </row>
    <row r="41" spans="1:99" x14ac:dyDescent="0.15">
      <c r="A41" s="5" t="s">
        <v>91</v>
      </c>
      <c r="B41" s="5"/>
      <c r="C41" s="2" t="s">
        <v>4</v>
      </c>
      <c r="D41" s="5" t="s">
        <v>94</v>
      </c>
      <c r="E41" s="10">
        <v>681.64499999999998</v>
      </c>
      <c r="F41" s="10">
        <f t="shared" si="6"/>
        <v>714.0813333333333</v>
      </c>
      <c r="G41" s="10">
        <f t="shared" si="6"/>
        <v>746.51766666666663</v>
      </c>
      <c r="H41" s="10">
        <v>778.95399999999995</v>
      </c>
      <c r="I41" s="10">
        <f t="shared" si="7"/>
        <v>804.61359999999991</v>
      </c>
      <c r="J41" s="10">
        <f t="shared" si="7"/>
        <v>830.27319999999997</v>
      </c>
      <c r="K41" s="10">
        <f t="shared" si="7"/>
        <v>855.93279999999993</v>
      </c>
      <c r="L41" s="10">
        <f t="shared" si="7"/>
        <v>881.5924</v>
      </c>
      <c r="M41" s="10">
        <v>907.25199999999995</v>
      </c>
      <c r="N41" s="10">
        <f t="shared" si="8"/>
        <v>910.76159999999993</v>
      </c>
      <c r="O41" s="10">
        <f t="shared" si="8"/>
        <v>914.27119999999991</v>
      </c>
      <c r="P41" s="10">
        <f t="shared" si="8"/>
        <v>917.7808</v>
      </c>
      <c r="Q41" s="10">
        <f t="shared" si="8"/>
        <v>921.29039999999998</v>
      </c>
      <c r="R41" s="10">
        <v>924.8</v>
      </c>
      <c r="S41" s="10">
        <f t="shared" si="9"/>
        <v>931.59319999999991</v>
      </c>
      <c r="T41" s="10">
        <f t="shared" si="9"/>
        <v>938.38639999999998</v>
      </c>
      <c r="U41" s="10">
        <f t="shared" si="9"/>
        <v>945.17959999999994</v>
      </c>
      <c r="V41" s="10">
        <f t="shared" si="9"/>
        <v>951.97280000000001</v>
      </c>
      <c r="W41" s="10">
        <v>958.76599999999996</v>
      </c>
      <c r="X41" s="10">
        <f t="shared" si="10"/>
        <v>991.4248</v>
      </c>
      <c r="Y41" s="10">
        <f t="shared" si="10"/>
        <v>1024.0835999999999</v>
      </c>
      <c r="Z41" s="10">
        <f t="shared" si="10"/>
        <v>1056.7423999999999</v>
      </c>
      <c r="AA41" s="10">
        <f t="shared" si="10"/>
        <v>1089.4012</v>
      </c>
      <c r="AB41" s="10">
        <v>1122.06</v>
      </c>
      <c r="AC41" s="10">
        <f t="shared" si="11"/>
        <v>1149.98</v>
      </c>
      <c r="AD41" s="10">
        <f t="shared" si="11"/>
        <v>1177.9000000000001</v>
      </c>
      <c r="AE41" s="10">
        <f t="shared" si="11"/>
        <v>1205.82</v>
      </c>
      <c r="AF41" s="10">
        <f t="shared" si="11"/>
        <v>1233.74</v>
      </c>
      <c r="AG41" s="10">
        <v>1261.6600000000001</v>
      </c>
      <c r="AH41" s="9">
        <f>SUM(Tableau2[[#This Row],[2022]:[2050]])</f>
        <v>27828.475999999999</v>
      </c>
    </row>
    <row r="42" spans="1:99" hidden="1" x14ac:dyDescent="0.15">
      <c r="A42" s="5" t="s">
        <v>142</v>
      </c>
      <c r="B42" s="5" t="s">
        <v>141</v>
      </c>
      <c r="C42" s="2" t="s">
        <v>4</v>
      </c>
      <c r="D42" s="5" t="s">
        <v>96</v>
      </c>
      <c r="E42" s="10">
        <v>20.4468</v>
      </c>
      <c r="F42" s="10">
        <f t="shared" ref="F42:G61" si="12">(($H42-$E42)/($H$1-$E$1))*(F$1-$E$1)+$E42</f>
        <v>39.46286666666667</v>
      </c>
      <c r="G42" s="10">
        <f t="shared" si="12"/>
        <v>58.478933333333345</v>
      </c>
      <c r="H42" s="10">
        <v>77.495000000000005</v>
      </c>
      <c r="I42" s="10">
        <f t="shared" ref="I42:L61" si="13">(($M42-$H42)/($M$1-$H$1))*(I$1-$H$1)+$H42</f>
        <v>113.62620000000001</v>
      </c>
      <c r="J42" s="10">
        <f t="shared" si="13"/>
        <v>149.75740000000002</v>
      </c>
      <c r="K42" s="10">
        <f t="shared" si="13"/>
        <v>185.8886</v>
      </c>
      <c r="L42" s="10">
        <f t="shared" si="13"/>
        <v>222.0198</v>
      </c>
      <c r="M42" s="10">
        <v>258.15100000000001</v>
      </c>
      <c r="N42" s="10">
        <f t="shared" ref="N42:Q61" si="14">(($R42-$M42)/($R$1-$M$1))*(N$1-$M$1)+$M42</f>
        <v>294.69260000000003</v>
      </c>
      <c r="O42" s="10">
        <f t="shared" si="14"/>
        <v>331.23419999999999</v>
      </c>
      <c r="P42" s="10">
        <f t="shared" si="14"/>
        <v>367.7758</v>
      </c>
      <c r="Q42" s="10">
        <f t="shared" si="14"/>
        <v>404.31740000000002</v>
      </c>
      <c r="R42" s="10">
        <v>440.85899999999998</v>
      </c>
      <c r="S42" s="10">
        <f t="shared" ref="S42:V61" si="15">(($W42-$R42)/($W$1-$R$1))*(S$1-$R$1)+$R42</f>
        <v>489.75040000000001</v>
      </c>
      <c r="T42" s="10">
        <f t="shared" si="15"/>
        <v>538.64179999999999</v>
      </c>
      <c r="U42" s="10">
        <f t="shared" si="15"/>
        <v>587.53320000000008</v>
      </c>
      <c r="V42" s="10">
        <f t="shared" si="15"/>
        <v>636.42460000000005</v>
      </c>
      <c r="W42" s="10">
        <v>685.31600000000003</v>
      </c>
      <c r="X42" s="10">
        <f t="shared" ref="X42:AA61" si="16">(($AB42-$W42)/($AB$1-$W$1))*(X$1-$W$1)+$W42</f>
        <v>695.01880000000006</v>
      </c>
      <c r="Y42" s="10">
        <f t="shared" si="16"/>
        <v>704.72160000000008</v>
      </c>
      <c r="Z42" s="10">
        <f t="shared" si="16"/>
        <v>714.42439999999999</v>
      </c>
      <c r="AA42" s="10">
        <f t="shared" si="16"/>
        <v>724.12720000000002</v>
      </c>
      <c r="AB42" s="10">
        <v>733.83</v>
      </c>
      <c r="AC42" s="10">
        <f t="shared" ref="AC42:AF61" si="17">(($AG42-$AB42)/($AG$1-$AB$1))*(AC$1-$AB$1)+$AB42</f>
        <v>720.09540000000004</v>
      </c>
      <c r="AD42" s="10">
        <f t="shared" si="17"/>
        <v>706.36080000000004</v>
      </c>
      <c r="AE42" s="10">
        <f t="shared" si="17"/>
        <v>692.62620000000004</v>
      </c>
      <c r="AF42" s="10">
        <f t="shared" si="17"/>
        <v>678.89160000000004</v>
      </c>
      <c r="AG42" s="10">
        <v>665.15700000000004</v>
      </c>
      <c r="AH42" s="10">
        <f>SUM(Tableau2[[#This Row],[2022]:[2050]])</f>
        <v>12937.124600000001</v>
      </c>
    </row>
    <row r="43" spans="1:99" hidden="1" x14ac:dyDescent="0.15">
      <c r="A43" s="5" t="s">
        <v>91</v>
      </c>
      <c r="B43" s="5"/>
      <c r="C43" s="2" t="s">
        <v>4</v>
      </c>
      <c r="D43" s="5" t="s">
        <v>95</v>
      </c>
      <c r="E43" s="6">
        <v>681.64499999999998</v>
      </c>
      <c r="F43" s="6">
        <f t="shared" si="12"/>
        <v>762.14499999999998</v>
      </c>
      <c r="G43" s="6">
        <f t="shared" si="12"/>
        <v>842.64499999999998</v>
      </c>
      <c r="H43" s="6">
        <v>923.14499999999998</v>
      </c>
      <c r="I43" s="6">
        <f t="shared" si="13"/>
        <v>973.85</v>
      </c>
      <c r="J43" s="6">
        <f t="shared" si="13"/>
        <v>1024.5550000000001</v>
      </c>
      <c r="K43" s="6">
        <f t="shared" si="13"/>
        <v>1075.26</v>
      </c>
      <c r="L43" s="6">
        <f t="shared" si="13"/>
        <v>1125.9650000000001</v>
      </c>
      <c r="M43" s="6">
        <v>1176.67</v>
      </c>
      <c r="N43" s="6">
        <f t="shared" si="14"/>
        <v>1215.21</v>
      </c>
      <c r="O43" s="6">
        <f t="shared" si="14"/>
        <v>1253.75</v>
      </c>
      <c r="P43" s="6">
        <f t="shared" si="14"/>
        <v>1292.29</v>
      </c>
      <c r="Q43" s="6">
        <f t="shared" si="14"/>
        <v>1330.83</v>
      </c>
      <c r="R43" s="6">
        <v>1369.37</v>
      </c>
      <c r="S43" s="6">
        <f t="shared" si="15"/>
        <v>1373.98</v>
      </c>
      <c r="T43" s="6">
        <f t="shared" si="15"/>
        <v>1378.59</v>
      </c>
      <c r="U43" s="6">
        <f t="shared" si="15"/>
        <v>1383.2</v>
      </c>
      <c r="V43" s="6">
        <f t="shared" si="15"/>
        <v>1387.81</v>
      </c>
      <c r="W43" s="6">
        <v>1392.42</v>
      </c>
      <c r="X43" s="6">
        <f t="shared" si="16"/>
        <v>1438.05</v>
      </c>
      <c r="Y43" s="6">
        <f t="shared" si="16"/>
        <v>1483.68</v>
      </c>
      <c r="Z43" s="6">
        <f t="shared" si="16"/>
        <v>1529.31</v>
      </c>
      <c r="AA43" s="6">
        <f t="shared" si="16"/>
        <v>1574.94</v>
      </c>
      <c r="AB43" s="6">
        <v>1620.57</v>
      </c>
      <c r="AC43" s="6">
        <f t="shared" si="17"/>
        <v>1658.7139999999999</v>
      </c>
      <c r="AD43" s="6">
        <f t="shared" si="17"/>
        <v>1696.8579999999999</v>
      </c>
      <c r="AE43" s="6">
        <f t="shared" si="17"/>
        <v>1735.002</v>
      </c>
      <c r="AF43" s="6">
        <f t="shared" si="17"/>
        <v>1773.146</v>
      </c>
      <c r="AG43" s="6">
        <v>1811.29</v>
      </c>
      <c r="AH43" s="9">
        <f>SUM(Tableau2[[#This Row],[2022]:[2050]])</f>
        <v>38284.89</v>
      </c>
    </row>
    <row r="44" spans="1:99" x14ac:dyDescent="0.15">
      <c r="A44" s="5" t="s">
        <v>20</v>
      </c>
      <c r="B44" s="5"/>
      <c r="C44" s="2" t="s">
        <v>4</v>
      </c>
      <c r="D44" s="5" t="s">
        <v>94</v>
      </c>
      <c r="E44" s="10">
        <v>393.79199999999997</v>
      </c>
      <c r="F44" s="10">
        <f t="shared" si="12"/>
        <v>405.11633333333333</v>
      </c>
      <c r="G44" s="10">
        <f t="shared" si="12"/>
        <v>416.44066666666663</v>
      </c>
      <c r="H44" s="10">
        <v>427.76499999999999</v>
      </c>
      <c r="I44" s="10">
        <f t="shared" si="13"/>
        <v>471.47859999999997</v>
      </c>
      <c r="J44" s="10">
        <f t="shared" si="13"/>
        <v>515.19219999999996</v>
      </c>
      <c r="K44" s="10">
        <f t="shared" si="13"/>
        <v>558.9058</v>
      </c>
      <c r="L44" s="10">
        <f t="shared" si="13"/>
        <v>602.61940000000004</v>
      </c>
      <c r="M44" s="10">
        <v>646.33299999999997</v>
      </c>
      <c r="N44" s="10">
        <f t="shared" si="14"/>
        <v>636.11739999999998</v>
      </c>
      <c r="O44" s="10">
        <f t="shared" si="14"/>
        <v>625.90179999999998</v>
      </c>
      <c r="P44" s="10">
        <f t="shared" si="14"/>
        <v>615.68619999999999</v>
      </c>
      <c r="Q44" s="10">
        <f t="shared" si="14"/>
        <v>605.47059999999999</v>
      </c>
      <c r="R44" s="10">
        <v>595.255</v>
      </c>
      <c r="S44" s="10">
        <f t="shared" si="15"/>
        <v>582.66200000000003</v>
      </c>
      <c r="T44" s="10">
        <f t="shared" si="15"/>
        <v>570.06899999999996</v>
      </c>
      <c r="U44" s="10">
        <f t="shared" si="15"/>
        <v>557.476</v>
      </c>
      <c r="V44" s="10">
        <f t="shared" si="15"/>
        <v>544.88299999999992</v>
      </c>
      <c r="W44" s="10">
        <v>532.29</v>
      </c>
      <c r="X44" s="10">
        <f t="shared" si="16"/>
        <v>553.63319999999999</v>
      </c>
      <c r="Y44" s="10">
        <f t="shared" si="16"/>
        <v>574.97640000000001</v>
      </c>
      <c r="Z44" s="10">
        <f t="shared" si="16"/>
        <v>596.31960000000004</v>
      </c>
      <c r="AA44" s="10">
        <f t="shared" si="16"/>
        <v>617.66279999999995</v>
      </c>
      <c r="AB44" s="10">
        <v>639.00599999999997</v>
      </c>
      <c r="AC44" s="10">
        <f t="shared" si="17"/>
        <v>655.33159999999998</v>
      </c>
      <c r="AD44" s="10">
        <f t="shared" si="17"/>
        <v>671.65719999999999</v>
      </c>
      <c r="AE44" s="10">
        <f t="shared" si="17"/>
        <v>687.9828</v>
      </c>
      <c r="AF44" s="10">
        <f t="shared" si="17"/>
        <v>704.30840000000001</v>
      </c>
      <c r="AG44" s="10">
        <v>720.63400000000001</v>
      </c>
      <c r="AH44" s="9">
        <f>SUM(Tableau2[[#This Row],[2022]:[2050]])</f>
        <v>16724.966</v>
      </c>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row>
    <row r="45" spans="1:99" hidden="1" x14ac:dyDescent="0.15">
      <c r="A45" s="5" t="s">
        <v>22</v>
      </c>
      <c r="B45" s="5"/>
      <c r="C45" s="2" t="s">
        <v>4</v>
      </c>
      <c r="D45" s="5" t="s">
        <v>96</v>
      </c>
      <c r="E45" s="10">
        <v>3.1968700000000001E-3</v>
      </c>
      <c r="F45" s="10">
        <f t="shared" si="12"/>
        <v>2.1079246666666669E-2</v>
      </c>
      <c r="G45" s="10">
        <f t="shared" si="12"/>
        <v>3.8961623333333334E-2</v>
      </c>
      <c r="H45" s="10">
        <v>5.6843999999999999E-2</v>
      </c>
      <c r="I45" s="10">
        <f t="shared" si="13"/>
        <v>7.4848999999999999E-2</v>
      </c>
      <c r="J45" s="10">
        <f t="shared" si="13"/>
        <v>9.2853999999999992E-2</v>
      </c>
      <c r="K45" s="10">
        <f t="shared" si="13"/>
        <v>0.110859</v>
      </c>
      <c r="L45" s="10">
        <f t="shared" si="13"/>
        <v>0.12886400000000001</v>
      </c>
      <c r="M45" s="10">
        <v>0.146869</v>
      </c>
      <c r="N45" s="10">
        <f t="shared" si="14"/>
        <v>0.1540088</v>
      </c>
      <c r="O45" s="10">
        <f t="shared" si="14"/>
        <v>0.1611486</v>
      </c>
      <c r="P45" s="10">
        <f t="shared" si="14"/>
        <v>0.1682884</v>
      </c>
      <c r="Q45" s="10">
        <f t="shared" si="14"/>
        <v>0.17542820000000001</v>
      </c>
      <c r="R45" s="10">
        <v>0.18256800000000001</v>
      </c>
      <c r="S45" s="10">
        <f t="shared" si="15"/>
        <v>0.18027899999999999</v>
      </c>
      <c r="T45" s="10">
        <f t="shared" si="15"/>
        <v>0.17799000000000001</v>
      </c>
      <c r="U45" s="10">
        <f t="shared" si="15"/>
        <v>0.175701</v>
      </c>
      <c r="V45" s="10">
        <f t="shared" si="15"/>
        <v>0.17341200000000001</v>
      </c>
      <c r="W45" s="10">
        <v>0.171123</v>
      </c>
      <c r="X45" s="10">
        <f t="shared" si="16"/>
        <v>0.1645924</v>
      </c>
      <c r="Y45" s="10">
        <f t="shared" si="16"/>
        <v>0.1580618</v>
      </c>
      <c r="Z45" s="10">
        <f t="shared" si="16"/>
        <v>0.1515312</v>
      </c>
      <c r="AA45" s="10">
        <f t="shared" si="16"/>
        <v>0.14500060000000001</v>
      </c>
      <c r="AB45" s="10">
        <v>0.13847000000000001</v>
      </c>
      <c r="AC45" s="10">
        <f t="shared" si="17"/>
        <v>0.15508720000000001</v>
      </c>
      <c r="AD45" s="10">
        <f t="shared" si="17"/>
        <v>0.17170440000000001</v>
      </c>
      <c r="AE45" s="10">
        <f t="shared" si="17"/>
        <v>0.18832160000000001</v>
      </c>
      <c r="AF45" s="10">
        <f t="shared" si="17"/>
        <v>0.2049388</v>
      </c>
      <c r="AG45" s="10">
        <v>0.221556</v>
      </c>
      <c r="AH45" s="10">
        <f>SUM(Tableau2[[#This Row],[2022]:[2050]])</f>
        <v>4.0935877400000003</v>
      </c>
    </row>
    <row r="46" spans="1:99" hidden="1" x14ac:dyDescent="0.15">
      <c r="A46" s="5" t="s">
        <v>20</v>
      </c>
      <c r="B46" s="5"/>
      <c r="C46" s="2" t="s">
        <v>4</v>
      </c>
      <c r="D46" s="5" t="s">
        <v>95</v>
      </c>
      <c r="E46" s="6">
        <v>393.79199999999997</v>
      </c>
      <c r="F46" s="6">
        <f t="shared" si="12"/>
        <v>443.01066666666662</v>
      </c>
      <c r="G46" s="6">
        <f t="shared" si="12"/>
        <v>492.22933333333333</v>
      </c>
      <c r="H46">
        <v>541.44799999999998</v>
      </c>
      <c r="I46" s="6">
        <f t="shared" si="13"/>
        <v>610.08600000000001</v>
      </c>
      <c r="J46" s="6">
        <f t="shared" si="13"/>
        <v>678.72399999999993</v>
      </c>
      <c r="K46" s="6">
        <f t="shared" si="13"/>
        <v>747.36199999999997</v>
      </c>
      <c r="L46" s="6">
        <f t="shared" si="13"/>
        <v>816</v>
      </c>
      <c r="M46">
        <v>884.63800000000003</v>
      </c>
      <c r="N46" s="6">
        <f t="shared" si="14"/>
        <v>904.44500000000005</v>
      </c>
      <c r="O46" s="6">
        <f t="shared" si="14"/>
        <v>924.25200000000007</v>
      </c>
      <c r="P46" s="6">
        <f t="shared" si="14"/>
        <v>944.05899999999997</v>
      </c>
      <c r="Q46" s="6">
        <f t="shared" si="14"/>
        <v>963.86599999999999</v>
      </c>
      <c r="R46">
        <v>983.673</v>
      </c>
      <c r="S46" s="6">
        <f t="shared" si="15"/>
        <v>984.86959999999999</v>
      </c>
      <c r="T46" s="6">
        <f t="shared" si="15"/>
        <v>986.06619999999998</v>
      </c>
      <c r="U46" s="6">
        <f t="shared" si="15"/>
        <v>987.26279999999997</v>
      </c>
      <c r="V46" s="6">
        <f t="shared" si="15"/>
        <v>988.45939999999996</v>
      </c>
      <c r="W46">
        <v>989.65599999999995</v>
      </c>
      <c r="X46" s="6">
        <f t="shared" si="16"/>
        <v>991.00599999999997</v>
      </c>
      <c r="Y46" s="6">
        <f t="shared" si="16"/>
        <v>992.35599999999999</v>
      </c>
      <c r="Z46" s="6">
        <f t="shared" si="16"/>
        <v>993.7059999999999</v>
      </c>
      <c r="AA46" s="6">
        <f t="shared" si="16"/>
        <v>995.05599999999993</v>
      </c>
      <c r="AB46">
        <v>996.40599999999995</v>
      </c>
      <c r="AC46" s="6">
        <f t="shared" si="17"/>
        <v>1018.6007999999999</v>
      </c>
      <c r="AD46" s="6">
        <f t="shared" si="17"/>
        <v>1040.7955999999999</v>
      </c>
      <c r="AE46" s="6">
        <f t="shared" si="17"/>
        <v>1062.9904000000001</v>
      </c>
      <c r="AF46" s="6">
        <f t="shared" si="17"/>
        <v>1085.1852000000001</v>
      </c>
      <c r="AG46">
        <v>1107.3800000000001</v>
      </c>
      <c r="AH46" s="9">
        <f>SUM(Tableau2[[#This Row],[2022]:[2050]])</f>
        <v>25547.381000000001</v>
      </c>
    </row>
    <row r="47" spans="1:99" hidden="1" x14ac:dyDescent="0.15">
      <c r="A47" s="5" t="s">
        <v>21</v>
      </c>
      <c r="B47" s="5" t="s">
        <v>135</v>
      </c>
      <c r="C47" s="2" t="s">
        <v>138</v>
      </c>
      <c r="D47" s="5" t="s">
        <v>95</v>
      </c>
      <c r="E47" s="6">
        <v>0.41256700000000002</v>
      </c>
      <c r="F47" s="6">
        <f t="shared" si="12"/>
        <v>0.56162400000000001</v>
      </c>
      <c r="G47" s="6">
        <f t="shared" si="12"/>
        <v>0.71068100000000001</v>
      </c>
      <c r="H47">
        <v>0.859738</v>
      </c>
      <c r="I47" s="6">
        <f t="shared" si="13"/>
        <v>1.0363344000000001</v>
      </c>
      <c r="J47" s="6">
        <f t="shared" si="13"/>
        <v>1.2129308000000001</v>
      </c>
      <c r="K47" s="6">
        <f t="shared" si="13"/>
        <v>1.3895272000000001</v>
      </c>
      <c r="L47" s="6">
        <f t="shared" si="13"/>
        <v>1.5661236000000001</v>
      </c>
      <c r="M47">
        <v>1.74272</v>
      </c>
      <c r="N47" s="6">
        <f t="shared" si="14"/>
        <v>1.9865760000000001</v>
      </c>
      <c r="O47" s="6">
        <f t="shared" si="14"/>
        <v>2.230432</v>
      </c>
      <c r="P47" s="6">
        <f t="shared" si="14"/>
        <v>2.474288</v>
      </c>
      <c r="Q47" s="6">
        <f t="shared" si="14"/>
        <v>2.7181440000000001</v>
      </c>
      <c r="R47">
        <v>2.9620000000000002</v>
      </c>
      <c r="S47" s="6">
        <f t="shared" si="15"/>
        <v>3.1426940000000001</v>
      </c>
      <c r="T47" s="6">
        <f t="shared" si="15"/>
        <v>3.323388</v>
      </c>
      <c r="U47" s="6">
        <f t="shared" si="15"/>
        <v>3.5040820000000004</v>
      </c>
      <c r="V47" s="6">
        <f t="shared" si="15"/>
        <v>3.6847760000000003</v>
      </c>
      <c r="W47">
        <v>3.8654700000000002</v>
      </c>
      <c r="X47" s="6">
        <f t="shared" si="16"/>
        <v>3.9610160000000003</v>
      </c>
      <c r="Y47" s="6">
        <f t="shared" si="16"/>
        <v>4.0565620000000004</v>
      </c>
      <c r="Z47" s="6">
        <f t="shared" si="16"/>
        <v>4.1521080000000001</v>
      </c>
      <c r="AA47" s="6">
        <f t="shared" si="16"/>
        <v>4.2476540000000007</v>
      </c>
      <c r="AB47">
        <v>4.3432000000000004</v>
      </c>
      <c r="AC47" s="6">
        <f t="shared" si="17"/>
        <v>4.4319820000000005</v>
      </c>
      <c r="AD47" s="6">
        <f t="shared" si="17"/>
        <v>4.5207640000000007</v>
      </c>
      <c r="AE47" s="6">
        <f t="shared" si="17"/>
        <v>4.6095459999999999</v>
      </c>
      <c r="AF47" s="6">
        <f t="shared" si="17"/>
        <v>4.6983280000000001</v>
      </c>
      <c r="AG47">
        <v>4.7871100000000002</v>
      </c>
      <c r="AH47" s="9">
        <f>SUM(Tableau2[[#This Row],[2022]:[2050]])</f>
        <v>83.192365999999993</v>
      </c>
    </row>
    <row r="48" spans="1:99" x14ac:dyDescent="0.15">
      <c r="A48" s="5" t="s">
        <v>21</v>
      </c>
      <c r="B48" s="5" t="s">
        <v>135</v>
      </c>
      <c r="C48" s="2" t="s">
        <v>138</v>
      </c>
      <c r="D48" s="5" t="s">
        <v>94</v>
      </c>
      <c r="E48" s="10">
        <v>0.41256700000000002</v>
      </c>
      <c r="F48" s="10">
        <f t="shared" si="12"/>
        <v>0.5222</v>
      </c>
      <c r="G48" s="10">
        <f t="shared" si="12"/>
        <v>0.63183299999999998</v>
      </c>
      <c r="H48" s="10">
        <v>0.74146599999999996</v>
      </c>
      <c r="I48" s="10">
        <f t="shared" si="13"/>
        <v>0.83444879999999999</v>
      </c>
      <c r="J48" s="10">
        <f t="shared" si="13"/>
        <v>0.92743160000000002</v>
      </c>
      <c r="K48" s="10">
        <f t="shared" si="13"/>
        <v>1.0204143999999999</v>
      </c>
      <c r="L48" s="10">
        <f t="shared" si="13"/>
        <v>1.1133972000000001</v>
      </c>
      <c r="M48" s="10">
        <v>1.20638</v>
      </c>
      <c r="N48" s="10">
        <f t="shared" si="14"/>
        <v>1.260678</v>
      </c>
      <c r="O48" s="10">
        <f t="shared" si="14"/>
        <v>1.3149759999999999</v>
      </c>
      <c r="P48" s="10">
        <f t="shared" si="14"/>
        <v>1.3692739999999999</v>
      </c>
      <c r="Q48" s="10">
        <f t="shared" si="14"/>
        <v>1.4235720000000001</v>
      </c>
      <c r="R48" s="10">
        <v>1.47787</v>
      </c>
      <c r="S48" s="10">
        <f t="shared" si="15"/>
        <v>1.5502640000000001</v>
      </c>
      <c r="T48" s="10">
        <f t="shared" si="15"/>
        <v>1.6226579999999999</v>
      </c>
      <c r="U48" s="10">
        <f t="shared" si="15"/>
        <v>1.695052</v>
      </c>
      <c r="V48" s="10">
        <f t="shared" si="15"/>
        <v>1.7674460000000001</v>
      </c>
      <c r="W48" s="10">
        <v>1.8398399999999999</v>
      </c>
      <c r="X48" s="10">
        <f t="shared" si="16"/>
        <v>1.89744</v>
      </c>
      <c r="Y48" s="10">
        <f t="shared" si="16"/>
        <v>1.9550399999999999</v>
      </c>
      <c r="Z48" s="10">
        <f t="shared" si="16"/>
        <v>2.0126399999999998</v>
      </c>
      <c r="AA48" s="10">
        <f t="shared" si="16"/>
        <v>2.0702400000000001</v>
      </c>
      <c r="AB48" s="10">
        <v>2.12784</v>
      </c>
      <c r="AC48" s="10">
        <f t="shared" si="17"/>
        <v>2.1492420000000001</v>
      </c>
      <c r="AD48" s="10">
        <f t="shared" si="17"/>
        <v>2.1706439999999998</v>
      </c>
      <c r="AE48" s="10">
        <f t="shared" si="17"/>
        <v>2.1920459999999999</v>
      </c>
      <c r="AF48" s="10">
        <f t="shared" si="17"/>
        <v>2.2134479999999996</v>
      </c>
      <c r="AG48" s="10">
        <v>2.2348499999999998</v>
      </c>
      <c r="AH48" s="9">
        <f>SUM(Tableau2[[#This Row],[2022]:[2050]])</f>
        <v>43.755198</v>
      </c>
    </row>
    <row r="49" spans="1:34" hidden="1" x14ac:dyDescent="0.15">
      <c r="A49" s="5" t="s">
        <v>20</v>
      </c>
      <c r="B49" s="5" t="s">
        <v>135</v>
      </c>
      <c r="C49" s="2" t="s">
        <v>138</v>
      </c>
      <c r="D49" s="5" t="s">
        <v>96</v>
      </c>
      <c r="E49" s="10">
        <v>0.62806300000000004</v>
      </c>
      <c r="F49" s="10">
        <f t="shared" si="12"/>
        <v>0.78701200000000004</v>
      </c>
      <c r="G49" s="10">
        <f t="shared" si="12"/>
        <v>0.94596100000000005</v>
      </c>
      <c r="H49" s="10">
        <v>1.1049100000000001</v>
      </c>
      <c r="I49" s="10">
        <f t="shared" si="13"/>
        <v>1.40107</v>
      </c>
      <c r="J49" s="10">
        <f t="shared" si="13"/>
        <v>1.6972300000000002</v>
      </c>
      <c r="K49" s="10">
        <f t="shared" si="13"/>
        <v>1.9933900000000002</v>
      </c>
      <c r="L49" s="10">
        <f t="shared" si="13"/>
        <v>2.2895500000000002</v>
      </c>
      <c r="M49" s="10">
        <v>2.5857100000000002</v>
      </c>
      <c r="N49" s="10">
        <f t="shared" si="14"/>
        <v>2.5585360000000001</v>
      </c>
      <c r="O49" s="10">
        <f t="shared" si="14"/>
        <v>2.5313620000000001</v>
      </c>
      <c r="P49" s="10">
        <f t="shared" si="14"/>
        <v>2.5041880000000001</v>
      </c>
      <c r="Q49" s="10">
        <f t="shared" si="14"/>
        <v>2.477014</v>
      </c>
      <c r="R49" s="10">
        <v>2.44984</v>
      </c>
      <c r="S49" s="10">
        <f t="shared" si="15"/>
        <v>2.3852500000000001</v>
      </c>
      <c r="T49" s="10">
        <f t="shared" si="15"/>
        <v>2.3206600000000002</v>
      </c>
      <c r="U49" s="10">
        <f t="shared" si="15"/>
        <v>2.2560699999999998</v>
      </c>
      <c r="V49" s="10">
        <f t="shared" si="15"/>
        <v>2.1914799999999999</v>
      </c>
      <c r="W49" s="10">
        <v>2.1268899999999999</v>
      </c>
      <c r="X49" s="10">
        <f t="shared" si="16"/>
        <v>1.982156</v>
      </c>
      <c r="Y49" s="10">
        <f t="shared" si="16"/>
        <v>1.8374219999999999</v>
      </c>
      <c r="Z49" s="10">
        <f t="shared" si="16"/>
        <v>1.692688</v>
      </c>
      <c r="AA49" s="10">
        <f t="shared" si="16"/>
        <v>1.5479539999999998</v>
      </c>
      <c r="AB49" s="10">
        <v>1.4032199999999999</v>
      </c>
      <c r="AC49" s="10">
        <f t="shared" si="17"/>
        <v>1.5368739999999999</v>
      </c>
      <c r="AD49" s="10">
        <f t="shared" si="17"/>
        <v>1.670528</v>
      </c>
      <c r="AE49" s="10">
        <f t="shared" si="17"/>
        <v>1.804182</v>
      </c>
      <c r="AF49" s="10">
        <f t="shared" si="17"/>
        <v>1.9378359999999999</v>
      </c>
      <c r="AG49" s="10">
        <v>2.0714899999999998</v>
      </c>
      <c r="AH49" s="10">
        <f>SUM(Tableau2[[#This Row],[2022]:[2050]])</f>
        <v>54.718535999999979</v>
      </c>
    </row>
    <row r="50" spans="1:34" x14ac:dyDescent="0.15">
      <c r="A50" s="5" t="s">
        <v>20</v>
      </c>
      <c r="B50" s="5" t="s">
        <v>135</v>
      </c>
      <c r="C50" s="2" t="s">
        <v>138</v>
      </c>
      <c r="D50" s="5" t="s">
        <v>94</v>
      </c>
      <c r="E50" s="10">
        <v>0.62806300000000004</v>
      </c>
      <c r="F50" s="10">
        <f t="shared" si="12"/>
        <v>0.64430866666666664</v>
      </c>
      <c r="G50" s="10">
        <f t="shared" si="12"/>
        <v>0.66055433333333335</v>
      </c>
      <c r="H50" s="10">
        <v>0.67679999999999996</v>
      </c>
      <c r="I50" s="10">
        <f t="shared" si="13"/>
        <v>0.75383199999999995</v>
      </c>
      <c r="J50" s="10">
        <f t="shared" si="13"/>
        <v>0.83086400000000005</v>
      </c>
      <c r="K50" s="10">
        <f t="shared" si="13"/>
        <v>0.90789600000000004</v>
      </c>
      <c r="L50" s="10">
        <f t="shared" si="13"/>
        <v>0.98492800000000003</v>
      </c>
      <c r="M50" s="10">
        <v>1.06196</v>
      </c>
      <c r="N50" s="10">
        <f t="shared" si="14"/>
        <v>1.0418647999999999</v>
      </c>
      <c r="O50" s="10">
        <f t="shared" si="14"/>
        <v>1.0217696000000001</v>
      </c>
      <c r="P50" s="10">
        <f t="shared" si="14"/>
        <v>1.0016744</v>
      </c>
      <c r="Q50" s="10">
        <f t="shared" si="14"/>
        <v>0.98157919999999999</v>
      </c>
      <c r="R50" s="10">
        <v>0.96148400000000001</v>
      </c>
      <c r="S50" s="10">
        <f t="shared" si="15"/>
        <v>0.93937060000000006</v>
      </c>
      <c r="T50" s="10">
        <f t="shared" si="15"/>
        <v>0.91725719999999999</v>
      </c>
      <c r="U50" s="10">
        <f t="shared" si="15"/>
        <v>0.89514380000000005</v>
      </c>
      <c r="V50" s="10">
        <f t="shared" si="15"/>
        <v>0.87303039999999998</v>
      </c>
      <c r="W50" s="10">
        <v>0.85091700000000003</v>
      </c>
      <c r="X50" s="10">
        <f t="shared" si="16"/>
        <v>0.88737759999999999</v>
      </c>
      <c r="Y50" s="10">
        <f t="shared" si="16"/>
        <v>0.92383820000000005</v>
      </c>
      <c r="Z50" s="10">
        <f t="shared" si="16"/>
        <v>0.96029880000000001</v>
      </c>
      <c r="AA50" s="10">
        <f t="shared" si="16"/>
        <v>0.99675939999999996</v>
      </c>
      <c r="AB50" s="10">
        <v>1.03322</v>
      </c>
      <c r="AC50" s="10">
        <f t="shared" si="17"/>
        <v>1.0636760000000001</v>
      </c>
      <c r="AD50" s="10">
        <f t="shared" si="17"/>
        <v>1.0941320000000001</v>
      </c>
      <c r="AE50" s="10">
        <f t="shared" si="17"/>
        <v>1.1245879999999999</v>
      </c>
      <c r="AF50" s="10">
        <f t="shared" si="17"/>
        <v>1.155044</v>
      </c>
      <c r="AG50" s="10">
        <v>1.1855</v>
      </c>
      <c r="AH50" s="9">
        <f>SUM(Tableau2[[#This Row],[2022]:[2050]])</f>
        <v>27.057731</v>
      </c>
    </row>
    <row r="51" spans="1:34" hidden="1" x14ac:dyDescent="0.15">
      <c r="A51" s="5" t="s">
        <v>21</v>
      </c>
      <c r="B51" s="5" t="s">
        <v>135</v>
      </c>
      <c r="C51" s="2" t="s">
        <v>138</v>
      </c>
      <c r="D51" s="5" t="s">
        <v>96</v>
      </c>
      <c r="E51" s="10">
        <v>0.41256700000000002</v>
      </c>
      <c r="F51" s="10">
        <f t="shared" si="12"/>
        <v>0.7185246666666667</v>
      </c>
      <c r="G51" s="10">
        <f t="shared" si="12"/>
        <v>1.0244823333333333</v>
      </c>
      <c r="H51" s="10">
        <v>1.3304400000000001</v>
      </c>
      <c r="I51" s="10">
        <f t="shared" si="13"/>
        <v>1.586646</v>
      </c>
      <c r="J51" s="10">
        <f t="shared" si="13"/>
        <v>1.8428520000000002</v>
      </c>
      <c r="K51" s="10">
        <f t="shared" si="13"/>
        <v>2.0990580000000003</v>
      </c>
      <c r="L51" s="10">
        <f t="shared" si="13"/>
        <v>2.355264</v>
      </c>
      <c r="M51" s="10">
        <v>2.6114700000000002</v>
      </c>
      <c r="N51" s="10">
        <f t="shared" si="14"/>
        <v>2.7793680000000003</v>
      </c>
      <c r="O51" s="10">
        <f t="shared" si="14"/>
        <v>2.9472659999999999</v>
      </c>
      <c r="P51" s="10">
        <f t="shared" si="14"/>
        <v>3.115164</v>
      </c>
      <c r="Q51" s="10">
        <f t="shared" si="14"/>
        <v>3.2830620000000001</v>
      </c>
      <c r="R51" s="10">
        <v>3.4509599999999998</v>
      </c>
      <c r="S51" s="10">
        <f t="shared" si="15"/>
        <v>3.4308879999999999</v>
      </c>
      <c r="T51" s="10">
        <f t="shared" si="15"/>
        <v>3.4108160000000001</v>
      </c>
      <c r="U51" s="10">
        <f t="shared" si="15"/>
        <v>3.3907439999999998</v>
      </c>
      <c r="V51" s="10">
        <f t="shared" si="15"/>
        <v>3.3706719999999999</v>
      </c>
      <c r="W51" s="10">
        <v>3.3506</v>
      </c>
      <c r="X51" s="10">
        <f t="shared" si="16"/>
        <v>3.4054320000000002</v>
      </c>
      <c r="Y51" s="10">
        <f t="shared" si="16"/>
        <v>3.460264</v>
      </c>
      <c r="Z51" s="10">
        <f t="shared" si="16"/>
        <v>3.5150960000000002</v>
      </c>
      <c r="AA51" s="10">
        <f t="shared" si="16"/>
        <v>3.569928</v>
      </c>
      <c r="AB51" s="10">
        <v>3.6247600000000002</v>
      </c>
      <c r="AC51" s="10">
        <f t="shared" si="17"/>
        <v>3.6412600000000004</v>
      </c>
      <c r="AD51" s="10">
        <f t="shared" si="17"/>
        <v>3.6577600000000001</v>
      </c>
      <c r="AE51" s="10">
        <f t="shared" si="17"/>
        <v>3.6742600000000003</v>
      </c>
      <c r="AF51" s="10">
        <f t="shared" si="17"/>
        <v>3.69076</v>
      </c>
      <c r="AG51" s="10">
        <v>3.7072600000000002</v>
      </c>
      <c r="AH51" s="10">
        <f>SUM(Tableau2[[#This Row],[2022]:[2050]])</f>
        <v>82.457623999999996</v>
      </c>
    </row>
    <row r="52" spans="1:34" hidden="1" x14ac:dyDescent="0.15">
      <c r="A52" s="5" t="s">
        <v>20</v>
      </c>
      <c r="B52" s="5" t="s">
        <v>135</v>
      </c>
      <c r="C52" s="2" t="s">
        <v>138</v>
      </c>
      <c r="D52" s="5" t="s">
        <v>95</v>
      </c>
      <c r="E52" s="6">
        <v>0.62806300000000004</v>
      </c>
      <c r="F52" s="6">
        <f t="shared" si="12"/>
        <v>0.70570300000000008</v>
      </c>
      <c r="G52" s="6">
        <f t="shared" si="12"/>
        <v>0.78334300000000001</v>
      </c>
      <c r="H52">
        <v>0.86098300000000005</v>
      </c>
      <c r="I52" s="6">
        <f t="shared" si="13"/>
        <v>0.97338840000000004</v>
      </c>
      <c r="J52" s="6">
        <f t="shared" si="13"/>
        <v>1.0857938</v>
      </c>
      <c r="K52" s="6">
        <f t="shared" si="13"/>
        <v>1.1981992000000001</v>
      </c>
      <c r="L52" s="6">
        <f t="shared" si="13"/>
        <v>1.3106046</v>
      </c>
      <c r="M52">
        <v>1.4230100000000001</v>
      </c>
      <c r="N52" s="6">
        <f t="shared" si="14"/>
        <v>1.4548000000000001</v>
      </c>
      <c r="O52" s="6">
        <f t="shared" si="14"/>
        <v>1.4865900000000001</v>
      </c>
      <c r="P52" s="6">
        <f t="shared" si="14"/>
        <v>1.5183800000000001</v>
      </c>
      <c r="Q52" s="6">
        <f t="shared" si="14"/>
        <v>1.55017</v>
      </c>
      <c r="R52">
        <v>1.58196</v>
      </c>
      <c r="S52" s="6">
        <f t="shared" si="15"/>
        <v>1.5817920000000001</v>
      </c>
      <c r="T52" s="6">
        <f t="shared" si="15"/>
        <v>1.5816240000000001</v>
      </c>
      <c r="U52" s="6">
        <f t="shared" si="15"/>
        <v>1.581456</v>
      </c>
      <c r="V52" s="6">
        <f t="shared" si="15"/>
        <v>1.581288</v>
      </c>
      <c r="W52">
        <v>1.5811200000000001</v>
      </c>
      <c r="X52" s="6">
        <f t="shared" si="16"/>
        <v>1.587294</v>
      </c>
      <c r="Y52" s="6">
        <f t="shared" si="16"/>
        <v>1.5934680000000001</v>
      </c>
      <c r="Z52" s="6">
        <f t="shared" si="16"/>
        <v>1.599642</v>
      </c>
      <c r="AA52" s="6">
        <f t="shared" si="16"/>
        <v>1.6058160000000001</v>
      </c>
      <c r="AB52">
        <v>1.61199</v>
      </c>
      <c r="AC52" s="6">
        <f t="shared" si="17"/>
        <v>1.6491800000000001</v>
      </c>
      <c r="AD52" s="6">
        <f t="shared" si="17"/>
        <v>1.6863700000000001</v>
      </c>
      <c r="AE52" s="6">
        <f t="shared" si="17"/>
        <v>1.72356</v>
      </c>
      <c r="AF52" s="6">
        <f t="shared" si="17"/>
        <v>1.76075</v>
      </c>
      <c r="AG52">
        <v>1.7979400000000001</v>
      </c>
      <c r="AH52" s="9">
        <f>SUM(Tableau2[[#This Row],[2022]:[2050]])</f>
        <v>41.084278000000005</v>
      </c>
    </row>
    <row r="53" spans="1:34" x14ac:dyDescent="0.15">
      <c r="A53" s="5" t="s">
        <v>91</v>
      </c>
      <c r="B53" s="5" t="s">
        <v>104</v>
      </c>
      <c r="C53" s="2" t="s">
        <v>5</v>
      </c>
      <c r="D53" s="5" t="s">
        <v>94</v>
      </c>
      <c r="E53" s="10">
        <v>8.6854800000000006E-3</v>
      </c>
      <c r="F53" s="10">
        <f t="shared" si="12"/>
        <v>9.2445866666666671E-3</v>
      </c>
      <c r="G53" s="10">
        <f t="shared" si="12"/>
        <v>9.8036933333333336E-3</v>
      </c>
      <c r="H53" s="10">
        <v>1.03628E-2</v>
      </c>
      <c r="I53" s="10">
        <f t="shared" si="13"/>
        <v>2.581932E-2</v>
      </c>
      <c r="J53" s="10">
        <f t="shared" si="13"/>
        <v>4.1275839999999994E-2</v>
      </c>
      <c r="K53" s="10">
        <f t="shared" si="13"/>
        <v>5.6732359999999989E-2</v>
      </c>
      <c r="L53" s="10">
        <f t="shared" si="13"/>
        <v>7.2188879999999997E-2</v>
      </c>
      <c r="M53" s="10">
        <v>8.7645399999999998E-2</v>
      </c>
      <c r="N53" s="10">
        <f t="shared" si="14"/>
        <v>0.15900832000000001</v>
      </c>
      <c r="O53" s="10">
        <f t="shared" si="14"/>
        <v>0.23037124000000003</v>
      </c>
      <c r="P53" s="10">
        <f t="shared" si="14"/>
        <v>0.30173416000000003</v>
      </c>
      <c r="Q53" s="10">
        <f t="shared" si="14"/>
        <v>0.37309708000000003</v>
      </c>
      <c r="R53" s="10">
        <v>0.44446000000000002</v>
      </c>
      <c r="S53" s="10">
        <f t="shared" si="15"/>
        <v>0.86715600000000004</v>
      </c>
      <c r="T53" s="10">
        <f t="shared" si="15"/>
        <v>1.289852</v>
      </c>
      <c r="U53" s="10">
        <f t="shared" si="15"/>
        <v>1.7125480000000002</v>
      </c>
      <c r="V53" s="10">
        <f t="shared" si="15"/>
        <v>2.1352440000000001</v>
      </c>
      <c r="W53" s="10">
        <v>2.5579399999999999</v>
      </c>
      <c r="X53" s="10">
        <f t="shared" si="16"/>
        <v>2.6379799999999998</v>
      </c>
      <c r="Y53" s="10">
        <f t="shared" si="16"/>
        <v>2.7180200000000001</v>
      </c>
      <c r="Z53" s="10">
        <f t="shared" si="16"/>
        <v>2.79806</v>
      </c>
      <c r="AA53" s="10">
        <f t="shared" si="16"/>
        <v>2.8781000000000003</v>
      </c>
      <c r="AB53" s="10">
        <v>2.9581400000000002</v>
      </c>
      <c r="AC53" s="10">
        <f t="shared" si="17"/>
        <v>3.0349300000000001</v>
      </c>
      <c r="AD53" s="10">
        <f t="shared" si="17"/>
        <v>3.11172</v>
      </c>
      <c r="AE53" s="10">
        <f t="shared" si="17"/>
        <v>3.18851</v>
      </c>
      <c r="AF53" s="10">
        <f t="shared" si="17"/>
        <v>3.2652999999999999</v>
      </c>
      <c r="AG53" s="10">
        <v>3.3420899999999998</v>
      </c>
      <c r="AH53" s="9">
        <f>SUM(Tableau2[[#This Row],[2022]:[2050]])</f>
        <v>40.326019160000001</v>
      </c>
    </row>
    <row r="54" spans="1:34" hidden="1" x14ac:dyDescent="0.15">
      <c r="A54" s="5" t="s">
        <v>91</v>
      </c>
      <c r="B54" s="5" t="s">
        <v>104</v>
      </c>
      <c r="C54" s="2" t="s">
        <v>5</v>
      </c>
      <c r="D54" s="5" t="s">
        <v>95</v>
      </c>
      <c r="E54" s="6">
        <v>8.6854800000000006E-3</v>
      </c>
      <c r="F54" s="6">
        <f t="shared" si="12"/>
        <v>9.8329533333333333E-3</v>
      </c>
      <c r="G54" s="6">
        <f t="shared" si="12"/>
        <v>1.0980426666666668E-2</v>
      </c>
      <c r="H54" s="6">
        <v>1.21279E-2</v>
      </c>
      <c r="I54" s="6">
        <f t="shared" si="13"/>
        <v>3.2849520000000007E-2</v>
      </c>
      <c r="J54" s="6">
        <f t="shared" si="13"/>
        <v>5.3571140000000003E-2</v>
      </c>
      <c r="K54" s="6">
        <f t="shared" si="13"/>
        <v>7.4292760000000013E-2</v>
      </c>
      <c r="L54" s="6">
        <f t="shared" si="13"/>
        <v>9.5014380000000009E-2</v>
      </c>
      <c r="M54" s="6">
        <v>0.11573600000000001</v>
      </c>
      <c r="N54" s="6">
        <f t="shared" si="14"/>
        <v>0.22947459999999997</v>
      </c>
      <c r="O54" s="6">
        <f t="shared" si="14"/>
        <v>0.3432132</v>
      </c>
      <c r="P54" s="6">
        <f t="shared" si="14"/>
        <v>0.45695179999999996</v>
      </c>
      <c r="Q54" s="6">
        <f t="shared" si="14"/>
        <v>0.57069039999999993</v>
      </c>
      <c r="R54" s="6">
        <v>0.68442899999999995</v>
      </c>
      <c r="S54" s="6">
        <f t="shared" si="15"/>
        <v>1.3259512</v>
      </c>
      <c r="T54" s="6">
        <f t="shared" si="15"/>
        <v>1.9674734</v>
      </c>
      <c r="U54" s="6">
        <f t="shared" si="15"/>
        <v>2.6089956000000001</v>
      </c>
      <c r="V54" s="6">
        <f t="shared" si="15"/>
        <v>3.2505177999999999</v>
      </c>
      <c r="W54" s="6">
        <v>3.8920400000000002</v>
      </c>
      <c r="X54" s="6">
        <f t="shared" si="16"/>
        <v>4.0265659999999999</v>
      </c>
      <c r="Y54" s="6">
        <f t="shared" si="16"/>
        <v>4.161092</v>
      </c>
      <c r="Z54" s="6">
        <f t="shared" si="16"/>
        <v>4.2956180000000002</v>
      </c>
      <c r="AA54" s="6">
        <f t="shared" si="16"/>
        <v>4.4301439999999994</v>
      </c>
      <c r="AB54" s="6">
        <v>4.5646699999999996</v>
      </c>
      <c r="AC54" s="6">
        <f t="shared" si="17"/>
        <v>4.6775419999999999</v>
      </c>
      <c r="AD54" s="6">
        <f t="shared" si="17"/>
        <v>4.7904140000000002</v>
      </c>
      <c r="AE54" s="6">
        <f t="shared" si="17"/>
        <v>4.9032859999999996</v>
      </c>
      <c r="AF54" s="6">
        <f t="shared" si="17"/>
        <v>5.0161579999999999</v>
      </c>
      <c r="AG54" s="6">
        <v>5.1290300000000002</v>
      </c>
      <c r="AH54" s="9">
        <f>SUM(Tableau2[[#This Row],[2022]:[2050]])</f>
        <v>61.737347560000003</v>
      </c>
    </row>
    <row r="55" spans="1:34" hidden="1" x14ac:dyDescent="0.15">
      <c r="A55" s="5" t="s">
        <v>91</v>
      </c>
      <c r="B55" s="5" t="s">
        <v>104</v>
      </c>
      <c r="C55" s="2" t="s">
        <v>5</v>
      </c>
      <c r="D55" s="5" t="s">
        <v>96</v>
      </c>
      <c r="E55" s="10">
        <v>8.6854800000000006E-3</v>
      </c>
      <c r="F55" s="10">
        <f t="shared" si="12"/>
        <v>1.1267353333333334E-2</v>
      </c>
      <c r="G55" s="10">
        <f t="shared" si="12"/>
        <v>1.3849226666666667E-2</v>
      </c>
      <c r="H55" s="10">
        <v>1.6431100000000001E-2</v>
      </c>
      <c r="I55" s="10">
        <f t="shared" si="13"/>
        <v>5.2555480000000002E-2</v>
      </c>
      <c r="J55" s="10">
        <f t="shared" si="13"/>
        <v>8.8679859999999999E-2</v>
      </c>
      <c r="K55" s="10">
        <f t="shared" si="13"/>
        <v>0.12480424</v>
      </c>
      <c r="L55" s="10">
        <f t="shared" si="13"/>
        <v>0.16092861999999999</v>
      </c>
      <c r="M55" s="10">
        <v>0.19705300000000001</v>
      </c>
      <c r="N55" s="10">
        <f t="shared" si="14"/>
        <v>0.36213240000000002</v>
      </c>
      <c r="O55" s="10">
        <f t="shared" si="14"/>
        <v>0.52721180000000001</v>
      </c>
      <c r="P55" s="10">
        <f t="shared" si="14"/>
        <v>0.69229120000000011</v>
      </c>
      <c r="Q55" s="10">
        <f t="shared" si="14"/>
        <v>0.85737060000000009</v>
      </c>
      <c r="R55" s="10">
        <v>1.0224500000000001</v>
      </c>
      <c r="S55" s="10">
        <f t="shared" si="15"/>
        <v>1.9242060000000001</v>
      </c>
      <c r="T55" s="10">
        <f t="shared" si="15"/>
        <v>2.8259620000000001</v>
      </c>
      <c r="U55" s="10">
        <f t="shared" si="15"/>
        <v>3.7277180000000003</v>
      </c>
      <c r="V55" s="10">
        <f t="shared" si="15"/>
        <v>4.6294740000000001</v>
      </c>
      <c r="W55" s="10">
        <v>5.5312299999999999</v>
      </c>
      <c r="X55" s="10">
        <f t="shared" si="16"/>
        <v>5.3227019999999996</v>
      </c>
      <c r="Y55" s="10">
        <f t="shared" si="16"/>
        <v>5.1141740000000002</v>
      </c>
      <c r="Z55" s="10">
        <f t="shared" si="16"/>
        <v>4.905646</v>
      </c>
      <c r="AA55" s="10">
        <f t="shared" si="16"/>
        <v>4.6971180000000006</v>
      </c>
      <c r="AB55" s="10">
        <v>4.4885900000000003</v>
      </c>
      <c r="AC55" s="10">
        <f t="shared" si="17"/>
        <v>4.593998</v>
      </c>
      <c r="AD55" s="10">
        <f t="shared" si="17"/>
        <v>4.6994059999999998</v>
      </c>
      <c r="AE55" s="10">
        <f t="shared" si="17"/>
        <v>4.8048140000000004</v>
      </c>
      <c r="AF55" s="10">
        <f t="shared" si="17"/>
        <v>4.9102220000000001</v>
      </c>
      <c r="AG55" s="10">
        <v>5.0156299999999998</v>
      </c>
      <c r="AH55" s="17">
        <f>SUM(Tableau2[[#This Row],[2022]:[2050]])</f>
        <v>71.32660036</v>
      </c>
    </row>
    <row r="56" spans="1:34" x14ac:dyDescent="0.15">
      <c r="A56" s="5" t="s">
        <v>91</v>
      </c>
      <c r="B56" s="5" t="s">
        <v>99</v>
      </c>
      <c r="C56" s="2" t="s">
        <v>6</v>
      </c>
      <c r="D56" s="5" t="s">
        <v>94</v>
      </c>
      <c r="E56" s="10">
        <v>9.6983599999999996E-3</v>
      </c>
      <c r="F56" s="10">
        <f t="shared" si="12"/>
        <v>9.5777366666666662E-3</v>
      </c>
      <c r="G56" s="10">
        <f t="shared" si="12"/>
        <v>9.4571133333333328E-3</v>
      </c>
      <c r="H56" s="10">
        <v>9.3364899999999994E-3</v>
      </c>
      <c r="I56" s="10">
        <f t="shared" si="13"/>
        <v>8.9794579999999992E-3</v>
      </c>
      <c r="J56" s="10">
        <f t="shared" si="13"/>
        <v>8.622425999999999E-3</v>
      </c>
      <c r="K56" s="10">
        <f t="shared" si="13"/>
        <v>8.2653939999999988E-3</v>
      </c>
      <c r="L56" s="10">
        <f t="shared" si="13"/>
        <v>7.9083620000000004E-3</v>
      </c>
      <c r="M56" s="10">
        <v>7.5513300000000002E-3</v>
      </c>
      <c r="N56" s="10">
        <f t="shared" si="14"/>
        <v>7.4323499999999999E-3</v>
      </c>
      <c r="O56" s="10">
        <f t="shared" si="14"/>
        <v>7.3133700000000005E-3</v>
      </c>
      <c r="P56" s="10">
        <f t="shared" si="14"/>
        <v>7.1943900000000002E-3</v>
      </c>
      <c r="Q56" s="10">
        <f t="shared" si="14"/>
        <v>7.0754100000000007E-3</v>
      </c>
      <c r="R56" s="10">
        <v>6.9564300000000004E-3</v>
      </c>
      <c r="S56" s="10">
        <f t="shared" si="15"/>
        <v>6.8728940000000001E-3</v>
      </c>
      <c r="T56" s="10">
        <f t="shared" si="15"/>
        <v>6.7893580000000005E-3</v>
      </c>
      <c r="U56" s="10">
        <f t="shared" si="15"/>
        <v>6.7058220000000002E-3</v>
      </c>
      <c r="V56" s="10">
        <f t="shared" si="15"/>
        <v>6.6222860000000007E-3</v>
      </c>
      <c r="W56" s="10">
        <v>6.5387500000000003E-3</v>
      </c>
      <c r="X56" s="10">
        <f t="shared" si="16"/>
        <v>6.7580840000000001E-3</v>
      </c>
      <c r="Y56" s="10">
        <f t="shared" si="16"/>
        <v>6.977418E-3</v>
      </c>
      <c r="Z56" s="10">
        <f t="shared" si="16"/>
        <v>7.1967520000000007E-3</v>
      </c>
      <c r="AA56" s="10">
        <f t="shared" si="16"/>
        <v>7.4160860000000006E-3</v>
      </c>
      <c r="AB56" s="10">
        <v>7.6354200000000004E-3</v>
      </c>
      <c r="AC56" s="10">
        <f t="shared" si="17"/>
        <v>7.8511700000000011E-3</v>
      </c>
      <c r="AD56" s="10">
        <f t="shared" si="17"/>
        <v>8.06692E-3</v>
      </c>
      <c r="AE56" s="10">
        <f t="shared" si="17"/>
        <v>8.2826700000000007E-3</v>
      </c>
      <c r="AF56" s="10">
        <f t="shared" si="17"/>
        <v>8.4984199999999996E-3</v>
      </c>
      <c r="AG56" s="10">
        <v>8.7141700000000002E-3</v>
      </c>
      <c r="AH56" s="9">
        <f>SUM(Tableau2[[#This Row],[2022]:[2050]])</f>
        <v>0.22629484</v>
      </c>
    </row>
    <row r="57" spans="1:34" hidden="1" x14ac:dyDescent="0.15">
      <c r="A57" s="5" t="s">
        <v>91</v>
      </c>
      <c r="B57" s="5" t="s">
        <v>99</v>
      </c>
      <c r="C57" s="2" t="s">
        <v>6</v>
      </c>
      <c r="D57" s="5" t="s">
        <v>95</v>
      </c>
      <c r="E57" s="6">
        <v>9.6983599999999996E-3</v>
      </c>
      <c r="F57" s="6">
        <f t="shared" si="12"/>
        <v>1.0153673333333333E-2</v>
      </c>
      <c r="G57" s="6">
        <f t="shared" si="12"/>
        <v>1.0608986666666665E-2</v>
      </c>
      <c r="H57" s="6">
        <v>1.1064299999999999E-2</v>
      </c>
      <c r="I57" s="6">
        <f t="shared" si="13"/>
        <v>1.0797942E-2</v>
      </c>
      <c r="J57" s="6">
        <f t="shared" si="13"/>
        <v>1.0531584E-2</v>
      </c>
      <c r="K57" s="6">
        <f t="shared" si="13"/>
        <v>1.0265225999999999E-2</v>
      </c>
      <c r="L57" s="6">
        <f t="shared" si="13"/>
        <v>9.9988679999999993E-3</v>
      </c>
      <c r="M57" s="6">
        <v>9.7325099999999998E-3</v>
      </c>
      <c r="N57" s="6">
        <f t="shared" si="14"/>
        <v>9.7690299999999997E-3</v>
      </c>
      <c r="O57" s="6">
        <f t="shared" si="14"/>
        <v>9.8055499999999997E-3</v>
      </c>
      <c r="P57" s="6">
        <f t="shared" si="14"/>
        <v>9.8420699999999996E-3</v>
      </c>
      <c r="Q57" s="6">
        <f t="shared" si="14"/>
        <v>9.8785899999999996E-3</v>
      </c>
      <c r="R57" s="6">
        <v>9.9151099999999995E-3</v>
      </c>
      <c r="S57" s="6">
        <f t="shared" si="15"/>
        <v>9.6636899999999991E-3</v>
      </c>
      <c r="T57" s="6">
        <f t="shared" si="15"/>
        <v>9.4122700000000004E-3</v>
      </c>
      <c r="U57" s="6">
        <f t="shared" si="15"/>
        <v>9.1608499999999999E-3</v>
      </c>
      <c r="V57" s="6">
        <f t="shared" si="15"/>
        <v>8.9094300000000012E-3</v>
      </c>
      <c r="W57" s="6">
        <v>8.6580100000000007E-3</v>
      </c>
      <c r="X57" s="6">
        <f t="shared" si="16"/>
        <v>8.7757100000000008E-3</v>
      </c>
      <c r="Y57" s="6">
        <f t="shared" si="16"/>
        <v>8.8934100000000009E-3</v>
      </c>
      <c r="Z57" s="6">
        <f t="shared" si="16"/>
        <v>9.0111099999999993E-3</v>
      </c>
      <c r="AA57" s="6">
        <f t="shared" si="16"/>
        <v>9.1288099999999994E-3</v>
      </c>
      <c r="AB57" s="6">
        <v>9.2465099999999995E-3</v>
      </c>
      <c r="AC57" s="6">
        <f t="shared" si="17"/>
        <v>9.2504379999999997E-3</v>
      </c>
      <c r="AD57" s="6">
        <f t="shared" si="17"/>
        <v>9.254366E-3</v>
      </c>
      <c r="AE57" s="6">
        <f t="shared" si="17"/>
        <v>9.2582940000000002E-3</v>
      </c>
      <c r="AF57" s="6">
        <f t="shared" si="17"/>
        <v>9.2622220000000005E-3</v>
      </c>
      <c r="AG57" s="6">
        <v>9.2661500000000008E-3</v>
      </c>
      <c r="AH57" s="9">
        <f>SUM(Tableau2[[#This Row],[2022]:[2050]])</f>
        <v>0.27921306999999995</v>
      </c>
    </row>
    <row r="58" spans="1:34" hidden="1" x14ac:dyDescent="0.15">
      <c r="A58" s="5" t="s">
        <v>91</v>
      </c>
      <c r="B58" s="5" t="s">
        <v>99</v>
      </c>
      <c r="C58" s="2" t="s">
        <v>6</v>
      </c>
      <c r="D58" s="5" t="s">
        <v>96</v>
      </c>
      <c r="E58" s="10">
        <v>9.6983599999999996E-3</v>
      </c>
      <c r="F58" s="10">
        <f t="shared" si="12"/>
        <v>1.2177506666666666E-2</v>
      </c>
      <c r="G58" s="10">
        <f t="shared" si="12"/>
        <v>1.4656653333333332E-2</v>
      </c>
      <c r="H58" s="10">
        <v>1.71358E-2</v>
      </c>
      <c r="I58" s="10">
        <f t="shared" si="13"/>
        <v>1.8530120000000001E-2</v>
      </c>
      <c r="J58" s="10">
        <f t="shared" si="13"/>
        <v>1.9924440000000002E-2</v>
      </c>
      <c r="K58" s="10">
        <f t="shared" si="13"/>
        <v>2.1318759999999999E-2</v>
      </c>
      <c r="L58" s="10">
        <f t="shared" si="13"/>
        <v>2.271308E-2</v>
      </c>
      <c r="M58" s="10">
        <v>2.4107400000000001E-2</v>
      </c>
      <c r="N58" s="10">
        <f t="shared" si="14"/>
        <v>2.33996E-2</v>
      </c>
      <c r="O58" s="10">
        <f t="shared" si="14"/>
        <v>2.2691800000000002E-2</v>
      </c>
      <c r="P58" s="10">
        <f t="shared" si="14"/>
        <v>2.1984E-2</v>
      </c>
      <c r="Q58" s="10">
        <f t="shared" si="14"/>
        <v>2.1276200000000002E-2</v>
      </c>
      <c r="R58" s="10">
        <v>2.0568400000000001E-2</v>
      </c>
      <c r="S58" s="10">
        <f t="shared" si="15"/>
        <v>1.964842E-2</v>
      </c>
      <c r="T58" s="10">
        <f t="shared" si="15"/>
        <v>1.8728439999999999E-2</v>
      </c>
      <c r="U58" s="10">
        <f t="shared" si="15"/>
        <v>1.7808459999999998E-2</v>
      </c>
      <c r="V58" s="10">
        <f t="shared" si="15"/>
        <v>1.6888480000000001E-2</v>
      </c>
      <c r="W58" s="10">
        <v>1.59685E-2</v>
      </c>
      <c r="X58" s="10">
        <f t="shared" si="16"/>
        <v>1.487864E-2</v>
      </c>
      <c r="Y58" s="10">
        <f t="shared" si="16"/>
        <v>1.378878E-2</v>
      </c>
      <c r="Z58" s="10">
        <f t="shared" si="16"/>
        <v>1.2698919999999999E-2</v>
      </c>
      <c r="AA58" s="10">
        <f t="shared" si="16"/>
        <v>1.1609059999999999E-2</v>
      </c>
      <c r="AB58" s="10">
        <v>1.0519199999999999E-2</v>
      </c>
      <c r="AC58" s="10">
        <f t="shared" si="17"/>
        <v>1.0051717999999999E-2</v>
      </c>
      <c r="AD58" s="10">
        <f t="shared" si="17"/>
        <v>9.5842359999999995E-3</v>
      </c>
      <c r="AE58" s="10">
        <f t="shared" si="17"/>
        <v>9.1167539999999995E-3</v>
      </c>
      <c r="AF58" s="10">
        <f t="shared" si="17"/>
        <v>8.6492719999999995E-3</v>
      </c>
      <c r="AG58" s="10">
        <v>8.1817899999999995E-3</v>
      </c>
      <c r="AH58" s="10">
        <f>SUM(Tableau2[[#This Row],[2022]:[2050]])</f>
        <v>0.46830279000000008</v>
      </c>
    </row>
    <row r="59" spans="1:34" x14ac:dyDescent="0.15">
      <c r="A59" s="5" t="s">
        <v>142</v>
      </c>
      <c r="B59" s="5" t="s">
        <v>141</v>
      </c>
      <c r="C59" s="2" t="s">
        <v>24</v>
      </c>
      <c r="D59" s="5" t="s">
        <v>94</v>
      </c>
      <c r="E59" s="11">
        <v>29.8398</v>
      </c>
      <c r="F59" s="10">
        <f t="shared" si="12"/>
        <v>37.136833333333335</v>
      </c>
      <c r="G59" s="10">
        <f t="shared" si="12"/>
        <v>44.433866666666667</v>
      </c>
      <c r="H59" s="10">
        <v>51.730899999999998</v>
      </c>
      <c r="I59" s="10">
        <f t="shared" si="13"/>
        <v>62.852919999999997</v>
      </c>
      <c r="J59" s="10">
        <f t="shared" si="13"/>
        <v>73.974940000000004</v>
      </c>
      <c r="K59" s="10">
        <f t="shared" si="13"/>
        <v>85.096959999999996</v>
      </c>
      <c r="L59" s="10">
        <f t="shared" si="13"/>
        <v>96.218979999999988</v>
      </c>
      <c r="M59" s="10">
        <v>107.34099999999999</v>
      </c>
      <c r="N59" s="10">
        <f t="shared" si="14"/>
        <v>124.06219999999999</v>
      </c>
      <c r="O59" s="10">
        <f t="shared" si="14"/>
        <v>140.7834</v>
      </c>
      <c r="P59" s="10">
        <f t="shared" si="14"/>
        <v>157.50460000000001</v>
      </c>
      <c r="Q59" s="10">
        <f t="shared" si="14"/>
        <v>174.22579999999999</v>
      </c>
      <c r="R59" s="10">
        <v>190.947</v>
      </c>
      <c r="S59" s="10">
        <f t="shared" si="15"/>
        <v>206.20160000000001</v>
      </c>
      <c r="T59" s="10">
        <f t="shared" si="15"/>
        <v>221.45620000000002</v>
      </c>
      <c r="U59" s="10">
        <f t="shared" si="15"/>
        <v>236.71080000000001</v>
      </c>
      <c r="V59" s="10">
        <f t="shared" si="15"/>
        <v>251.96540000000002</v>
      </c>
      <c r="W59" s="10">
        <v>267.22000000000003</v>
      </c>
      <c r="X59" s="10">
        <f t="shared" si="16"/>
        <v>268.26820000000004</v>
      </c>
      <c r="Y59" s="10">
        <f t="shared" si="16"/>
        <v>269.31640000000004</v>
      </c>
      <c r="Z59" s="10">
        <f t="shared" si="16"/>
        <v>270.3646</v>
      </c>
      <c r="AA59" s="10">
        <f t="shared" si="16"/>
        <v>271.4128</v>
      </c>
      <c r="AB59" s="10">
        <v>272.46100000000001</v>
      </c>
      <c r="AC59" s="10">
        <f t="shared" si="17"/>
        <v>266.99920000000003</v>
      </c>
      <c r="AD59" s="10">
        <f t="shared" si="17"/>
        <v>261.53739999999999</v>
      </c>
      <c r="AE59" s="10">
        <f t="shared" si="17"/>
        <v>256.07560000000001</v>
      </c>
      <c r="AF59" s="10">
        <f t="shared" si="17"/>
        <v>250.6138</v>
      </c>
      <c r="AG59" s="10">
        <v>245.15199999999999</v>
      </c>
      <c r="AH59" s="9">
        <f>SUM(Tableau2[[#This Row],[2022]:[2050]])</f>
        <v>5191.9042000000009</v>
      </c>
    </row>
    <row r="60" spans="1:34" hidden="1" x14ac:dyDescent="0.15">
      <c r="A60" s="5" t="s">
        <v>142</v>
      </c>
      <c r="B60" s="5" t="s">
        <v>141</v>
      </c>
      <c r="C60" s="2" t="s">
        <v>24</v>
      </c>
      <c r="D60" s="5" t="s">
        <v>95</v>
      </c>
      <c r="E60" s="5">
        <v>29.8398</v>
      </c>
      <c r="F60" s="6">
        <f t="shared" si="12"/>
        <v>43.288233333333338</v>
      </c>
      <c r="G60" s="6">
        <f t="shared" si="12"/>
        <v>56.736666666666672</v>
      </c>
      <c r="H60">
        <v>70.185100000000006</v>
      </c>
      <c r="I60" s="6">
        <f t="shared" si="13"/>
        <v>89.770080000000007</v>
      </c>
      <c r="J60" s="6">
        <f t="shared" si="13"/>
        <v>109.35506000000001</v>
      </c>
      <c r="K60" s="6">
        <f t="shared" si="13"/>
        <v>128.94004000000001</v>
      </c>
      <c r="L60" s="6">
        <f t="shared" si="13"/>
        <v>148.52502000000001</v>
      </c>
      <c r="M60">
        <v>168.11</v>
      </c>
      <c r="N60" s="6">
        <f t="shared" si="14"/>
        <v>191.76080000000002</v>
      </c>
      <c r="O60" s="6">
        <f t="shared" si="14"/>
        <v>215.41159999999999</v>
      </c>
      <c r="P60" s="6">
        <f t="shared" si="14"/>
        <v>239.0624</v>
      </c>
      <c r="Q60" s="6">
        <f t="shared" si="14"/>
        <v>262.71319999999997</v>
      </c>
      <c r="R60">
        <v>286.36399999999998</v>
      </c>
      <c r="S60" s="6">
        <f t="shared" si="15"/>
        <v>318.21899999999999</v>
      </c>
      <c r="T60" s="6">
        <f t="shared" si="15"/>
        <v>350.07400000000001</v>
      </c>
      <c r="U60" s="6">
        <f t="shared" si="15"/>
        <v>381.92899999999997</v>
      </c>
      <c r="V60" s="6">
        <f t="shared" si="15"/>
        <v>413.78399999999999</v>
      </c>
      <c r="W60">
        <v>445.63900000000001</v>
      </c>
      <c r="X60" s="6">
        <f t="shared" si="16"/>
        <v>450.78680000000003</v>
      </c>
      <c r="Y60" s="6">
        <f t="shared" si="16"/>
        <v>455.93459999999999</v>
      </c>
      <c r="Z60" s="6">
        <f t="shared" si="16"/>
        <v>461.08240000000001</v>
      </c>
      <c r="AA60" s="6">
        <f t="shared" si="16"/>
        <v>466.23019999999997</v>
      </c>
      <c r="AB60">
        <v>471.37799999999999</v>
      </c>
      <c r="AC60" s="6">
        <f t="shared" si="17"/>
        <v>476.1354</v>
      </c>
      <c r="AD60" s="6">
        <f t="shared" si="17"/>
        <v>480.89280000000002</v>
      </c>
      <c r="AE60" s="6">
        <f t="shared" si="17"/>
        <v>485.65019999999998</v>
      </c>
      <c r="AF60" s="6">
        <f t="shared" si="17"/>
        <v>490.4076</v>
      </c>
      <c r="AG60">
        <v>495.16500000000002</v>
      </c>
      <c r="AH60" s="9">
        <f>SUM(Tableau2[[#This Row],[2022]:[2050]])</f>
        <v>8683.3700000000008</v>
      </c>
    </row>
    <row r="61" spans="1:34" hidden="1" x14ac:dyDescent="0.15">
      <c r="A61" s="5" t="s">
        <v>21</v>
      </c>
      <c r="B61" s="5" t="s">
        <v>141</v>
      </c>
      <c r="C61" s="2" t="s">
        <v>24</v>
      </c>
      <c r="D61" s="5" t="s">
        <v>96</v>
      </c>
      <c r="E61" s="10">
        <v>557.20100000000002</v>
      </c>
      <c r="F61" s="10">
        <f t="shared" si="12"/>
        <v>986.25399999999991</v>
      </c>
      <c r="G61" s="10">
        <f t="shared" si="12"/>
        <v>1415.3069999999998</v>
      </c>
      <c r="H61" s="10">
        <v>1844.36</v>
      </c>
      <c r="I61" s="10">
        <f t="shared" si="13"/>
        <v>2298.482</v>
      </c>
      <c r="J61" s="10">
        <f t="shared" si="13"/>
        <v>2752.6040000000003</v>
      </c>
      <c r="K61" s="10">
        <f t="shared" si="13"/>
        <v>3206.7260000000006</v>
      </c>
      <c r="L61" s="10">
        <f t="shared" si="13"/>
        <v>3660.8480000000004</v>
      </c>
      <c r="M61" s="10">
        <v>4114.97</v>
      </c>
      <c r="N61" s="10">
        <f t="shared" si="14"/>
        <v>4389.1900000000005</v>
      </c>
      <c r="O61" s="10">
        <f t="shared" si="14"/>
        <v>4663.41</v>
      </c>
      <c r="P61" s="10">
        <f t="shared" si="14"/>
        <v>4937.63</v>
      </c>
      <c r="Q61" s="10">
        <f t="shared" si="14"/>
        <v>5211.8500000000004</v>
      </c>
      <c r="R61" s="10">
        <v>5486.07</v>
      </c>
      <c r="S61" s="10">
        <f t="shared" si="15"/>
        <v>5296.9359999999997</v>
      </c>
      <c r="T61" s="10">
        <f t="shared" si="15"/>
        <v>5107.8019999999997</v>
      </c>
      <c r="U61" s="10">
        <f t="shared" si="15"/>
        <v>4918.6679999999997</v>
      </c>
      <c r="V61" s="10">
        <f t="shared" si="15"/>
        <v>4729.5339999999997</v>
      </c>
      <c r="W61" s="10">
        <v>4540.3999999999996</v>
      </c>
      <c r="X61" s="10">
        <f t="shared" si="16"/>
        <v>4389.6039999999994</v>
      </c>
      <c r="Y61" s="10">
        <f t="shared" si="16"/>
        <v>4238.808</v>
      </c>
      <c r="Z61" s="10">
        <f t="shared" si="16"/>
        <v>4088.0119999999997</v>
      </c>
      <c r="AA61" s="10">
        <f t="shared" si="16"/>
        <v>3937.2159999999999</v>
      </c>
      <c r="AB61" s="10">
        <v>3786.42</v>
      </c>
      <c r="AC61" s="10">
        <f t="shared" si="17"/>
        <v>3574.3519999999999</v>
      </c>
      <c r="AD61" s="10">
        <f t="shared" si="17"/>
        <v>3362.2840000000001</v>
      </c>
      <c r="AE61" s="10">
        <f t="shared" si="17"/>
        <v>3150.2159999999999</v>
      </c>
      <c r="AF61" s="10">
        <f t="shared" si="17"/>
        <v>2938.1480000000001</v>
      </c>
      <c r="AG61" s="10">
        <v>2726.08</v>
      </c>
      <c r="AH61" s="10">
        <f>SUM(Tableau2[[#This Row],[2022]:[2050]])</f>
        <v>106309.382</v>
      </c>
    </row>
    <row r="62" spans="1:34" x14ac:dyDescent="0.15">
      <c r="A62" s="5" t="s">
        <v>21</v>
      </c>
      <c r="B62" s="5" t="s">
        <v>141</v>
      </c>
      <c r="C62" s="2" t="s">
        <v>24</v>
      </c>
      <c r="D62" s="5" t="s">
        <v>94</v>
      </c>
      <c r="E62" s="10">
        <v>557.20100000000002</v>
      </c>
      <c r="F62" s="10">
        <f t="shared" ref="F62:G81" si="18">(($H62-$E62)/($H$1-$E$1))*(F$1-$E$1)+$E62</f>
        <v>683.3563333333334</v>
      </c>
      <c r="G62" s="10">
        <f t="shared" si="18"/>
        <v>809.51166666666666</v>
      </c>
      <c r="H62" s="10">
        <v>935.66700000000003</v>
      </c>
      <c r="I62" s="10">
        <f t="shared" ref="I62:L81" si="19">(($M62-$H62)/($M$1-$H$1))*(I$1-$H$1)+$H62</f>
        <v>1066.5835999999999</v>
      </c>
      <c r="J62" s="10">
        <f t="shared" si="19"/>
        <v>1197.5001999999999</v>
      </c>
      <c r="K62" s="10">
        <f t="shared" si="19"/>
        <v>1328.4168</v>
      </c>
      <c r="L62" s="10">
        <f t="shared" si="19"/>
        <v>1459.3334</v>
      </c>
      <c r="M62" s="10">
        <v>1590.25</v>
      </c>
      <c r="N62" s="10">
        <f t="shared" ref="N62:Q81" si="20">(($R62-$M62)/($R$1-$M$1))*(N$1-$M$1)+$M62</f>
        <v>1628.556</v>
      </c>
      <c r="O62" s="10">
        <f t="shared" si="20"/>
        <v>1666.8620000000001</v>
      </c>
      <c r="P62" s="10">
        <f t="shared" si="20"/>
        <v>1705.1679999999999</v>
      </c>
      <c r="Q62" s="10">
        <f t="shared" si="20"/>
        <v>1743.4739999999999</v>
      </c>
      <c r="R62" s="10">
        <v>1781.78</v>
      </c>
      <c r="S62" s="10">
        <f t="shared" ref="S62:V81" si="21">(($W62-$R62)/($W$1-$R$1))*(S$1-$R$1)+$R62</f>
        <v>1763.538</v>
      </c>
      <c r="T62" s="10">
        <f t="shared" si="21"/>
        <v>1745.296</v>
      </c>
      <c r="U62" s="10">
        <f t="shared" si="21"/>
        <v>1727.0539999999999</v>
      </c>
      <c r="V62" s="10">
        <f t="shared" si="21"/>
        <v>1708.8119999999999</v>
      </c>
      <c r="W62" s="10">
        <v>1690.57</v>
      </c>
      <c r="X62" s="10">
        <f t="shared" ref="X62:AA81" si="22">(($AB62-$W62)/($AB$1-$W$1))*(X$1-$W$1)+$W62</f>
        <v>1650.806</v>
      </c>
      <c r="Y62" s="10">
        <f t="shared" si="22"/>
        <v>1611.0419999999999</v>
      </c>
      <c r="Z62" s="10">
        <f t="shared" si="22"/>
        <v>1571.278</v>
      </c>
      <c r="AA62" s="10">
        <f t="shared" si="22"/>
        <v>1531.5139999999999</v>
      </c>
      <c r="AB62" s="10">
        <v>1491.75</v>
      </c>
      <c r="AC62" s="10">
        <f t="shared" ref="AC62:AF81" si="23">(($AG62-$AB62)/($AG$1-$AB$1))*(AC$1-$AB$1)+$AB62</f>
        <v>1408.88</v>
      </c>
      <c r="AD62" s="10">
        <f t="shared" si="23"/>
        <v>1326.01</v>
      </c>
      <c r="AE62" s="10">
        <f t="shared" si="23"/>
        <v>1243.1400000000001</v>
      </c>
      <c r="AF62" s="10">
        <f t="shared" si="23"/>
        <v>1160.27</v>
      </c>
      <c r="AG62" s="10">
        <v>1077.4000000000001</v>
      </c>
      <c r="AH62" s="9">
        <f>SUM(Tableau2[[#This Row],[2022]:[2050]])</f>
        <v>40861.019999999997</v>
      </c>
    </row>
    <row r="63" spans="1:34" hidden="1" x14ac:dyDescent="0.15">
      <c r="A63" s="5" t="s">
        <v>21</v>
      </c>
      <c r="B63" s="5" t="s">
        <v>141</v>
      </c>
      <c r="C63" s="2" t="s">
        <v>24</v>
      </c>
      <c r="D63" s="5" t="s">
        <v>95</v>
      </c>
      <c r="E63" s="6">
        <v>557.20100000000002</v>
      </c>
      <c r="F63" s="6">
        <f t="shared" si="18"/>
        <v>738.42066666666665</v>
      </c>
      <c r="G63" s="6">
        <f t="shared" si="18"/>
        <v>919.64033333333327</v>
      </c>
      <c r="H63">
        <v>1100.8599999999999</v>
      </c>
      <c r="I63" s="6">
        <f t="shared" si="19"/>
        <v>1367.9939999999999</v>
      </c>
      <c r="J63" s="6">
        <f t="shared" si="19"/>
        <v>1635.1280000000002</v>
      </c>
      <c r="K63" s="6">
        <f t="shared" si="19"/>
        <v>1902.2620000000002</v>
      </c>
      <c r="L63" s="6">
        <f t="shared" si="19"/>
        <v>2169.3960000000002</v>
      </c>
      <c r="M63">
        <v>2436.5300000000002</v>
      </c>
      <c r="N63" s="6">
        <f t="shared" si="20"/>
        <v>2689.8360000000002</v>
      </c>
      <c r="O63" s="6">
        <f t="shared" si="20"/>
        <v>2943.1420000000003</v>
      </c>
      <c r="P63" s="6">
        <f t="shared" si="20"/>
        <v>3196.4480000000003</v>
      </c>
      <c r="Q63" s="6">
        <f t="shared" si="20"/>
        <v>3449.7539999999999</v>
      </c>
      <c r="R63">
        <v>3703.06</v>
      </c>
      <c r="S63" s="6">
        <f t="shared" si="21"/>
        <v>3684.7019999999998</v>
      </c>
      <c r="T63" s="6">
        <f t="shared" si="21"/>
        <v>3666.3440000000001</v>
      </c>
      <c r="U63" s="6">
        <f t="shared" si="21"/>
        <v>3647.9859999999999</v>
      </c>
      <c r="V63" s="6">
        <f t="shared" si="21"/>
        <v>3629.6280000000002</v>
      </c>
      <c r="W63">
        <v>3611.27</v>
      </c>
      <c r="X63" s="6">
        <f t="shared" si="22"/>
        <v>3516.28</v>
      </c>
      <c r="Y63" s="6">
        <f t="shared" si="22"/>
        <v>3421.29</v>
      </c>
      <c r="Z63" s="6">
        <f t="shared" si="22"/>
        <v>3326.3</v>
      </c>
      <c r="AA63" s="6">
        <f t="shared" si="22"/>
        <v>3231.31</v>
      </c>
      <c r="AB63">
        <v>3136.32</v>
      </c>
      <c r="AC63" s="6">
        <f t="shared" si="23"/>
        <v>3006.21</v>
      </c>
      <c r="AD63" s="6">
        <f t="shared" si="23"/>
        <v>2876.1</v>
      </c>
      <c r="AE63" s="6">
        <f t="shared" si="23"/>
        <v>2745.99</v>
      </c>
      <c r="AF63" s="6">
        <f t="shared" si="23"/>
        <v>2615.88</v>
      </c>
      <c r="AG63">
        <v>2485.77</v>
      </c>
      <c r="AH63" s="9">
        <f>SUM(Tableau2[[#This Row],[2022]:[2050]])</f>
        <v>77411.052000000011</v>
      </c>
    </row>
    <row r="64" spans="1:34" hidden="1" x14ac:dyDescent="0.15">
      <c r="A64" s="5" t="s">
        <v>142</v>
      </c>
      <c r="B64" s="5" t="s">
        <v>141</v>
      </c>
      <c r="C64" s="2" t="s">
        <v>24</v>
      </c>
      <c r="D64" s="5" t="s">
        <v>96</v>
      </c>
      <c r="E64" s="11">
        <v>29.8398</v>
      </c>
      <c r="F64" s="10">
        <f t="shared" si="18"/>
        <v>54.652866666666668</v>
      </c>
      <c r="G64" s="10">
        <f t="shared" si="18"/>
        <v>79.465933333333339</v>
      </c>
      <c r="H64" s="10">
        <v>104.279</v>
      </c>
      <c r="I64" s="10">
        <f t="shared" si="19"/>
        <v>150.41419999999999</v>
      </c>
      <c r="J64" s="10">
        <f t="shared" si="19"/>
        <v>196.54939999999999</v>
      </c>
      <c r="K64" s="10">
        <f t="shared" si="19"/>
        <v>242.68459999999999</v>
      </c>
      <c r="L64" s="10">
        <f t="shared" si="19"/>
        <v>288.81979999999999</v>
      </c>
      <c r="M64" s="10">
        <v>334.95499999999998</v>
      </c>
      <c r="N64" s="10">
        <f t="shared" si="20"/>
        <v>377.58359999999999</v>
      </c>
      <c r="O64" s="10">
        <f t="shared" si="20"/>
        <v>420.21219999999994</v>
      </c>
      <c r="P64" s="10">
        <f t="shared" si="20"/>
        <v>462.84079999999994</v>
      </c>
      <c r="Q64" s="10">
        <f t="shared" si="20"/>
        <v>505.46939999999995</v>
      </c>
      <c r="R64" s="10">
        <v>548.09799999999996</v>
      </c>
      <c r="S64" s="10">
        <f t="shared" si="21"/>
        <v>601.07779999999991</v>
      </c>
      <c r="T64" s="10">
        <f t="shared" si="21"/>
        <v>654.05759999999998</v>
      </c>
      <c r="U64" s="10">
        <f t="shared" si="21"/>
        <v>707.03739999999993</v>
      </c>
      <c r="V64" s="10">
        <f t="shared" si="21"/>
        <v>760.0172</v>
      </c>
      <c r="W64" s="10">
        <v>812.99699999999996</v>
      </c>
      <c r="X64" s="10">
        <f t="shared" si="22"/>
        <v>818.07380000000001</v>
      </c>
      <c r="Y64" s="10">
        <f t="shared" si="22"/>
        <v>823.15059999999994</v>
      </c>
      <c r="Z64" s="10">
        <f t="shared" si="22"/>
        <v>828.22739999999999</v>
      </c>
      <c r="AA64" s="10">
        <f t="shared" si="22"/>
        <v>833.30419999999992</v>
      </c>
      <c r="AB64" s="10">
        <v>838.38099999999997</v>
      </c>
      <c r="AC64" s="10">
        <f t="shared" si="23"/>
        <v>819.13139999999999</v>
      </c>
      <c r="AD64" s="10">
        <f t="shared" si="23"/>
        <v>799.8818</v>
      </c>
      <c r="AE64" s="10">
        <f t="shared" si="23"/>
        <v>780.63220000000001</v>
      </c>
      <c r="AF64" s="10">
        <f t="shared" si="23"/>
        <v>761.38260000000002</v>
      </c>
      <c r="AG64" s="10">
        <v>742.13300000000004</v>
      </c>
      <c r="AH64" s="10">
        <f>SUM(Tableau2[[#This Row],[2022]:[2050]])</f>
        <v>15375.349600000001</v>
      </c>
    </row>
    <row r="65" spans="1:36" x14ac:dyDescent="0.15">
      <c r="A65" s="5" t="s">
        <v>91</v>
      </c>
      <c r="B65" s="5" t="s">
        <v>98</v>
      </c>
      <c r="C65" s="2" t="s">
        <v>7</v>
      </c>
      <c r="D65" s="5" t="s">
        <v>94</v>
      </c>
      <c r="E65" s="10">
        <v>3.2570599999999998E-2</v>
      </c>
      <c r="F65" s="10">
        <f t="shared" si="18"/>
        <v>3.4227266666666666E-2</v>
      </c>
      <c r="G65" s="10">
        <f t="shared" si="18"/>
        <v>3.5883933333333333E-2</v>
      </c>
      <c r="H65" s="10">
        <v>3.75406E-2</v>
      </c>
      <c r="I65" s="10">
        <f t="shared" si="19"/>
        <v>3.812492E-2</v>
      </c>
      <c r="J65" s="10">
        <f t="shared" si="19"/>
        <v>3.8709239999999999E-2</v>
      </c>
      <c r="K65" s="10">
        <f t="shared" si="19"/>
        <v>3.9293559999999998E-2</v>
      </c>
      <c r="L65" s="10">
        <f t="shared" si="19"/>
        <v>3.9877879999999997E-2</v>
      </c>
      <c r="M65" s="10">
        <v>4.0462199999999997E-2</v>
      </c>
      <c r="N65" s="10">
        <f t="shared" si="20"/>
        <v>4.1445320000000001E-2</v>
      </c>
      <c r="O65" s="10">
        <f t="shared" si="20"/>
        <v>4.2428439999999998E-2</v>
      </c>
      <c r="P65" s="10">
        <f t="shared" si="20"/>
        <v>4.3411560000000002E-2</v>
      </c>
      <c r="Q65" s="10">
        <f t="shared" si="20"/>
        <v>4.4394679999999999E-2</v>
      </c>
      <c r="R65" s="10">
        <v>4.5377800000000003E-2</v>
      </c>
      <c r="S65" s="10">
        <f t="shared" si="21"/>
        <v>5.0883020000000001E-2</v>
      </c>
      <c r="T65" s="10">
        <f t="shared" si="21"/>
        <v>5.6388239999999999E-2</v>
      </c>
      <c r="U65" s="10">
        <f t="shared" si="21"/>
        <v>6.1893459999999997E-2</v>
      </c>
      <c r="V65" s="10">
        <f t="shared" si="21"/>
        <v>6.7398679999999989E-2</v>
      </c>
      <c r="W65" s="10">
        <v>7.2903899999999994E-2</v>
      </c>
      <c r="X65" s="10">
        <f t="shared" si="22"/>
        <v>7.4009599999999995E-2</v>
      </c>
      <c r="Y65" s="10">
        <f t="shared" si="22"/>
        <v>7.5115299999999996E-2</v>
      </c>
      <c r="Z65" s="10">
        <f t="shared" si="22"/>
        <v>7.6220999999999997E-2</v>
      </c>
      <c r="AA65" s="10">
        <f t="shared" si="22"/>
        <v>7.7326699999999998E-2</v>
      </c>
      <c r="AB65" s="10">
        <v>7.8432399999999999E-2</v>
      </c>
      <c r="AC65" s="10">
        <f t="shared" si="23"/>
        <v>7.9013739999999999E-2</v>
      </c>
      <c r="AD65" s="10">
        <f t="shared" si="23"/>
        <v>7.9595079999999999E-2</v>
      </c>
      <c r="AE65" s="10">
        <f t="shared" si="23"/>
        <v>8.0176419999999998E-2</v>
      </c>
      <c r="AF65" s="10">
        <f t="shared" si="23"/>
        <v>8.0757759999999998E-2</v>
      </c>
      <c r="AG65" s="10">
        <v>8.1339099999999998E-2</v>
      </c>
      <c r="AH65" s="9">
        <f>SUM(Tableau2[[#This Row],[2022]:[2050]])</f>
        <v>1.6452024000000001</v>
      </c>
    </row>
    <row r="66" spans="1:36" hidden="1" x14ac:dyDescent="0.15">
      <c r="A66" s="5" t="s">
        <v>91</v>
      </c>
      <c r="B66" s="5" t="s">
        <v>98</v>
      </c>
      <c r="C66" s="2" t="s">
        <v>7</v>
      </c>
      <c r="D66" s="5" t="s">
        <v>95</v>
      </c>
      <c r="E66" s="6">
        <v>3.2570599999999998E-2</v>
      </c>
      <c r="F66" s="6">
        <f t="shared" si="18"/>
        <v>3.5503066666666666E-2</v>
      </c>
      <c r="G66" s="6">
        <f t="shared" si="18"/>
        <v>3.8435533333333334E-2</v>
      </c>
      <c r="H66" s="6">
        <v>4.1368000000000002E-2</v>
      </c>
      <c r="I66" s="6">
        <f t="shared" si="19"/>
        <v>4.1124460000000002E-2</v>
      </c>
      <c r="J66" s="6">
        <f t="shared" si="19"/>
        <v>4.0880920000000001E-2</v>
      </c>
      <c r="K66" s="6">
        <f t="shared" si="19"/>
        <v>4.0637380000000001E-2</v>
      </c>
      <c r="L66" s="6">
        <f t="shared" si="19"/>
        <v>4.039384E-2</v>
      </c>
      <c r="M66" s="6">
        <v>4.01503E-2</v>
      </c>
      <c r="N66" s="6">
        <f t="shared" si="20"/>
        <v>4.3083299999999998E-2</v>
      </c>
      <c r="O66" s="6">
        <f t="shared" si="20"/>
        <v>4.6016299999999996E-2</v>
      </c>
      <c r="P66" s="6">
        <f t="shared" si="20"/>
        <v>4.8949300000000001E-2</v>
      </c>
      <c r="Q66" s="6">
        <f t="shared" si="20"/>
        <v>5.1882299999999999E-2</v>
      </c>
      <c r="R66" s="6">
        <v>5.4815299999999997E-2</v>
      </c>
      <c r="S66" s="6">
        <f t="shared" si="21"/>
        <v>6.3496319999999995E-2</v>
      </c>
      <c r="T66" s="6">
        <f t="shared" si="21"/>
        <v>7.2177340000000006E-2</v>
      </c>
      <c r="U66" s="6">
        <f t="shared" si="21"/>
        <v>8.0858360000000004E-2</v>
      </c>
      <c r="V66" s="6">
        <f t="shared" si="21"/>
        <v>8.9539380000000002E-2</v>
      </c>
      <c r="W66" s="6">
        <v>9.8220399999999999E-2</v>
      </c>
      <c r="X66" s="6">
        <f t="shared" si="22"/>
        <v>0.10008912</v>
      </c>
      <c r="Y66" s="6">
        <f t="shared" si="22"/>
        <v>0.10195784000000001</v>
      </c>
      <c r="Z66" s="6">
        <f t="shared" si="22"/>
        <v>0.10382656</v>
      </c>
      <c r="AA66" s="6">
        <f t="shared" si="22"/>
        <v>0.10569528</v>
      </c>
      <c r="AB66" s="6">
        <v>0.10756400000000001</v>
      </c>
      <c r="AC66" s="6">
        <f t="shared" si="23"/>
        <v>0.10913440000000001</v>
      </c>
      <c r="AD66" s="6">
        <f t="shared" si="23"/>
        <v>0.11070480000000001</v>
      </c>
      <c r="AE66" s="6">
        <f t="shared" si="23"/>
        <v>0.11227520000000001</v>
      </c>
      <c r="AF66" s="6">
        <f t="shared" si="23"/>
        <v>0.11384560000000001</v>
      </c>
      <c r="AG66" s="6">
        <v>0.115416</v>
      </c>
      <c r="AH66" s="9">
        <f>SUM(Tableau2[[#This Row],[2022]:[2050]])</f>
        <v>2.0806112000000003</v>
      </c>
    </row>
    <row r="67" spans="1:36" hidden="1" x14ac:dyDescent="0.15">
      <c r="A67" s="5" t="s">
        <v>91</v>
      </c>
      <c r="B67" s="5" t="s">
        <v>98</v>
      </c>
      <c r="C67" s="2" t="s">
        <v>7</v>
      </c>
      <c r="D67" s="5" t="s">
        <v>96</v>
      </c>
      <c r="E67" s="10">
        <v>3.2570599999999998E-2</v>
      </c>
      <c r="F67" s="10">
        <f t="shared" si="18"/>
        <v>4.2490466666666664E-2</v>
      </c>
      <c r="G67" s="10">
        <f t="shared" si="18"/>
        <v>5.2410333333333337E-2</v>
      </c>
      <c r="H67" s="10">
        <v>6.2330200000000002E-2</v>
      </c>
      <c r="I67" s="10">
        <f t="shared" si="19"/>
        <v>6.8193840000000006E-2</v>
      </c>
      <c r="J67" s="10">
        <f t="shared" si="19"/>
        <v>7.4057480000000009E-2</v>
      </c>
      <c r="K67" s="10">
        <f t="shared" si="19"/>
        <v>7.9921120000000012E-2</v>
      </c>
      <c r="L67" s="10">
        <f t="shared" si="19"/>
        <v>8.5784760000000002E-2</v>
      </c>
      <c r="M67" s="10">
        <v>9.1648400000000005E-2</v>
      </c>
      <c r="N67" s="10">
        <f t="shared" si="20"/>
        <v>9.3907120000000011E-2</v>
      </c>
      <c r="O67" s="10">
        <f t="shared" si="20"/>
        <v>9.6165840000000002E-2</v>
      </c>
      <c r="P67" s="10">
        <f t="shared" si="20"/>
        <v>9.8424560000000008E-2</v>
      </c>
      <c r="Q67" s="10">
        <f t="shared" si="20"/>
        <v>0.10068328</v>
      </c>
      <c r="R67" s="10">
        <v>0.10294200000000001</v>
      </c>
      <c r="S67" s="10">
        <f t="shared" si="21"/>
        <v>0.1133422</v>
      </c>
      <c r="T67" s="10">
        <f t="shared" si="21"/>
        <v>0.1237424</v>
      </c>
      <c r="U67" s="10">
        <f t="shared" si="21"/>
        <v>0.1341426</v>
      </c>
      <c r="V67" s="10">
        <f t="shared" si="21"/>
        <v>0.1445428</v>
      </c>
      <c r="W67" s="10">
        <v>0.154943</v>
      </c>
      <c r="X67" s="10">
        <f t="shared" si="22"/>
        <v>0.14669779999999999</v>
      </c>
      <c r="Y67" s="10">
        <f t="shared" si="22"/>
        <v>0.13845260000000001</v>
      </c>
      <c r="Z67" s="10">
        <f t="shared" si="22"/>
        <v>0.1302074</v>
      </c>
      <c r="AA67" s="10">
        <f t="shared" si="22"/>
        <v>0.12196219999999999</v>
      </c>
      <c r="AB67" s="10">
        <v>0.113717</v>
      </c>
      <c r="AC67" s="10">
        <f t="shared" si="23"/>
        <v>0.1137978</v>
      </c>
      <c r="AD67" s="10">
        <f t="shared" si="23"/>
        <v>0.1138786</v>
      </c>
      <c r="AE67" s="10">
        <f t="shared" si="23"/>
        <v>0.1139594</v>
      </c>
      <c r="AF67" s="10">
        <f t="shared" si="23"/>
        <v>0.11404019999999999</v>
      </c>
      <c r="AG67" s="10">
        <v>0.114121</v>
      </c>
      <c r="AH67" s="10">
        <f>SUM(Tableau2[[#This Row],[2022]:[2050]])</f>
        <v>2.973077</v>
      </c>
    </row>
    <row r="68" spans="1:36" hidden="1" x14ac:dyDescent="0.15">
      <c r="A68" s="5" t="s">
        <v>22</v>
      </c>
      <c r="B68" s="5"/>
      <c r="C68" s="2" t="s">
        <v>3651</v>
      </c>
      <c r="D68" s="5" t="s">
        <v>96</v>
      </c>
      <c r="E68" s="6">
        <v>3.1381200000000001E-4</v>
      </c>
      <c r="F68" s="6">
        <f t="shared" si="18"/>
        <v>1.5877946666666663E-3</v>
      </c>
      <c r="G68" s="6">
        <f t="shared" si="18"/>
        <v>2.861777333333333E-3</v>
      </c>
      <c r="H68" s="6">
        <v>4.1357599999999996E-3</v>
      </c>
      <c r="I68" s="6">
        <f t="shared" si="19"/>
        <v>4.2953559999999993E-3</v>
      </c>
      <c r="J68" s="6">
        <f t="shared" si="19"/>
        <v>4.4549519999999999E-3</v>
      </c>
      <c r="K68" s="6">
        <f t="shared" si="19"/>
        <v>4.6145479999999996E-3</v>
      </c>
      <c r="L68" s="6">
        <f t="shared" si="19"/>
        <v>4.7741440000000001E-3</v>
      </c>
      <c r="M68" s="6">
        <v>4.9337399999999998E-3</v>
      </c>
      <c r="N68" s="6">
        <f t="shared" si="20"/>
        <v>5.0197280000000002E-3</v>
      </c>
      <c r="O68" s="6">
        <f t="shared" si="20"/>
        <v>5.1057159999999997E-3</v>
      </c>
      <c r="P68" s="6">
        <f t="shared" si="20"/>
        <v>5.1917040000000001E-3</v>
      </c>
      <c r="Q68" s="6">
        <f t="shared" si="20"/>
        <v>5.2776919999999996E-3</v>
      </c>
      <c r="R68" s="6">
        <v>5.36368E-3</v>
      </c>
      <c r="S68" s="6">
        <f t="shared" si="21"/>
        <v>5.1058539999999999E-3</v>
      </c>
      <c r="T68" s="6">
        <f t="shared" si="21"/>
        <v>4.8480279999999999E-3</v>
      </c>
      <c r="U68" s="6">
        <f t="shared" si="21"/>
        <v>4.5902019999999998E-3</v>
      </c>
      <c r="V68" s="6">
        <f t="shared" si="21"/>
        <v>4.3323759999999998E-3</v>
      </c>
      <c r="W68" s="6">
        <v>4.0745499999999997E-3</v>
      </c>
      <c r="X68" s="6">
        <f t="shared" si="22"/>
        <v>3.739582E-3</v>
      </c>
      <c r="Y68" s="6">
        <f t="shared" si="22"/>
        <v>3.4046139999999998E-3</v>
      </c>
      <c r="Z68" s="6">
        <f t="shared" si="22"/>
        <v>3.0696460000000001E-3</v>
      </c>
      <c r="AA68" s="6">
        <f t="shared" si="22"/>
        <v>2.7346779999999999E-3</v>
      </c>
      <c r="AB68" s="6">
        <v>2.3997100000000002E-3</v>
      </c>
      <c r="AC68" s="6">
        <f t="shared" si="23"/>
        <v>2.3720480000000003E-3</v>
      </c>
      <c r="AD68" s="6">
        <f t="shared" si="23"/>
        <v>2.3443860000000004E-3</v>
      </c>
      <c r="AE68" s="6">
        <f t="shared" si="23"/>
        <v>2.316724E-3</v>
      </c>
      <c r="AF68" s="6">
        <f t="shared" si="23"/>
        <v>2.2890620000000001E-3</v>
      </c>
      <c r="AG68" s="6">
        <v>2.2614000000000002E-3</v>
      </c>
      <c r="AH68" s="54">
        <f>SUM(Tableau2[[#This Row],[2022]:[2050]])</f>
        <v>0.10781326400000002</v>
      </c>
    </row>
    <row r="69" spans="1:36" x14ac:dyDescent="0.15">
      <c r="A69" s="5" t="s">
        <v>91</v>
      </c>
      <c r="B69" s="5" t="s">
        <v>100</v>
      </c>
      <c r="C69" s="2" t="s">
        <v>8</v>
      </c>
      <c r="D69" s="5" t="s">
        <v>94</v>
      </c>
      <c r="E69" s="10">
        <v>1.16354</v>
      </c>
      <c r="F69" s="10">
        <f t="shared" si="18"/>
        <v>1.2199266666666666</v>
      </c>
      <c r="G69" s="10">
        <f t="shared" si="18"/>
        <v>1.2763133333333334</v>
      </c>
      <c r="H69" s="10">
        <v>1.3327</v>
      </c>
      <c r="I69" s="10">
        <f t="shared" si="19"/>
        <v>1.3819999999999999</v>
      </c>
      <c r="J69" s="10">
        <f t="shared" si="19"/>
        <v>1.4313</v>
      </c>
      <c r="K69" s="10">
        <f t="shared" si="19"/>
        <v>1.4805999999999999</v>
      </c>
      <c r="L69" s="10">
        <f t="shared" si="19"/>
        <v>1.5299</v>
      </c>
      <c r="M69" s="10">
        <v>1.5791999999999999</v>
      </c>
      <c r="N69" s="10">
        <f t="shared" si="20"/>
        <v>1.5840639999999999</v>
      </c>
      <c r="O69" s="10">
        <f t="shared" si="20"/>
        <v>1.5889279999999999</v>
      </c>
      <c r="P69" s="10">
        <f t="shared" si="20"/>
        <v>1.5937920000000001</v>
      </c>
      <c r="Q69" s="10">
        <f t="shared" si="20"/>
        <v>1.5986560000000001</v>
      </c>
      <c r="R69" s="10">
        <v>1.6035200000000001</v>
      </c>
      <c r="S69" s="10">
        <f t="shared" si="21"/>
        <v>1.6185880000000001</v>
      </c>
      <c r="T69" s="10">
        <f t="shared" si="21"/>
        <v>1.633656</v>
      </c>
      <c r="U69" s="10">
        <f t="shared" si="21"/>
        <v>1.6487240000000001</v>
      </c>
      <c r="V69" s="10">
        <f t="shared" si="21"/>
        <v>1.6637919999999999</v>
      </c>
      <c r="W69" s="10">
        <v>1.67886</v>
      </c>
      <c r="X69" s="10">
        <f t="shared" si="22"/>
        <v>1.731752</v>
      </c>
      <c r="Y69" s="10">
        <f t="shared" si="22"/>
        <v>1.7846439999999999</v>
      </c>
      <c r="Z69" s="10">
        <f t="shared" si="22"/>
        <v>1.8375360000000001</v>
      </c>
      <c r="AA69" s="10">
        <f t="shared" si="22"/>
        <v>1.890428</v>
      </c>
      <c r="AB69" s="10">
        <v>1.9433199999999999</v>
      </c>
      <c r="AC69" s="10">
        <f t="shared" si="23"/>
        <v>1.9938020000000001</v>
      </c>
      <c r="AD69" s="10">
        <f t="shared" si="23"/>
        <v>2.0442840000000002</v>
      </c>
      <c r="AE69" s="10">
        <f t="shared" si="23"/>
        <v>2.0947659999999999</v>
      </c>
      <c r="AF69" s="10">
        <f t="shared" si="23"/>
        <v>2.145248</v>
      </c>
      <c r="AG69" s="10">
        <v>2.1957300000000002</v>
      </c>
      <c r="AH69" s="9">
        <f>SUM(Tableau2[[#This Row],[2022]:[2050]])</f>
        <v>48.269569999999995</v>
      </c>
    </row>
    <row r="70" spans="1:36" hidden="1" x14ac:dyDescent="0.15">
      <c r="A70" s="5" t="s">
        <v>91</v>
      </c>
      <c r="B70" s="5" t="s">
        <v>100</v>
      </c>
      <c r="C70" s="2" t="s">
        <v>8</v>
      </c>
      <c r="D70" s="5" t="s">
        <v>95</v>
      </c>
      <c r="E70" s="6">
        <v>1.16354</v>
      </c>
      <c r="F70" s="6">
        <f t="shared" si="18"/>
        <v>1.3040166666666666</v>
      </c>
      <c r="G70" s="6">
        <f t="shared" si="18"/>
        <v>1.4444933333333334</v>
      </c>
      <c r="H70" s="6">
        <v>1.58497</v>
      </c>
      <c r="I70" s="6">
        <f t="shared" si="19"/>
        <v>1.683654</v>
      </c>
      <c r="J70" s="6">
        <f t="shared" si="19"/>
        <v>1.782338</v>
      </c>
      <c r="K70" s="6">
        <f t="shared" si="19"/>
        <v>1.8810220000000002</v>
      </c>
      <c r="L70" s="6">
        <f t="shared" si="19"/>
        <v>1.9797060000000002</v>
      </c>
      <c r="M70" s="6">
        <v>2.0783900000000002</v>
      </c>
      <c r="N70" s="6">
        <f t="shared" si="20"/>
        <v>2.1464980000000002</v>
      </c>
      <c r="O70" s="6">
        <f t="shared" si="20"/>
        <v>2.2146060000000003</v>
      </c>
      <c r="P70" s="6">
        <f t="shared" si="20"/>
        <v>2.2827139999999999</v>
      </c>
      <c r="Q70" s="6">
        <f t="shared" si="20"/>
        <v>2.350822</v>
      </c>
      <c r="R70" s="6">
        <v>2.41893</v>
      </c>
      <c r="S70" s="6">
        <f t="shared" si="21"/>
        <v>2.42971</v>
      </c>
      <c r="T70" s="6">
        <f t="shared" si="21"/>
        <v>2.44049</v>
      </c>
      <c r="U70" s="6">
        <f t="shared" si="21"/>
        <v>2.4512700000000001</v>
      </c>
      <c r="V70" s="6">
        <f t="shared" si="21"/>
        <v>2.4620500000000001</v>
      </c>
      <c r="W70" s="6">
        <v>2.4728300000000001</v>
      </c>
      <c r="X70" s="6">
        <f t="shared" si="22"/>
        <v>2.5535239999999999</v>
      </c>
      <c r="Y70" s="6">
        <f t="shared" si="22"/>
        <v>2.6342180000000002</v>
      </c>
      <c r="Z70" s="6">
        <f t="shared" si="22"/>
        <v>2.714912</v>
      </c>
      <c r="AA70" s="6">
        <f t="shared" si="22"/>
        <v>2.7956060000000003</v>
      </c>
      <c r="AB70" s="6">
        <v>2.8763000000000001</v>
      </c>
      <c r="AC70" s="6">
        <f t="shared" si="23"/>
        <v>2.9417240000000002</v>
      </c>
      <c r="AD70" s="6">
        <f t="shared" si="23"/>
        <v>3.0071479999999999</v>
      </c>
      <c r="AE70" s="6">
        <f t="shared" si="23"/>
        <v>3.0725720000000001</v>
      </c>
      <c r="AF70" s="6">
        <f t="shared" si="23"/>
        <v>3.1379959999999998</v>
      </c>
      <c r="AG70" s="6">
        <v>3.2034199999999999</v>
      </c>
      <c r="AH70" s="9">
        <f>SUM(Tableau2[[#This Row],[2022]:[2050]])</f>
        <v>67.509469999999993</v>
      </c>
    </row>
    <row r="71" spans="1:36" hidden="1" x14ac:dyDescent="0.15">
      <c r="A71" s="5" t="s">
        <v>91</v>
      </c>
      <c r="B71" s="5" t="s">
        <v>100</v>
      </c>
      <c r="C71" s="2" t="s">
        <v>8</v>
      </c>
      <c r="D71" s="5" t="s">
        <v>96</v>
      </c>
      <c r="E71" s="10">
        <v>1.16354</v>
      </c>
      <c r="F71" s="10">
        <f t="shared" si="18"/>
        <v>1.5153633333333334</v>
      </c>
      <c r="G71" s="10">
        <f t="shared" si="18"/>
        <v>1.8671866666666666</v>
      </c>
      <c r="H71" s="10">
        <v>2.2190099999999999</v>
      </c>
      <c r="I71" s="10">
        <f t="shared" si="19"/>
        <v>2.498122</v>
      </c>
      <c r="J71" s="10">
        <f t="shared" si="19"/>
        <v>2.777234</v>
      </c>
      <c r="K71" s="10">
        <f t="shared" si="19"/>
        <v>3.056346</v>
      </c>
      <c r="L71" s="10">
        <f t="shared" si="19"/>
        <v>3.335458</v>
      </c>
      <c r="M71" s="10">
        <v>3.6145700000000001</v>
      </c>
      <c r="N71" s="10">
        <f t="shared" si="20"/>
        <v>3.6316459999999999</v>
      </c>
      <c r="O71" s="10">
        <f t="shared" si="20"/>
        <v>3.6487219999999998</v>
      </c>
      <c r="P71" s="10">
        <f t="shared" si="20"/>
        <v>3.6657980000000001</v>
      </c>
      <c r="Q71" s="10">
        <f t="shared" si="20"/>
        <v>3.682874</v>
      </c>
      <c r="R71" s="10">
        <v>3.6999499999999999</v>
      </c>
      <c r="S71" s="10">
        <f t="shared" si="21"/>
        <v>3.6859439999999997</v>
      </c>
      <c r="T71" s="10">
        <f t="shared" si="21"/>
        <v>3.6719379999999999</v>
      </c>
      <c r="U71" s="10">
        <f t="shared" si="21"/>
        <v>3.6579319999999997</v>
      </c>
      <c r="V71" s="10">
        <f t="shared" si="21"/>
        <v>3.643926</v>
      </c>
      <c r="W71" s="10">
        <v>3.6299199999999998</v>
      </c>
      <c r="X71" s="10">
        <f t="shared" si="22"/>
        <v>3.493932</v>
      </c>
      <c r="Y71" s="10">
        <f t="shared" si="22"/>
        <v>3.3579439999999998</v>
      </c>
      <c r="Z71" s="10">
        <f t="shared" si="22"/>
        <v>3.221956</v>
      </c>
      <c r="AA71" s="10">
        <f t="shared" si="22"/>
        <v>3.0859680000000003</v>
      </c>
      <c r="AB71" s="10">
        <v>2.94998</v>
      </c>
      <c r="AC71" s="10">
        <f t="shared" si="23"/>
        <v>3.0196079999999998</v>
      </c>
      <c r="AD71" s="10">
        <f t="shared" si="23"/>
        <v>3.0892360000000001</v>
      </c>
      <c r="AE71" s="10">
        <f t="shared" si="23"/>
        <v>3.1588639999999999</v>
      </c>
      <c r="AF71" s="10">
        <f t="shared" si="23"/>
        <v>3.2284920000000001</v>
      </c>
      <c r="AG71" s="10">
        <v>3.2981199999999999</v>
      </c>
      <c r="AH71" s="10">
        <f>SUM(Tableau2[[#This Row],[2022]:[2050]])</f>
        <v>90.569579999999988</v>
      </c>
    </row>
    <row r="72" spans="1:36" x14ac:dyDescent="0.15">
      <c r="A72" s="5" t="s">
        <v>142</v>
      </c>
      <c r="B72" s="5" t="s">
        <v>141</v>
      </c>
      <c r="C72" s="2" t="s">
        <v>9</v>
      </c>
      <c r="D72" s="5" t="s">
        <v>94</v>
      </c>
      <c r="E72" s="11">
        <v>3.4353600000000002</v>
      </c>
      <c r="F72" s="10">
        <f t="shared" si="18"/>
        <v>4.1782900000000005</v>
      </c>
      <c r="G72" s="10">
        <f t="shared" si="18"/>
        <v>4.9212199999999999</v>
      </c>
      <c r="H72" s="10">
        <v>5.6641500000000002</v>
      </c>
      <c r="I72" s="10">
        <f t="shared" si="19"/>
        <v>6.8940000000000001</v>
      </c>
      <c r="J72" s="10">
        <f t="shared" si="19"/>
        <v>8.1238500000000009</v>
      </c>
      <c r="K72" s="10">
        <f t="shared" si="19"/>
        <v>9.3536999999999999</v>
      </c>
      <c r="L72" s="10">
        <f t="shared" si="19"/>
        <v>10.583549999999999</v>
      </c>
      <c r="M72" s="10">
        <v>11.8134</v>
      </c>
      <c r="N72" s="10">
        <f t="shared" si="20"/>
        <v>13.514519999999999</v>
      </c>
      <c r="O72" s="10">
        <f t="shared" si="20"/>
        <v>15.21564</v>
      </c>
      <c r="P72" s="10">
        <f t="shared" si="20"/>
        <v>16.91676</v>
      </c>
      <c r="Q72" s="10">
        <f t="shared" si="20"/>
        <v>18.61788</v>
      </c>
      <c r="R72" s="10">
        <v>20.318999999999999</v>
      </c>
      <c r="S72" s="10">
        <f t="shared" si="21"/>
        <v>21.638819999999999</v>
      </c>
      <c r="T72" s="10">
        <f t="shared" si="21"/>
        <v>22.958639999999999</v>
      </c>
      <c r="U72" s="10">
        <f t="shared" si="21"/>
        <v>24.278459999999999</v>
      </c>
      <c r="V72" s="10">
        <f t="shared" si="21"/>
        <v>25.598279999999999</v>
      </c>
      <c r="W72" s="10">
        <v>26.918099999999999</v>
      </c>
      <c r="X72" s="10">
        <f t="shared" si="22"/>
        <v>27.057399999999998</v>
      </c>
      <c r="Y72" s="10">
        <f t="shared" si="22"/>
        <v>27.1967</v>
      </c>
      <c r="Z72" s="10">
        <f t="shared" si="22"/>
        <v>27.335999999999999</v>
      </c>
      <c r="AA72" s="10">
        <f t="shared" si="22"/>
        <v>27.475300000000001</v>
      </c>
      <c r="AB72" s="10">
        <v>27.614599999999999</v>
      </c>
      <c r="AC72" s="10">
        <f t="shared" si="23"/>
        <v>27.010459999999998</v>
      </c>
      <c r="AD72" s="10">
        <f t="shared" si="23"/>
        <v>26.406320000000001</v>
      </c>
      <c r="AE72" s="10">
        <f t="shared" si="23"/>
        <v>25.80218</v>
      </c>
      <c r="AF72" s="10">
        <f t="shared" si="23"/>
        <v>25.198040000000002</v>
      </c>
      <c r="AG72" s="10">
        <v>24.593900000000001</v>
      </c>
      <c r="AH72" s="9">
        <f>SUM(Tableau2[[#This Row],[2022]:[2050]])</f>
        <v>536.63452000000007</v>
      </c>
    </row>
    <row r="73" spans="1:36" hidden="1" x14ac:dyDescent="0.15">
      <c r="A73" s="5" t="s">
        <v>142</v>
      </c>
      <c r="B73" s="5" t="s">
        <v>141</v>
      </c>
      <c r="C73" s="2" t="s">
        <v>9</v>
      </c>
      <c r="D73" s="5" t="s">
        <v>95</v>
      </c>
      <c r="E73" s="5">
        <v>3.4353600000000002</v>
      </c>
      <c r="F73" s="6">
        <f t="shared" si="18"/>
        <v>4.8518233333333338</v>
      </c>
      <c r="G73" s="6">
        <f t="shared" si="18"/>
        <v>6.2682866666666666</v>
      </c>
      <c r="H73">
        <v>7.6847500000000002</v>
      </c>
      <c r="I73" s="6">
        <f t="shared" si="19"/>
        <v>9.8480799999999995</v>
      </c>
      <c r="J73" s="6">
        <f t="shared" si="19"/>
        <v>12.01141</v>
      </c>
      <c r="K73" s="6">
        <f t="shared" si="19"/>
        <v>14.17474</v>
      </c>
      <c r="L73" s="6">
        <f t="shared" si="19"/>
        <v>16.338069999999998</v>
      </c>
      <c r="M73">
        <v>18.5014</v>
      </c>
      <c r="N73" s="6">
        <f t="shared" si="20"/>
        <v>20.895620000000001</v>
      </c>
      <c r="O73" s="6">
        <f t="shared" si="20"/>
        <v>23.289839999999998</v>
      </c>
      <c r="P73" s="6">
        <f t="shared" si="20"/>
        <v>25.684059999999999</v>
      </c>
      <c r="Q73" s="6">
        <f t="shared" si="20"/>
        <v>28.078279999999999</v>
      </c>
      <c r="R73">
        <v>30.4725</v>
      </c>
      <c r="S73" s="6">
        <f t="shared" si="21"/>
        <v>33.356180000000002</v>
      </c>
      <c r="T73" s="6">
        <f t="shared" si="21"/>
        <v>36.23986</v>
      </c>
      <c r="U73" s="6">
        <f t="shared" si="21"/>
        <v>39.123540000000006</v>
      </c>
      <c r="V73" s="6">
        <f t="shared" si="21"/>
        <v>42.007220000000004</v>
      </c>
      <c r="W73">
        <v>44.890900000000002</v>
      </c>
      <c r="X73" s="6">
        <f t="shared" si="22"/>
        <v>45.467780000000005</v>
      </c>
      <c r="Y73" s="6">
        <f t="shared" si="22"/>
        <v>46.04466</v>
      </c>
      <c r="Z73" s="6">
        <f t="shared" si="22"/>
        <v>46.621540000000003</v>
      </c>
      <c r="AA73" s="6">
        <f t="shared" si="22"/>
        <v>47.198419999999999</v>
      </c>
      <c r="AB73">
        <v>47.775300000000001</v>
      </c>
      <c r="AC73" s="6">
        <f t="shared" si="23"/>
        <v>48.155360000000002</v>
      </c>
      <c r="AD73" s="6">
        <f t="shared" si="23"/>
        <v>48.535420000000002</v>
      </c>
      <c r="AE73" s="6">
        <f t="shared" si="23"/>
        <v>48.915480000000002</v>
      </c>
      <c r="AF73" s="6">
        <f t="shared" si="23"/>
        <v>49.295540000000003</v>
      </c>
      <c r="AG73">
        <v>49.675600000000003</v>
      </c>
      <c r="AH73" s="9">
        <f>SUM(Tableau2[[#This Row],[2022]:[2050]])</f>
        <v>894.83702000000005</v>
      </c>
    </row>
    <row r="74" spans="1:36" hidden="1" x14ac:dyDescent="0.15">
      <c r="A74" s="5" t="s">
        <v>21</v>
      </c>
      <c r="B74" s="5" t="s">
        <v>141</v>
      </c>
      <c r="C74" s="2" t="s">
        <v>9</v>
      </c>
      <c r="D74" s="5" t="s">
        <v>96</v>
      </c>
      <c r="E74" s="10">
        <v>69.739000000000004</v>
      </c>
      <c r="F74" s="10">
        <f t="shared" si="18"/>
        <v>127.39366666666666</v>
      </c>
      <c r="G74" s="10">
        <f t="shared" si="18"/>
        <v>185.04833333333335</v>
      </c>
      <c r="H74" s="10">
        <v>242.703</v>
      </c>
      <c r="I74" s="10">
        <f t="shared" si="19"/>
        <v>312.47360000000003</v>
      </c>
      <c r="J74" s="10">
        <f t="shared" si="19"/>
        <v>382.24420000000003</v>
      </c>
      <c r="K74" s="10">
        <f t="shared" si="19"/>
        <v>452.01480000000004</v>
      </c>
      <c r="L74" s="10">
        <f t="shared" si="19"/>
        <v>521.7854000000001</v>
      </c>
      <c r="M74" s="10">
        <v>591.55600000000004</v>
      </c>
      <c r="N74" s="10">
        <f t="shared" si="20"/>
        <v>670.33220000000006</v>
      </c>
      <c r="O74" s="10">
        <f t="shared" si="20"/>
        <v>749.10840000000007</v>
      </c>
      <c r="P74" s="10">
        <f t="shared" si="20"/>
        <v>827.88459999999998</v>
      </c>
      <c r="Q74" s="10">
        <f t="shared" si="20"/>
        <v>906.66079999999999</v>
      </c>
      <c r="R74" s="10">
        <v>985.43700000000001</v>
      </c>
      <c r="S74" s="10">
        <f t="shared" si="21"/>
        <v>1009.4596</v>
      </c>
      <c r="T74" s="10">
        <f t="shared" si="21"/>
        <v>1033.4821999999999</v>
      </c>
      <c r="U74" s="10">
        <f t="shared" si="21"/>
        <v>1057.5047999999999</v>
      </c>
      <c r="V74" s="10">
        <f t="shared" si="21"/>
        <v>1081.5273999999999</v>
      </c>
      <c r="W74" s="10">
        <v>1105.55</v>
      </c>
      <c r="X74" s="10">
        <f t="shared" si="22"/>
        <v>1119.0339999999999</v>
      </c>
      <c r="Y74" s="10">
        <f t="shared" si="22"/>
        <v>1132.518</v>
      </c>
      <c r="Z74" s="10">
        <f t="shared" si="22"/>
        <v>1146.002</v>
      </c>
      <c r="AA74" s="10">
        <f t="shared" si="22"/>
        <v>1159.4860000000001</v>
      </c>
      <c r="AB74" s="10">
        <v>1172.97</v>
      </c>
      <c r="AC74" s="10">
        <f t="shared" si="23"/>
        <v>1159.1780000000001</v>
      </c>
      <c r="AD74" s="10">
        <f t="shared" si="23"/>
        <v>1145.386</v>
      </c>
      <c r="AE74" s="10">
        <f t="shared" si="23"/>
        <v>1131.5940000000001</v>
      </c>
      <c r="AF74" s="10">
        <f t="shared" si="23"/>
        <v>1117.8019999999999</v>
      </c>
      <c r="AG74" s="10">
        <v>1104.01</v>
      </c>
      <c r="AH74" s="10">
        <f>SUM(Tableau2[[#This Row],[2022]:[2050]])</f>
        <v>23699.884999999998</v>
      </c>
    </row>
    <row r="75" spans="1:36" x14ac:dyDescent="0.15">
      <c r="A75" s="5" t="s">
        <v>21</v>
      </c>
      <c r="B75" s="5" t="s">
        <v>141</v>
      </c>
      <c r="C75" s="2" t="s">
        <v>9</v>
      </c>
      <c r="D75" s="5" t="s">
        <v>94</v>
      </c>
      <c r="E75" s="10">
        <v>69.739000000000004</v>
      </c>
      <c r="F75" s="10">
        <f t="shared" si="18"/>
        <v>87.506</v>
      </c>
      <c r="G75" s="10">
        <f t="shared" si="18"/>
        <v>105.273</v>
      </c>
      <c r="H75" s="10">
        <v>123.04</v>
      </c>
      <c r="I75" s="10">
        <f t="shared" si="19"/>
        <v>144.03460000000001</v>
      </c>
      <c r="J75" s="10">
        <f t="shared" si="19"/>
        <v>165.0292</v>
      </c>
      <c r="K75" s="10">
        <f t="shared" si="19"/>
        <v>186.02379999999999</v>
      </c>
      <c r="L75" s="10">
        <f t="shared" si="19"/>
        <v>207.01839999999999</v>
      </c>
      <c r="M75" s="10">
        <v>228.01300000000001</v>
      </c>
      <c r="N75" s="10">
        <f t="shared" si="20"/>
        <v>247.4812</v>
      </c>
      <c r="O75" s="10">
        <f t="shared" si="20"/>
        <v>266.94939999999997</v>
      </c>
      <c r="P75" s="10">
        <f t="shared" si="20"/>
        <v>286.41759999999999</v>
      </c>
      <c r="Q75" s="10">
        <f t="shared" si="20"/>
        <v>305.88580000000002</v>
      </c>
      <c r="R75" s="10">
        <v>325.35399999999998</v>
      </c>
      <c r="S75" s="10">
        <f t="shared" si="21"/>
        <v>346.9246</v>
      </c>
      <c r="T75" s="10">
        <f t="shared" si="21"/>
        <v>368.49520000000001</v>
      </c>
      <c r="U75" s="10">
        <f t="shared" si="21"/>
        <v>390.06579999999997</v>
      </c>
      <c r="V75" s="10">
        <f t="shared" si="21"/>
        <v>411.63639999999998</v>
      </c>
      <c r="W75" s="10">
        <v>433.20699999999999</v>
      </c>
      <c r="X75" s="10">
        <f t="shared" si="22"/>
        <v>444.73700000000002</v>
      </c>
      <c r="Y75" s="10">
        <f t="shared" si="22"/>
        <v>456.267</v>
      </c>
      <c r="Z75" s="10">
        <f t="shared" si="22"/>
        <v>467.79700000000003</v>
      </c>
      <c r="AA75" s="10">
        <f t="shared" si="22"/>
        <v>479.327</v>
      </c>
      <c r="AB75" s="10">
        <v>490.85700000000003</v>
      </c>
      <c r="AC75" s="10">
        <f t="shared" si="23"/>
        <v>485.85400000000004</v>
      </c>
      <c r="AD75" s="10">
        <f t="shared" si="23"/>
        <v>480.851</v>
      </c>
      <c r="AE75" s="10">
        <f t="shared" si="23"/>
        <v>475.84800000000001</v>
      </c>
      <c r="AF75" s="10">
        <f t="shared" si="23"/>
        <v>470.84499999999997</v>
      </c>
      <c r="AG75" s="10">
        <v>465.84199999999998</v>
      </c>
      <c r="AH75" s="9">
        <f>SUM(Tableau2[[#This Row],[2022]:[2050]])</f>
        <v>9416.3190000000013</v>
      </c>
    </row>
    <row r="76" spans="1:36" hidden="1" x14ac:dyDescent="0.15">
      <c r="A76" s="5" t="s">
        <v>21</v>
      </c>
      <c r="B76" s="5" t="s">
        <v>141</v>
      </c>
      <c r="C76" s="2" t="s">
        <v>9</v>
      </c>
      <c r="D76" s="5" t="s">
        <v>95</v>
      </c>
      <c r="E76" s="6">
        <v>69.739000000000004</v>
      </c>
      <c r="F76" s="6">
        <f t="shared" si="18"/>
        <v>94.913333333333341</v>
      </c>
      <c r="G76" s="6">
        <f t="shared" si="18"/>
        <v>120.08766666666668</v>
      </c>
      <c r="H76">
        <v>145.262</v>
      </c>
      <c r="I76" s="6">
        <f t="shared" si="19"/>
        <v>186.1036</v>
      </c>
      <c r="J76" s="6">
        <f t="shared" si="19"/>
        <v>226.9452</v>
      </c>
      <c r="K76" s="6">
        <f t="shared" si="19"/>
        <v>267.78680000000003</v>
      </c>
      <c r="L76" s="6">
        <f t="shared" si="19"/>
        <v>308.62840000000006</v>
      </c>
      <c r="M76">
        <v>349.47</v>
      </c>
      <c r="N76" s="6">
        <f t="shared" si="20"/>
        <v>413.83080000000001</v>
      </c>
      <c r="O76" s="6">
        <f t="shared" si="20"/>
        <v>478.19159999999999</v>
      </c>
      <c r="P76" s="6">
        <f t="shared" si="20"/>
        <v>542.55240000000003</v>
      </c>
      <c r="Q76" s="6">
        <f t="shared" si="20"/>
        <v>606.91319999999996</v>
      </c>
      <c r="R76">
        <v>671.274</v>
      </c>
      <c r="S76" s="6">
        <f t="shared" si="21"/>
        <v>718.42939999999999</v>
      </c>
      <c r="T76" s="6">
        <f t="shared" si="21"/>
        <v>765.58479999999997</v>
      </c>
      <c r="U76" s="6">
        <f t="shared" si="21"/>
        <v>812.74019999999996</v>
      </c>
      <c r="V76" s="6">
        <f t="shared" si="21"/>
        <v>859.89560000000006</v>
      </c>
      <c r="W76">
        <v>907.05100000000004</v>
      </c>
      <c r="X76" s="6">
        <f t="shared" si="22"/>
        <v>926.77480000000003</v>
      </c>
      <c r="Y76" s="6">
        <f t="shared" si="22"/>
        <v>946.49860000000001</v>
      </c>
      <c r="Z76" s="6">
        <f t="shared" si="22"/>
        <v>966.22239999999999</v>
      </c>
      <c r="AA76" s="6">
        <f t="shared" si="22"/>
        <v>985.94619999999998</v>
      </c>
      <c r="AB76">
        <v>1005.67</v>
      </c>
      <c r="AC76" s="6">
        <f t="shared" si="23"/>
        <v>1012.434</v>
      </c>
      <c r="AD76" s="6">
        <f t="shared" si="23"/>
        <v>1019.198</v>
      </c>
      <c r="AE76" s="6">
        <f t="shared" si="23"/>
        <v>1025.962</v>
      </c>
      <c r="AF76" s="6">
        <f t="shared" si="23"/>
        <v>1032.7260000000001</v>
      </c>
      <c r="AG76">
        <v>1039.49</v>
      </c>
      <c r="AH76" s="9">
        <f>SUM(Tableau2[[#This Row],[2022]:[2050]])</f>
        <v>18506.321</v>
      </c>
    </row>
    <row r="77" spans="1:36" hidden="1" x14ac:dyDescent="0.15">
      <c r="A77" s="5" t="s">
        <v>142</v>
      </c>
      <c r="B77" s="5" t="s">
        <v>141</v>
      </c>
      <c r="C77" s="2" t="s">
        <v>9</v>
      </c>
      <c r="D77" s="5" t="s">
        <v>96</v>
      </c>
      <c r="E77" s="11">
        <v>3.4353600000000002</v>
      </c>
      <c r="F77" s="10">
        <f t="shared" si="18"/>
        <v>6.0961733333333328</v>
      </c>
      <c r="G77" s="10">
        <f t="shared" si="18"/>
        <v>8.7569866666666663</v>
      </c>
      <c r="H77" s="10">
        <v>11.4178</v>
      </c>
      <c r="I77" s="10">
        <f t="shared" si="19"/>
        <v>16.506959999999999</v>
      </c>
      <c r="J77" s="10">
        <f t="shared" si="19"/>
        <v>21.596119999999999</v>
      </c>
      <c r="K77" s="10">
        <f t="shared" si="19"/>
        <v>26.685279999999999</v>
      </c>
      <c r="L77" s="10">
        <f t="shared" si="19"/>
        <v>31.774439999999998</v>
      </c>
      <c r="M77" s="10">
        <v>36.863599999999998</v>
      </c>
      <c r="N77" s="10">
        <f t="shared" si="20"/>
        <v>41.155679999999997</v>
      </c>
      <c r="O77" s="10">
        <f t="shared" si="20"/>
        <v>45.447760000000002</v>
      </c>
      <c r="P77" s="10">
        <f t="shared" si="20"/>
        <v>49.739840000000001</v>
      </c>
      <c r="Q77" s="10">
        <f t="shared" si="20"/>
        <v>54.03192</v>
      </c>
      <c r="R77" s="10">
        <v>58.323999999999998</v>
      </c>
      <c r="S77" s="10">
        <f t="shared" si="21"/>
        <v>63.038460000000001</v>
      </c>
      <c r="T77" s="10">
        <f t="shared" si="21"/>
        <v>67.752920000000003</v>
      </c>
      <c r="U77" s="10">
        <f t="shared" si="21"/>
        <v>72.467379999999991</v>
      </c>
      <c r="V77" s="10">
        <f t="shared" si="21"/>
        <v>77.181839999999994</v>
      </c>
      <c r="W77" s="10">
        <v>81.896299999999997</v>
      </c>
      <c r="X77" s="10">
        <f t="shared" si="22"/>
        <v>82.511439999999993</v>
      </c>
      <c r="Y77" s="10">
        <f t="shared" si="22"/>
        <v>83.12657999999999</v>
      </c>
      <c r="Z77" s="10">
        <f t="shared" si="22"/>
        <v>83.741720000000001</v>
      </c>
      <c r="AA77" s="10">
        <f t="shared" si="22"/>
        <v>84.356859999999998</v>
      </c>
      <c r="AB77" s="10">
        <v>84.971999999999994</v>
      </c>
      <c r="AC77" s="10">
        <f t="shared" si="23"/>
        <v>82.867959999999997</v>
      </c>
      <c r="AD77" s="10">
        <f t="shared" si="23"/>
        <v>80.763919999999999</v>
      </c>
      <c r="AE77" s="10">
        <f t="shared" si="23"/>
        <v>78.659880000000001</v>
      </c>
      <c r="AF77" s="10">
        <f t="shared" si="23"/>
        <v>76.555840000000003</v>
      </c>
      <c r="AG77" s="10">
        <v>74.451800000000006</v>
      </c>
      <c r="AH77" s="10">
        <f>SUM(Tableau2[[#This Row],[2022]:[2050]])</f>
        <v>1586.1768200000001</v>
      </c>
    </row>
    <row r="78" spans="1:36" x14ac:dyDescent="0.15">
      <c r="A78" s="5" t="s">
        <v>142</v>
      </c>
      <c r="B78" s="5" t="s">
        <v>141</v>
      </c>
      <c r="C78" s="2" t="s">
        <v>11</v>
      </c>
      <c r="D78" s="5" t="s">
        <v>94</v>
      </c>
      <c r="E78" s="11">
        <v>3.2273100000000001</v>
      </c>
      <c r="F78" s="10">
        <f t="shared" si="18"/>
        <v>3.1604666666666668</v>
      </c>
      <c r="G78" s="10">
        <f t="shared" si="18"/>
        <v>3.0936233333333334</v>
      </c>
      <c r="H78" s="10">
        <v>3.02678</v>
      </c>
      <c r="I78" s="10">
        <f t="shared" si="19"/>
        <v>3.4454959999999999</v>
      </c>
      <c r="J78" s="10">
        <f t="shared" si="19"/>
        <v>3.8642120000000002</v>
      </c>
      <c r="K78" s="10">
        <f t="shared" si="19"/>
        <v>4.2829280000000001</v>
      </c>
      <c r="L78" s="10">
        <f t="shared" si="19"/>
        <v>4.7016439999999999</v>
      </c>
      <c r="M78" s="10">
        <v>5.1203599999999998</v>
      </c>
      <c r="N78" s="10">
        <f t="shared" si="20"/>
        <v>5.1114660000000001</v>
      </c>
      <c r="O78" s="10">
        <f t="shared" si="20"/>
        <v>5.1025720000000003</v>
      </c>
      <c r="P78" s="10">
        <f t="shared" si="20"/>
        <v>5.0936779999999997</v>
      </c>
      <c r="Q78" s="10">
        <f t="shared" si="20"/>
        <v>5.084784</v>
      </c>
      <c r="R78" s="10">
        <v>5.0758900000000002</v>
      </c>
      <c r="S78" s="10">
        <f t="shared" si="21"/>
        <v>4.7021820000000005</v>
      </c>
      <c r="T78" s="10">
        <f t="shared" si="21"/>
        <v>4.3284739999999999</v>
      </c>
      <c r="U78" s="10">
        <f t="shared" si="21"/>
        <v>3.9547660000000002</v>
      </c>
      <c r="V78" s="10">
        <f t="shared" si="21"/>
        <v>3.5810580000000001</v>
      </c>
      <c r="W78" s="10">
        <v>3.2073499999999999</v>
      </c>
      <c r="X78" s="10">
        <f t="shared" si="22"/>
        <v>2.6378442</v>
      </c>
      <c r="Y78" s="10">
        <f t="shared" si="22"/>
        <v>2.0683384</v>
      </c>
      <c r="Z78" s="10">
        <f t="shared" si="22"/>
        <v>1.4988326000000001</v>
      </c>
      <c r="AA78" s="10">
        <f t="shared" si="22"/>
        <v>0.92932680000000012</v>
      </c>
      <c r="AB78" s="10">
        <v>0.359821</v>
      </c>
      <c r="AC78" s="10">
        <f t="shared" si="23"/>
        <v>0.28785680000000002</v>
      </c>
      <c r="AD78" s="10">
        <f t="shared" si="23"/>
        <v>0.21589259999999999</v>
      </c>
      <c r="AE78" s="10">
        <f t="shared" si="23"/>
        <v>0.14392839999999998</v>
      </c>
      <c r="AF78" s="10">
        <f t="shared" si="23"/>
        <v>7.1964199999999978E-2</v>
      </c>
      <c r="AG78" s="10">
        <v>0</v>
      </c>
      <c r="AH78" s="9">
        <f>SUM(Tableau2[[#This Row],[2022]:[2050]])</f>
        <v>87.378844999999998</v>
      </c>
    </row>
    <row r="79" spans="1:36" hidden="1" x14ac:dyDescent="0.15">
      <c r="A79" s="5" t="s">
        <v>142</v>
      </c>
      <c r="B79" s="5" t="s">
        <v>141</v>
      </c>
      <c r="C79" s="2" t="s">
        <v>11</v>
      </c>
      <c r="D79" s="5" t="s">
        <v>95</v>
      </c>
      <c r="E79" s="5">
        <v>3.2273100000000001</v>
      </c>
      <c r="F79" s="6">
        <f t="shared" si="18"/>
        <v>3.5203866666666666</v>
      </c>
      <c r="G79" s="6">
        <f t="shared" si="18"/>
        <v>3.8134633333333334</v>
      </c>
      <c r="H79">
        <v>4.1065399999999999</v>
      </c>
      <c r="I79" s="6">
        <f t="shared" si="19"/>
        <v>4.889062</v>
      </c>
      <c r="J79" s="6">
        <f t="shared" si="19"/>
        <v>5.6715839999999993</v>
      </c>
      <c r="K79" s="6">
        <f t="shared" si="19"/>
        <v>6.4541059999999995</v>
      </c>
      <c r="L79" s="6">
        <f t="shared" si="19"/>
        <v>7.2366279999999996</v>
      </c>
      <c r="M79">
        <v>8.0191499999999998</v>
      </c>
      <c r="N79" s="6">
        <f t="shared" si="20"/>
        <v>7.9377879999999994</v>
      </c>
      <c r="O79" s="6">
        <f t="shared" si="20"/>
        <v>7.8564259999999999</v>
      </c>
      <c r="P79" s="6">
        <f t="shared" si="20"/>
        <v>7.7750639999999995</v>
      </c>
      <c r="Q79" s="6">
        <f t="shared" si="20"/>
        <v>7.693702</v>
      </c>
      <c r="R79">
        <v>7.6123399999999997</v>
      </c>
      <c r="S79" s="6">
        <f t="shared" si="21"/>
        <v>7.1596440000000001</v>
      </c>
      <c r="T79" s="6">
        <f t="shared" si="21"/>
        <v>6.7069479999999997</v>
      </c>
      <c r="U79" s="6">
        <f t="shared" si="21"/>
        <v>6.2542520000000001</v>
      </c>
      <c r="V79" s="6">
        <f t="shared" si="21"/>
        <v>5.8015559999999997</v>
      </c>
      <c r="W79">
        <v>5.3488600000000002</v>
      </c>
      <c r="X79" s="6">
        <f t="shared" si="22"/>
        <v>4.4035912000000001</v>
      </c>
      <c r="Y79" s="6">
        <f t="shared" si="22"/>
        <v>3.4583224000000001</v>
      </c>
      <c r="Z79" s="6">
        <f t="shared" si="22"/>
        <v>2.5130536000000001</v>
      </c>
      <c r="AA79" s="6">
        <f t="shared" si="22"/>
        <v>1.5677848000000001</v>
      </c>
      <c r="AB79">
        <v>0.62251599999999996</v>
      </c>
      <c r="AC79" s="6">
        <f t="shared" si="23"/>
        <v>0.49801279999999998</v>
      </c>
      <c r="AD79" s="6">
        <f t="shared" si="23"/>
        <v>0.3735096</v>
      </c>
      <c r="AE79" s="6">
        <f t="shared" si="23"/>
        <v>0.24900639999999996</v>
      </c>
      <c r="AF79" s="6">
        <f t="shared" si="23"/>
        <v>0.12450319999999998</v>
      </c>
      <c r="AG79">
        <v>0</v>
      </c>
      <c r="AH79" s="9">
        <f>SUM(Tableau2[[#This Row],[2022]:[2050]])</f>
        <v>130.89510999999999</v>
      </c>
    </row>
    <row r="80" spans="1:36" hidden="1" x14ac:dyDescent="0.15">
      <c r="A80" s="5" t="s">
        <v>20</v>
      </c>
      <c r="B80" s="5" t="s">
        <v>16</v>
      </c>
      <c r="C80" s="2" t="s">
        <v>11</v>
      </c>
      <c r="D80" s="5" t="s">
        <v>96</v>
      </c>
      <c r="E80" s="10">
        <v>79.9953</v>
      </c>
      <c r="F80" s="10">
        <f t="shared" si="18"/>
        <v>101.46419999999999</v>
      </c>
      <c r="G80" s="10">
        <f t="shared" si="18"/>
        <v>122.9331</v>
      </c>
      <c r="H80" s="10">
        <v>144.40199999999999</v>
      </c>
      <c r="I80" s="10">
        <f t="shared" si="19"/>
        <v>177.07159999999999</v>
      </c>
      <c r="J80" s="10">
        <f t="shared" si="19"/>
        <v>209.74119999999999</v>
      </c>
      <c r="K80" s="10">
        <f t="shared" si="19"/>
        <v>242.41079999999999</v>
      </c>
      <c r="L80" s="10">
        <f t="shared" si="19"/>
        <v>275.0804</v>
      </c>
      <c r="M80" s="10">
        <v>307.75</v>
      </c>
      <c r="N80" s="10">
        <f t="shared" si="20"/>
        <v>304.16899999999998</v>
      </c>
      <c r="O80" s="10">
        <f t="shared" si="20"/>
        <v>300.58800000000002</v>
      </c>
      <c r="P80" s="10">
        <f t="shared" si="20"/>
        <v>297.00700000000001</v>
      </c>
      <c r="Q80" s="10">
        <f t="shared" si="20"/>
        <v>293.42600000000004</v>
      </c>
      <c r="R80" s="10">
        <v>289.84500000000003</v>
      </c>
      <c r="S80" s="10">
        <f t="shared" si="21"/>
        <v>278.75880000000001</v>
      </c>
      <c r="T80" s="10">
        <f t="shared" si="21"/>
        <v>267.67259999999999</v>
      </c>
      <c r="U80" s="10">
        <f t="shared" si="21"/>
        <v>256.58640000000003</v>
      </c>
      <c r="V80" s="10">
        <f t="shared" si="21"/>
        <v>245.50020000000001</v>
      </c>
      <c r="W80" s="10">
        <v>234.41399999999999</v>
      </c>
      <c r="X80" s="10">
        <f t="shared" si="22"/>
        <v>220.1816</v>
      </c>
      <c r="Y80" s="10">
        <f t="shared" si="22"/>
        <v>205.94919999999999</v>
      </c>
      <c r="Z80" s="10">
        <f t="shared" si="22"/>
        <v>191.71680000000001</v>
      </c>
      <c r="AA80" s="10">
        <f t="shared" si="22"/>
        <v>177.48439999999999</v>
      </c>
      <c r="AB80" s="10">
        <v>163.25200000000001</v>
      </c>
      <c r="AC80" s="10">
        <f t="shared" si="23"/>
        <v>178.9794</v>
      </c>
      <c r="AD80" s="10">
        <f t="shared" si="23"/>
        <v>194.70680000000002</v>
      </c>
      <c r="AE80" s="10">
        <f t="shared" si="23"/>
        <v>210.4342</v>
      </c>
      <c r="AF80" s="10">
        <f t="shared" si="23"/>
        <v>226.16160000000002</v>
      </c>
      <c r="AG80" s="10">
        <v>241.88900000000001</v>
      </c>
      <c r="AH80" s="10">
        <f>SUM(Tableau2[[#This Row],[2022]:[2050]])</f>
        <v>6439.5706000000009</v>
      </c>
      <c r="AJ80" s="10"/>
    </row>
    <row r="81" spans="1:34" hidden="1" x14ac:dyDescent="0.15">
      <c r="A81" s="5" t="s">
        <v>21</v>
      </c>
      <c r="B81" s="5"/>
      <c r="C81" s="2" t="s">
        <v>11</v>
      </c>
      <c r="D81" s="5" t="s">
        <v>95</v>
      </c>
      <c r="E81" s="6">
        <v>75.369600000000005</v>
      </c>
      <c r="F81" s="6">
        <f t="shared" si="18"/>
        <v>72.80683333333333</v>
      </c>
      <c r="G81" s="6">
        <f t="shared" si="18"/>
        <v>70.244066666666669</v>
      </c>
      <c r="H81">
        <v>67.681299999999993</v>
      </c>
      <c r="I81" s="6">
        <f t="shared" si="19"/>
        <v>100.43844</v>
      </c>
      <c r="J81" s="6">
        <f t="shared" si="19"/>
        <v>133.19558000000001</v>
      </c>
      <c r="K81" s="6">
        <f t="shared" si="19"/>
        <v>165.95272</v>
      </c>
      <c r="L81" s="6">
        <f t="shared" si="19"/>
        <v>198.70986000000002</v>
      </c>
      <c r="M81">
        <v>231.46700000000001</v>
      </c>
      <c r="N81" s="6">
        <f t="shared" si="20"/>
        <v>304.20479999999998</v>
      </c>
      <c r="O81" s="6">
        <f t="shared" si="20"/>
        <v>376.94259999999997</v>
      </c>
      <c r="P81" s="6">
        <f t="shared" si="20"/>
        <v>449.68039999999996</v>
      </c>
      <c r="Q81" s="6">
        <f t="shared" si="20"/>
        <v>522.41819999999996</v>
      </c>
      <c r="R81">
        <v>595.15599999999995</v>
      </c>
      <c r="S81" s="6">
        <f t="shared" si="21"/>
        <v>681.72679999999991</v>
      </c>
      <c r="T81" s="6">
        <f t="shared" si="21"/>
        <v>768.29759999999999</v>
      </c>
      <c r="U81" s="6">
        <f t="shared" si="21"/>
        <v>854.86839999999995</v>
      </c>
      <c r="V81" s="6">
        <f t="shared" si="21"/>
        <v>941.43920000000003</v>
      </c>
      <c r="W81">
        <v>1028.01</v>
      </c>
      <c r="X81" s="6">
        <f t="shared" si="22"/>
        <v>1124.088</v>
      </c>
      <c r="Y81" s="6">
        <f t="shared" si="22"/>
        <v>1220.1659999999999</v>
      </c>
      <c r="Z81" s="6">
        <f t="shared" si="22"/>
        <v>1316.2440000000001</v>
      </c>
      <c r="AA81" s="6">
        <f t="shared" si="22"/>
        <v>1412.3220000000001</v>
      </c>
      <c r="AB81">
        <v>1508.4</v>
      </c>
      <c r="AC81" s="6">
        <f t="shared" si="23"/>
        <v>1606.1860000000001</v>
      </c>
      <c r="AD81" s="6">
        <f t="shared" si="23"/>
        <v>1703.972</v>
      </c>
      <c r="AE81" s="6">
        <f t="shared" si="23"/>
        <v>1801.758</v>
      </c>
      <c r="AF81" s="6">
        <f t="shared" si="23"/>
        <v>1899.5439999999999</v>
      </c>
      <c r="AG81">
        <v>1997.33</v>
      </c>
      <c r="AH81" s="9">
        <f>SUM(Tableau2[[#This Row],[2022]:[2050]])</f>
        <v>23228.619400000003</v>
      </c>
    </row>
    <row r="82" spans="1:34" x14ac:dyDescent="0.15">
      <c r="A82" s="5" t="s">
        <v>21</v>
      </c>
      <c r="B82" s="5"/>
      <c r="C82" s="2" t="s">
        <v>11</v>
      </c>
      <c r="D82" s="5" t="s">
        <v>94</v>
      </c>
      <c r="E82" s="10">
        <v>75.369600000000005</v>
      </c>
      <c r="F82" s="10">
        <f t="shared" ref="F82:G101" si="24">(($H82-$E82)/($H$1-$E$1))*(F$1-$E$1)+$E82</f>
        <v>69.543700000000001</v>
      </c>
      <c r="G82" s="10">
        <f t="shared" si="24"/>
        <v>63.717800000000004</v>
      </c>
      <c r="H82" s="10">
        <v>57.8919</v>
      </c>
      <c r="I82" s="10">
        <f t="shared" ref="I82:L101" si="25">(($M82-$H82)/($M$1-$H$1))*(I$1-$H$1)+$H82</f>
        <v>76.78492</v>
      </c>
      <c r="J82" s="10">
        <f t="shared" si="25"/>
        <v>95.677940000000007</v>
      </c>
      <c r="K82" s="10">
        <f t="shared" si="25"/>
        <v>114.57096</v>
      </c>
      <c r="L82" s="10">
        <f t="shared" si="25"/>
        <v>133.46397999999999</v>
      </c>
      <c r="M82" s="10">
        <v>152.357</v>
      </c>
      <c r="N82" s="10">
        <f t="shared" ref="N82:Q101" si="26">(($R82-$M82)/($R$1-$M$1))*(N$1-$M$1)+$M82</f>
        <v>181.49719999999999</v>
      </c>
      <c r="O82" s="10">
        <f t="shared" si="26"/>
        <v>210.63740000000001</v>
      </c>
      <c r="P82" s="10">
        <f t="shared" si="26"/>
        <v>239.77760000000001</v>
      </c>
      <c r="Q82" s="10">
        <f t="shared" si="26"/>
        <v>268.9178</v>
      </c>
      <c r="R82" s="10">
        <v>298.05799999999999</v>
      </c>
      <c r="S82" s="10">
        <f t="shared" ref="S82:V101" si="27">(($W82-$R82)/($W$1-$R$1))*(S$1-$R$1)+$R82</f>
        <v>342.74059999999997</v>
      </c>
      <c r="T82" s="10">
        <f t="shared" si="27"/>
        <v>387.42320000000001</v>
      </c>
      <c r="U82" s="10">
        <f t="shared" si="27"/>
        <v>432.10579999999999</v>
      </c>
      <c r="V82" s="10">
        <f t="shared" si="27"/>
        <v>476.78840000000002</v>
      </c>
      <c r="W82" s="10">
        <v>521.471</v>
      </c>
      <c r="X82" s="10">
        <f t="shared" ref="X82:AA101" si="28">(($AB82-$W82)/($AB$1-$W$1))*(X$1-$W$1)+$W82</f>
        <v>577.49260000000004</v>
      </c>
      <c r="Y82" s="10">
        <f t="shared" si="28"/>
        <v>633.51419999999996</v>
      </c>
      <c r="Z82" s="10">
        <f t="shared" si="28"/>
        <v>689.53579999999999</v>
      </c>
      <c r="AA82" s="10">
        <f t="shared" si="28"/>
        <v>745.55739999999992</v>
      </c>
      <c r="AB82" s="10">
        <v>801.57899999999995</v>
      </c>
      <c r="AC82" s="10">
        <f t="shared" ref="AC82:AF101" si="29">(($AG82-$AB82)/($AG$1-$AB$1))*(AC$1-$AB$1)+$AB82</f>
        <v>840.05199999999991</v>
      </c>
      <c r="AD82" s="10">
        <f t="shared" si="29"/>
        <v>878.52499999999998</v>
      </c>
      <c r="AE82" s="10">
        <f t="shared" si="29"/>
        <v>916.99799999999993</v>
      </c>
      <c r="AF82" s="10">
        <f t="shared" si="29"/>
        <v>955.471</v>
      </c>
      <c r="AG82" s="10">
        <v>993.94399999999996</v>
      </c>
      <c r="AH82" s="9">
        <f>SUM(Tableau2[[#This Row],[2022]:[2050]])</f>
        <v>12231.463799999996</v>
      </c>
    </row>
    <row r="83" spans="1:34" hidden="1" x14ac:dyDescent="0.15">
      <c r="A83" s="5" t="s">
        <v>21</v>
      </c>
      <c r="B83" s="5" t="s">
        <v>141</v>
      </c>
      <c r="C83" s="2" t="s">
        <v>11</v>
      </c>
      <c r="D83" s="5" t="s">
        <v>96</v>
      </c>
      <c r="E83" s="10">
        <v>75.369600000000005</v>
      </c>
      <c r="F83" s="10">
        <f t="shared" si="24"/>
        <v>87.880733333333339</v>
      </c>
      <c r="G83" s="10">
        <f t="shared" si="24"/>
        <v>100.39186666666667</v>
      </c>
      <c r="H83" s="10">
        <v>112.90300000000001</v>
      </c>
      <c r="I83" s="10">
        <f t="shared" si="25"/>
        <v>165.90880000000001</v>
      </c>
      <c r="J83" s="10">
        <f t="shared" si="25"/>
        <v>218.91460000000001</v>
      </c>
      <c r="K83" s="10">
        <f t="shared" si="25"/>
        <v>271.92040000000003</v>
      </c>
      <c r="L83" s="10">
        <f t="shared" si="25"/>
        <v>324.92619999999999</v>
      </c>
      <c r="M83" s="10">
        <v>377.93200000000002</v>
      </c>
      <c r="N83" s="10">
        <f t="shared" si="26"/>
        <v>465.62260000000003</v>
      </c>
      <c r="O83" s="10">
        <f t="shared" si="26"/>
        <v>553.31320000000005</v>
      </c>
      <c r="P83" s="10">
        <f t="shared" si="26"/>
        <v>641.00379999999996</v>
      </c>
      <c r="Q83" s="10">
        <f t="shared" si="26"/>
        <v>728.69439999999997</v>
      </c>
      <c r="R83" s="10">
        <v>816.38499999999999</v>
      </c>
      <c r="S83" s="10">
        <f t="shared" si="27"/>
        <v>878.33400000000006</v>
      </c>
      <c r="T83" s="10">
        <f t="shared" si="27"/>
        <v>940.28300000000002</v>
      </c>
      <c r="U83" s="10">
        <f t="shared" si="27"/>
        <v>1002.2320000000001</v>
      </c>
      <c r="V83" s="10">
        <f t="shared" si="27"/>
        <v>1064.181</v>
      </c>
      <c r="W83" s="10">
        <v>1126.1300000000001</v>
      </c>
      <c r="X83" s="10">
        <f t="shared" si="28"/>
        <v>1214.1280000000002</v>
      </c>
      <c r="Y83" s="10">
        <f t="shared" si="28"/>
        <v>1302.126</v>
      </c>
      <c r="Z83" s="10">
        <f t="shared" si="28"/>
        <v>1390.124</v>
      </c>
      <c r="AA83" s="10">
        <f t="shared" si="28"/>
        <v>1478.1219999999998</v>
      </c>
      <c r="AB83" s="10">
        <v>1566.12</v>
      </c>
      <c r="AC83" s="10">
        <f t="shared" si="29"/>
        <v>1638.242</v>
      </c>
      <c r="AD83" s="10">
        <f t="shared" si="29"/>
        <v>1710.364</v>
      </c>
      <c r="AE83" s="10">
        <f t="shared" si="29"/>
        <v>1782.4859999999999</v>
      </c>
      <c r="AF83" s="10">
        <f t="shared" si="29"/>
        <v>1854.6079999999999</v>
      </c>
      <c r="AG83" s="10">
        <v>1926.73</v>
      </c>
      <c r="AH83" s="10">
        <f>SUM(Tableau2[[#This Row],[2022]:[2050]])</f>
        <v>25815.376199999999</v>
      </c>
    </row>
    <row r="84" spans="1:34" x14ac:dyDescent="0.15">
      <c r="A84" s="5" t="s">
        <v>20</v>
      </c>
      <c r="B84" s="5" t="s">
        <v>16</v>
      </c>
      <c r="C84" s="2" t="s">
        <v>11</v>
      </c>
      <c r="D84" s="5" t="s">
        <v>94</v>
      </c>
      <c r="E84" s="10">
        <v>79.9953</v>
      </c>
      <c r="F84" s="10">
        <f t="shared" si="24"/>
        <v>82.013999999999996</v>
      </c>
      <c r="G84" s="10">
        <f t="shared" si="24"/>
        <v>84.032700000000006</v>
      </c>
      <c r="H84" s="10">
        <v>86.051400000000001</v>
      </c>
      <c r="I84" s="10">
        <f t="shared" si="25"/>
        <v>91.673320000000004</v>
      </c>
      <c r="J84" s="10">
        <f t="shared" si="25"/>
        <v>97.295240000000007</v>
      </c>
      <c r="K84" s="10">
        <f t="shared" si="25"/>
        <v>102.91716</v>
      </c>
      <c r="L84" s="10">
        <f t="shared" si="25"/>
        <v>108.53908</v>
      </c>
      <c r="M84" s="10">
        <v>114.161</v>
      </c>
      <c r="N84" s="10">
        <f t="shared" si="26"/>
        <v>113.533</v>
      </c>
      <c r="O84" s="10">
        <f t="shared" si="26"/>
        <v>112.905</v>
      </c>
      <c r="P84" s="10">
        <f t="shared" si="26"/>
        <v>112.277</v>
      </c>
      <c r="Q84" s="10">
        <f t="shared" si="26"/>
        <v>111.649</v>
      </c>
      <c r="R84" s="10">
        <v>111.021</v>
      </c>
      <c r="S84" s="10">
        <f t="shared" si="27"/>
        <v>109.4746</v>
      </c>
      <c r="T84" s="10">
        <f t="shared" si="27"/>
        <v>107.9282</v>
      </c>
      <c r="U84" s="10">
        <f t="shared" si="27"/>
        <v>106.3818</v>
      </c>
      <c r="V84" s="10">
        <f t="shared" si="27"/>
        <v>104.83540000000001</v>
      </c>
      <c r="W84" s="10">
        <v>103.289</v>
      </c>
      <c r="X84" s="10">
        <f t="shared" si="28"/>
        <v>108.123</v>
      </c>
      <c r="Y84" s="10">
        <f t="shared" si="28"/>
        <v>112.95700000000001</v>
      </c>
      <c r="Z84" s="10">
        <f t="shared" si="28"/>
        <v>117.791</v>
      </c>
      <c r="AA84" s="10">
        <f t="shared" si="28"/>
        <v>122.625</v>
      </c>
      <c r="AB84" s="10">
        <v>127.459</v>
      </c>
      <c r="AC84" s="10">
        <f t="shared" si="29"/>
        <v>130.12460000000002</v>
      </c>
      <c r="AD84" s="10">
        <f t="shared" si="29"/>
        <v>132.7902</v>
      </c>
      <c r="AE84" s="10">
        <f t="shared" si="29"/>
        <v>135.45580000000001</v>
      </c>
      <c r="AF84" s="10">
        <f t="shared" si="29"/>
        <v>138.12139999999999</v>
      </c>
      <c r="AG84" s="10">
        <v>140.78700000000001</v>
      </c>
      <c r="AH84" s="9">
        <f>SUM(Tableau2[[#This Row],[2022]:[2050]])</f>
        <v>3206.2071999999998</v>
      </c>
    </row>
    <row r="85" spans="1:34" hidden="1" x14ac:dyDescent="0.15">
      <c r="A85" s="5" t="s">
        <v>142</v>
      </c>
      <c r="B85" s="5" t="s">
        <v>141</v>
      </c>
      <c r="C85" s="2" t="s">
        <v>11</v>
      </c>
      <c r="D85" s="5" t="s">
        <v>96</v>
      </c>
      <c r="E85" s="11">
        <v>3.2273100000000001</v>
      </c>
      <c r="F85" s="10">
        <f t="shared" si="24"/>
        <v>4.1853366666666671</v>
      </c>
      <c r="G85" s="10">
        <f t="shared" si="24"/>
        <v>5.1433633333333333</v>
      </c>
      <c r="H85" s="10">
        <v>6.1013900000000003</v>
      </c>
      <c r="I85" s="10">
        <f t="shared" si="25"/>
        <v>8.0767120000000006</v>
      </c>
      <c r="J85" s="10">
        <f t="shared" si="25"/>
        <v>10.052033999999999</v>
      </c>
      <c r="K85" s="10">
        <f t="shared" si="25"/>
        <v>12.027355999999999</v>
      </c>
      <c r="L85" s="10">
        <f t="shared" si="25"/>
        <v>14.002678</v>
      </c>
      <c r="M85" s="10">
        <v>15.978</v>
      </c>
      <c r="N85" s="10">
        <f t="shared" si="26"/>
        <v>15.696400000000001</v>
      </c>
      <c r="O85" s="10">
        <f t="shared" si="26"/>
        <v>15.4148</v>
      </c>
      <c r="P85" s="10">
        <f t="shared" si="26"/>
        <v>15.1332</v>
      </c>
      <c r="Q85" s="10">
        <f t="shared" si="26"/>
        <v>14.851599999999999</v>
      </c>
      <c r="R85" s="10">
        <v>14.57</v>
      </c>
      <c r="S85" s="10">
        <f t="shared" si="27"/>
        <v>13.607628</v>
      </c>
      <c r="T85" s="10">
        <f t="shared" si="27"/>
        <v>12.645256</v>
      </c>
      <c r="U85" s="10">
        <f t="shared" si="27"/>
        <v>11.682884</v>
      </c>
      <c r="V85" s="10">
        <f t="shared" si="27"/>
        <v>10.720511999999999</v>
      </c>
      <c r="W85" s="10">
        <v>9.7581399999999991</v>
      </c>
      <c r="X85" s="10">
        <f t="shared" si="28"/>
        <v>8.0279499999999988</v>
      </c>
      <c r="Y85" s="10">
        <f t="shared" si="28"/>
        <v>6.2977599999999994</v>
      </c>
      <c r="Z85" s="10">
        <f t="shared" si="28"/>
        <v>4.5675699999999999</v>
      </c>
      <c r="AA85" s="10">
        <f t="shared" si="28"/>
        <v>2.8373799999999996</v>
      </c>
      <c r="AB85" s="10">
        <v>1.1071899999999999</v>
      </c>
      <c r="AC85" s="10">
        <f t="shared" si="29"/>
        <v>0.88575199999999987</v>
      </c>
      <c r="AD85" s="10">
        <f t="shared" si="29"/>
        <v>0.66431399999999996</v>
      </c>
      <c r="AE85" s="10">
        <f t="shared" si="29"/>
        <v>0.44287600000000005</v>
      </c>
      <c r="AF85" s="10">
        <f t="shared" si="29"/>
        <v>0.22143800000000002</v>
      </c>
      <c r="AG85" s="10">
        <v>0</v>
      </c>
      <c r="AH85" s="10">
        <f>SUM(Tableau2[[#This Row],[2022]:[2050]])</f>
        <v>237.92682999999997</v>
      </c>
    </row>
    <row r="86" spans="1:34" hidden="1" x14ac:dyDescent="0.15">
      <c r="A86" s="5" t="s">
        <v>20</v>
      </c>
      <c r="B86" s="5" t="s">
        <v>16</v>
      </c>
      <c r="C86" s="2" t="s">
        <v>11</v>
      </c>
      <c r="D86" s="5" t="s">
        <v>95</v>
      </c>
      <c r="E86" s="6">
        <v>79.9953</v>
      </c>
      <c r="F86" s="6">
        <f t="shared" si="24"/>
        <v>89.095200000000006</v>
      </c>
      <c r="G86" s="6">
        <f t="shared" si="24"/>
        <v>98.195099999999996</v>
      </c>
      <c r="H86">
        <v>107.295</v>
      </c>
      <c r="I86" s="6">
        <f t="shared" si="25"/>
        <v>118.43640000000001</v>
      </c>
      <c r="J86" s="6">
        <f t="shared" si="25"/>
        <v>129.5778</v>
      </c>
      <c r="K86" s="6">
        <f t="shared" si="25"/>
        <v>140.7192</v>
      </c>
      <c r="L86" s="6">
        <f t="shared" si="25"/>
        <v>151.86060000000001</v>
      </c>
      <c r="M86">
        <v>163.00200000000001</v>
      </c>
      <c r="N86" s="6">
        <f t="shared" si="26"/>
        <v>166.7748</v>
      </c>
      <c r="O86" s="6">
        <f t="shared" si="26"/>
        <v>170.54760000000002</v>
      </c>
      <c r="P86" s="6">
        <f t="shared" si="26"/>
        <v>174.32040000000001</v>
      </c>
      <c r="Q86" s="6">
        <f t="shared" si="26"/>
        <v>178.09320000000002</v>
      </c>
      <c r="R86">
        <v>181.86600000000001</v>
      </c>
      <c r="S86" s="6">
        <f t="shared" si="27"/>
        <v>182.6062</v>
      </c>
      <c r="T86" s="6">
        <f t="shared" si="27"/>
        <v>183.34640000000002</v>
      </c>
      <c r="U86" s="6">
        <f t="shared" si="27"/>
        <v>184.0866</v>
      </c>
      <c r="V86" s="6">
        <f t="shared" si="27"/>
        <v>184.82680000000002</v>
      </c>
      <c r="W86">
        <v>185.56700000000001</v>
      </c>
      <c r="X86" s="6">
        <f t="shared" si="28"/>
        <v>185.28880000000001</v>
      </c>
      <c r="Y86" s="6">
        <f t="shared" si="28"/>
        <v>185.01060000000001</v>
      </c>
      <c r="Z86" s="6">
        <f t="shared" si="28"/>
        <v>184.73239999999998</v>
      </c>
      <c r="AA86" s="6">
        <f t="shared" si="28"/>
        <v>184.45419999999999</v>
      </c>
      <c r="AB86">
        <v>184.17599999999999</v>
      </c>
      <c r="AC86" s="6">
        <f t="shared" si="29"/>
        <v>188.29759999999999</v>
      </c>
      <c r="AD86" s="6">
        <f t="shared" si="29"/>
        <v>192.41919999999999</v>
      </c>
      <c r="AE86" s="6">
        <f t="shared" si="29"/>
        <v>196.54079999999999</v>
      </c>
      <c r="AF86" s="6">
        <f t="shared" si="29"/>
        <v>200.66239999999999</v>
      </c>
      <c r="AG86">
        <v>204.78399999999999</v>
      </c>
      <c r="AH86" s="9">
        <f>SUM(Tableau2[[#This Row],[2022]:[2050]])</f>
        <v>4776.5775999999996</v>
      </c>
    </row>
    <row r="87" spans="1:34" x14ac:dyDescent="0.15">
      <c r="A87" s="5" t="s">
        <v>91</v>
      </c>
      <c r="B87" s="5" t="s">
        <v>16</v>
      </c>
      <c r="C87" s="2" t="s">
        <v>12</v>
      </c>
      <c r="D87" s="5" t="s">
        <v>94</v>
      </c>
      <c r="E87" s="10">
        <v>0.14333199999999999</v>
      </c>
      <c r="F87" s="10">
        <f t="shared" si="24"/>
        <v>0.15417166666666665</v>
      </c>
      <c r="G87" s="10">
        <f t="shared" si="24"/>
        <v>0.16501133333333334</v>
      </c>
      <c r="H87" s="10">
        <v>0.17585100000000001</v>
      </c>
      <c r="I87" s="10">
        <f t="shared" si="25"/>
        <v>0.18248059999999999</v>
      </c>
      <c r="J87" s="10">
        <f t="shared" si="25"/>
        <v>0.18911020000000001</v>
      </c>
      <c r="K87" s="10">
        <f t="shared" si="25"/>
        <v>0.19573979999999999</v>
      </c>
      <c r="L87" s="10">
        <f t="shared" si="25"/>
        <v>0.2023694</v>
      </c>
      <c r="M87" s="10">
        <v>0.20899899999999999</v>
      </c>
      <c r="N87" s="10">
        <f t="shared" si="26"/>
        <v>0.2110302</v>
      </c>
      <c r="O87" s="10">
        <f t="shared" si="26"/>
        <v>0.21306139999999998</v>
      </c>
      <c r="P87" s="10">
        <f t="shared" si="26"/>
        <v>0.21509259999999999</v>
      </c>
      <c r="Q87" s="10">
        <f t="shared" si="26"/>
        <v>0.21712379999999998</v>
      </c>
      <c r="R87" s="10">
        <v>0.21915499999999999</v>
      </c>
      <c r="S87" s="10">
        <f t="shared" si="27"/>
        <v>0.22080839999999999</v>
      </c>
      <c r="T87" s="10">
        <f t="shared" si="27"/>
        <v>0.22246179999999999</v>
      </c>
      <c r="U87" s="10">
        <f t="shared" si="27"/>
        <v>0.22411520000000001</v>
      </c>
      <c r="V87" s="10">
        <f t="shared" si="27"/>
        <v>0.22576860000000001</v>
      </c>
      <c r="W87" s="10">
        <v>0.22742200000000001</v>
      </c>
      <c r="X87" s="10">
        <f t="shared" si="28"/>
        <v>0.23042000000000001</v>
      </c>
      <c r="Y87" s="10">
        <f t="shared" si="28"/>
        <v>0.23341800000000001</v>
      </c>
      <c r="Z87" s="10">
        <f t="shared" si="28"/>
        <v>0.23641599999999999</v>
      </c>
      <c r="AA87" s="10">
        <f t="shared" si="28"/>
        <v>0.23941399999999999</v>
      </c>
      <c r="AB87" s="10">
        <v>0.24241199999999999</v>
      </c>
      <c r="AC87" s="10">
        <f t="shared" si="29"/>
        <v>0.2429992</v>
      </c>
      <c r="AD87" s="10">
        <f t="shared" si="29"/>
        <v>0.24358640000000001</v>
      </c>
      <c r="AE87" s="10">
        <f t="shared" si="29"/>
        <v>0.24417359999999999</v>
      </c>
      <c r="AF87" s="10">
        <f t="shared" si="29"/>
        <v>0.2447608</v>
      </c>
      <c r="AG87" s="10">
        <v>0.24534800000000001</v>
      </c>
      <c r="AH87" s="9">
        <f>SUM(Tableau2[[#This Row],[2022]:[2050]])</f>
        <v>6.2160519999999995</v>
      </c>
    </row>
    <row r="88" spans="1:34" hidden="1" x14ac:dyDescent="0.15">
      <c r="A88" s="5" t="s">
        <v>20</v>
      </c>
      <c r="B88" s="5" t="s">
        <v>16</v>
      </c>
      <c r="C88" s="2" t="s">
        <v>12</v>
      </c>
      <c r="D88" s="5" t="s">
        <v>96</v>
      </c>
      <c r="E88" s="10">
        <v>10.530099999999999</v>
      </c>
      <c r="F88" s="10">
        <f t="shared" si="24"/>
        <v>13.353566666666666</v>
      </c>
      <c r="G88" s="10">
        <f t="shared" si="24"/>
        <v>16.177033333333334</v>
      </c>
      <c r="H88" s="10">
        <v>19.000499999999999</v>
      </c>
      <c r="I88" s="10">
        <f t="shared" si="25"/>
        <v>23.344439999999999</v>
      </c>
      <c r="J88" s="10">
        <f t="shared" si="25"/>
        <v>27.688379999999999</v>
      </c>
      <c r="K88" s="10">
        <f t="shared" si="25"/>
        <v>32.032319999999999</v>
      </c>
      <c r="L88" s="10">
        <f t="shared" si="25"/>
        <v>36.376260000000002</v>
      </c>
      <c r="M88" s="10">
        <v>40.720199999999998</v>
      </c>
      <c r="N88" s="10">
        <f t="shared" si="26"/>
        <v>40.278179999999999</v>
      </c>
      <c r="O88" s="10">
        <f t="shared" si="26"/>
        <v>39.83616</v>
      </c>
      <c r="P88" s="10">
        <f t="shared" si="26"/>
        <v>39.39414</v>
      </c>
      <c r="Q88" s="10">
        <f t="shared" si="26"/>
        <v>38.952120000000001</v>
      </c>
      <c r="R88" s="10">
        <v>38.510100000000001</v>
      </c>
      <c r="S88" s="10">
        <f t="shared" si="27"/>
        <v>37.081980000000001</v>
      </c>
      <c r="T88" s="10">
        <f t="shared" si="27"/>
        <v>35.653860000000002</v>
      </c>
      <c r="U88" s="10">
        <f t="shared" si="27"/>
        <v>34.225740000000002</v>
      </c>
      <c r="V88" s="10">
        <f t="shared" si="27"/>
        <v>32.797620000000002</v>
      </c>
      <c r="W88" s="10">
        <v>31.369499999999999</v>
      </c>
      <c r="X88" s="10">
        <f t="shared" si="28"/>
        <v>29.458779999999997</v>
      </c>
      <c r="Y88" s="10">
        <f t="shared" si="28"/>
        <v>27.54806</v>
      </c>
      <c r="Z88" s="10">
        <f t="shared" si="28"/>
        <v>25.637339999999998</v>
      </c>
      <c r="AA88" s="10">
        <f t="shared" si="28"/>
        <v>23.726619999999997</v>
      </c>
      <c r="AB88" s="10">
        <v>21.815899999999999</v>
      </c>
      <c r="AC88" s="10">
        <f t="shared" si="29"/>
        <v>23.925619999999999</v>
      </c>
      <c r="AD88" s="10">
        <f t="shared" si="29"/>
        <v>26.035339999999998</v>
      </c>
      <c r="AE88" s="10">
        <f t="shared" si="29"/>
        <v>28.145060000000001</v>
      </c>
      <c r="AF88" s="10">
        <f t="shared" si="29"/>
        <v>30.25478</v>
      </c>
      <c r="AG88" s="10">
        <v>32.3645</v>
      </c>
      <c r="AH88" s="10">
        <f>SUM(Tableau2[[#This Row],[2022]:[2050]])</f>
        <v>856.23419999999999</v>
      </c>
    </row>
    <row r="89" spans="1:34" hidden="1" x14ac:dyDescent="0.15">
      <c r="A89" s="5" t="s">
        <v>91</v>
      </c>
      <c r="B89" s="5" t="s">
        <v>16</v>
      </c>
      <c r="C89" s="2" t="s">
        <v>12</v>
      </c>
      <c r="D89" s="5" t="s">
        <v>95</v>
      </c>
      <c r="E89" s="6">
        <v>0.14333199999999999</v>
      </c>
      <c r="F89" s="6">
        <f t="shared" si="24"/>
        <v>0.16418866666666665</v>
      </c>
      <c r="G89" s="6">
        <f t="shared" si="24"/>
        <v>0.18504533333333334</v>
      </c>
      <c r="H89" s="6">
        <v>0.205902</v>
      </c>
      <c r="I89" s="6">
        <f t="shared" si="25"/>
        <v>0.21599399999999999</v>
      </c>
      <c r="J89" s="6">
        <f t="shared" si="25"/>
        <v>0.22608599999999998</v>
      </c>
      <c r="K89" s="6">
        <f t="shared" si="25"/>
        <v>0.236178</v>
      </c>
      <c r="L89" s="6">
        <f t="shared" si="25"/>
        <v>0.24626999999999999</v>
      </c>
      <c r="M89" s="6">
        <v>0.25636199999999998</v>
      </c>
      <c r="N89" s="6">
        <f t="shared" si="26"/>
        <v>0.26442159999999998</v>
      </c>
      <c r="O89" s="6">
        <f t="shared" si="26"/>
        <v>0.27248119999999998</v>
      </c>
      <c r="P89" s="6">
        <f t="shared" si="26"/>
        <v>0.28054079999999998</v>
      </c>
      <c r="Q89" s="6">
        <f t="shared" si="26"/>
        <v>0.28860039999999998</v>
      </c>
      <c r="R89" s="6">
        <v>0.29665999999999998</v>
      </c>
      <c r="S89" s="6">
        <f t="shared" si="27"/>
        <v>0.29618819999999996</v>
      </c>
      <c r="T89" s="6">
        <f t="shared" si="27"/>
        <v>0.29571639999999999</v>
      </c>
      <c r="U89" s="6">
        <f t="shared" si="27"/>
        <v>0.29524459999999997</v>
      </c>
      <c r="V89" s="6">
        <f t="shared" si="27"/>
        <v>0.2947728</v>
      </c>
      <c r="W89" s="6">
        <v>0.29430099999999998</v>
      </c>
      <c r="X89" s="6">
        <f t="shared" si="28"/>
        <v>0.29297039999999996</v>
      </c>
      <c r="Y89" s="6">
        <f t="shared" si="28"/>
        <v>0.2916398</v>
      </c>
      <c r="Z89" s="6">
        <f t="shared" si="28"/>
        <v>0.29030919999999999</v>
      </c>
      <c r="AA89" s="6">
        <f t="shared" si="28"/>
        <v>0.28897860000000003</v>
      </c>
      <c r="AB89" s="6">
        <v>0.28764800000000001</v>
      </c>
      <c r="AC89" s="6">
        <f t="shared" si="29"/>
        <v>0.28592780000000001</v>
      </c>
      <c r="AD89" s="6">
        <f t="shared" si="29"/>
        <v>0.2842076</v>
      </c>
      <c r="AE89" s="6">
        <f t="shared" si="29"/>
        <v>0.2824874</v>
      </c>
      <c r="AF89" s="6">
        <f t="shared" si="29"/>
        <v>0.28076719999999999</v>
      </c>
      <c r="AG89" s="6">
        <v>0.27904699999999999</v>
      </c>
      <c r="AH89" s="9">
        <f>SUM(Tableau2[[#This Row],[2022]:[2050]])</f>
        <v>7.6222679999999992</v>
      </c>
    </row>
    <row r="90" spans="1:34" hidden="1" x14ac:dyDescent="0.15">
      <c r="A90" s="5" t="s">
        <v>20</v>
      </c>
      <c r="B90" s="5" t="s">
        <v>16</v>
      </c>
      <c r="C90" s="2" t="s">
        <v>12</v>
      </c>
      <c r="D90" s="5" t="s">
        <v>95</v>
      </c>
      <c r="E90" s="6">
        <v>10.530099999999999</v>
      </c>
      <c r="F90" s="6">
        <f t="shared" si="24"/>
        <v>11.736133333333333</v>
      </c>
      <c r="G90" s="6">
        <f t="shared" si="24"/>
        <v>12.942166666666665</v>
      </c>
      <c r="H90">
        <v>14.148199999999999</v>
      </c>
      <c r="I90" s="6">
        <f t="shared" si="25"/>
        <v>15.6401</v>
      </c>
      <c r="J90" s="6">
        <f t="shared" si="25"/>
        <v>17.132000000000001</v>
      </c>
      <c r="K90" s="6">
        <f t="shared" si="25"/>
        <v>18.623899999999999</v>
      </c>
      <c r="L90" s="6">
        <f t="shared" si="25"/>
        <v>20.1158</v>
      </c>
      <c r="M90">
        <v>21.607700000000001</v>
      </c>
      <c r="N90" s="6">
        <f t="shared" si="26"/>
        <v>22.124919999999999</v>
      </c>
      <c r="O90" s="6">
        <f t="shared" si="26"/>
        <v>22.642140000000001</v>
      </c>
      <c r="P90" s="6">
        <f t="shared" si="26"/>
        <v>23.15936</v>
      </c>
      <c r="Q90" s="6">
        <f t="shared" si="26"/>
        <v>23.676580000000001</v>
      </c>
      <c r="R90">
        <v>24.1938</v>
      </c>
      <c r="S90" s="6">
        <f t="shared" si="27"/>
        <v>24.306159999999998</v>
      </c>
      <c r="T90" s="6">
        <f t="shared" si="27"/>
        <v>24.418520000000001</v>
      </c>
      <c r="U90" s="6">
        <f t="shared" si="27"/>
        <v>24.53088</v>
      </c>
      <c r="V90" s="6">
        <f t="shared" si="27"/>
        <v>24.643240000000002</v>
      </c>
      <c r="W90">
        <v>24.755600000000001</v>
      </c>
      <c r="X90" s="6">
        <f t="shared" si="28"/>
        <v>24.729220000000002</v>
      </c>
      <c r="Y90" s="6">
        <f t="shared" si="28"/>
        <v>24.702840000000002</v>
      </c>
      <c r="Z90" s="6">
        <f t="shared" si="28"/>
        <v>24.676459999999999</v>
      </c>
      <c r="AA90" s="6">
        <f t="shared" si="28"/>
        <v>24.650079999999999</v>
      </c>
      <c r="AB90">
        <v>24.623699999999999</v>
      </c>
      <c r="AC90" s="6">
        <f t="shared" si="29"/>
        <v>25.182040000000001</v>
      </c>
      <c r="AD90" s="6">
        <f t="shared" si="29"/>
        <v>25.740380000000002</v>
      </c>
      <c r="AE90" s="6">
        <f t="shared" si="29"/>
        <v>26.298719999999999</v>
      </c>
      <c r="AF90" s="6">
        <f t="shared" si="29"/>
        <v>26.857060000000001</v>
      </c>
      <c r="AG90">
        <v>27.415400000000002</v>
      </c>
      <c r="AH90" s="9">
        <f>SUM(Tableau2[[#This Row],[2022]:[2050]])</f>
        <v>635.80319999999995</v>
      </c>
    </row>
    <row r="91" spans="1:34" x14ac:dyDescent="0.15">
      <c r="A91" s="5" t="s">
        <v>20</v>
      </c>
      <c r="B91" s="5" t="s">
        <v>16</v>
      </c>
      <c r="C91" s="2" t="s">
        <v>12</v>
      </c>
      <c r="D91" s="5" t="s">
        <v>94</v>
      </c>
      <c r="E91" s="10">
        <v>10.530099999999999</v>
      </c>
      <c r="F91" s="10">
        <f t="shared" si="24"/>
        <v>10.7989</v>
      </c>
      <c r="G91" s="10">
        <f t="shared" si="24"/>
        <v>11.067699999999999</v>
      </c>
      <c r="H91" s="10">
        <v>11.336499999999999</v>
      </c>
      <c r="I91" s="10">
        <f t="shared" si="25"/>
        <v>12.10568</v>
      </c>
      <c r="J91" s="10">
        <f t="shared" si="25"/>
        <v>12.87486</v>
      </c>
      <c r="K91" s="10">
        <f t="shared" si="25"/>
        <v>13.64404</v>
      </c>
      <c r="L91" s="10">
        <f t="shared" si="25"/>
        <v>14.413219999999999</v>
      </c>
      <c r="M91" s="10">
        <v>15.182399999999999</v>
      </c>
      <c r="N91" s="10">
        <f t="shared" si="26"/>
        <v>15.09886</v>
      </c>
      <c r="O91" s="10">
        <f t="shared" si="26"/>
        <v>15.015319999999999</v>
      </c>
      <c r="P91" s="10">
        <f t="shared" si="26"/>
        <v>14.93178</v>
      </c>
      <c r="Q91" s="10">
        <f t="shared" si="26"/>
        <v>14.848239999999999</v>
      </c>
      <c r="R91" s="10">
        <v>14.764699999999999</v>
      </c>
      <c r="S91" s="10">
        <f t="shared" si="27"/>
        <v>14.563039999999999</v>
      </c>
      <c r="T91" s="10">
        <f t="shared" si="27"/>
        <v>14.361379999999999</v>
      </c>
      <c r="U91" s="10">
        <f t="shared" si="27"/>
        <v>14.15972</v>
      </c>
      <c r="V91" s="10">
        <f t="shared" si="27"/>
        <v>13.95806</v>
      </c>
      <c r="W91" s="10">
        <v>13.756399999999999</v>
      </c>
      <c r="X91" s="10">
        <f t="shared" si="28"/>
        <v>14.400700000000001</v>
      </c>
      <c r="Y91" s="10">
        <f t="shared" si="28"/>
        <v>15.045</v>
      </c>
      <c r="Z91" s="10">
        <f t="shared" si="28"/>
        <v>15.689300000000001</v>
      </c>
      <c r="AA91" s="10">
        <f t="shared" si="28"/>
        <v>16.333600000000001</v>
      </c>
      <c r="AB91" s="10">
        <v>16.977900000000002</v>
      </c>
      <c r="AC91" s="10">
        <f t="shared" si="29"/>
        <v>17.342920000000003</v>
      </c>
      <c r="AD91" s="10">
        <f t="shared" si="29"/>
        <v>17.707940000000001</v>
      </c>
      <c r="AE91" s="10">
        <f t="shared" si="29"/>
        <v>18.072960000000002</v>
      </c>
      <c r="AF91" s="10">
        <f t="shared" si="29"/>
        <v>18.43798</v>
      </c>
      <c r="AG91" s="10">
        <v>18.803000000000001</v>
      </c>
      <c r="AH91" s="9">
        <f>SUM(Tableau2[[#This Row],[2022]:[2050]])</f>
        <v>426.22219999999999</v>
      </c>
    </row>
    <row r="92" spans="1:34" hidden="1" x14ac:dyDescent="0.15">
      <c r="A92" s="5" t="s">
        <v>91</v>
      </c>
      <c r="B92" s="5" t="s">
        <v>16</v>
      </c>
      <c r="C92" s="2" t="s">
        <v>12</v>
      </c>
      <c r="D92" s="5" t="s">
        <v>96</v>
      </c>
      <c r="E92" s="10">
        <v>0.14333199999999999</v>
      </c>
      <c r="F92" s="10">
        <f t="shared" si="24"/>
        <v>0.18803299999999998</v>
      </c>
      <c r="G92" s="10">
        <f t="shared" si="24"/>
        <v>0.232734</v>
      </c>
      <c r="H92" s="10">
        <v>0.27743499999999999</v>
      </c>
      <c r="I92" s="10">
        <f t="shared" si="25"/>
        <v>0.30329159999999999</v>
      </c>
      <c r="J92" s="10">
        <f t="shared" si="25"/>
        <v>0.3291482</v>
      </c>
      <c r="K92" s="10">
        <f t="shared" si="25"/>
        <v>0.35500480000000001</v>
      </c>
      <c r="L92" s="10">
        <f t="shared" si="25"/>
        <v>0.38086140000000002</v>
      </c>
      <c r="M92" s="10">
        <v>0.40671800000000002</v>
      </c>
      <c r="N92" s="10">
        <f t="shared" si="26"/>
        <v>0.40938960000000002</v>
      </c>
      <c r="O92" s="10">
        <f t="shared" si="26"/>
        <v>0.41206120000000002</v>
      </c>
      <c r="P92" s="10">
        <f t="shared" si="26"/>
        <v>0.41473280000000001</v>
      </c>
      <c r="Q92" s="10">
        <f t="shared" si="26"/>
        <v>0.41740440000000001</v>
      </c>
      <c r="R92" s="10">
        <v>0.420076</v>
      </c>
      <c r="S92" s="10">
        <f t="shared" si="27"/>
        <v>0.41566940000000002</v>
      </c>
      <c r="T92" s="10">
        <f t="shared" si="27"/>
        <v>0.41126279999999998</v>
      </c>
      <c r="U92" s="10">
        <f t="shared" si="27"/>
        <v>0.4068562</v>
      </c>
      <c r="V92" s="10">
        <f t="shared" si="27"/>
        <v>0.40244959999999996</v>
      </c>
      <c r="W92" s="10">
        <v>0.39804299999999998</v>
      </c>
      <c r="X92" s="10">
        <f t="shared" si="28"/>
        <v>0.37404679999999996</v>
      </c>
      <c r="Y92" s="10">
        <f t="shared" si="28"/>
        <v>0.35005059999999999</v>
      </c>
      <c r="Z92" s="10">
        <f t="shared" si="28"/>
        <v>0.32605439999999997</v>
      </c>
      <c r="AA92" s="10">
        <f t="shared" si="28"/>
        <v>0.30205819999999994</v>
      </c>
      <c r="AB92" s="10">
        <v>0.27806199999999998</v>
      </c>
      <c r="AC92" s="10">
        <f t="shared" si="29"/>
        <v>0.27499459999999998</v>
      </c>
      <c r="AD92" s="10">
        <f t="shared" si="29"/>
        <v>0.27192719999999998</v>
      </c>
      <c r="AE92" s="10">
        <f t="shared" si="29"/>
        <v>0.26885979999999998</v>
      </c>
      <c r="AF92" s="10">
        <f t="shared" si="29"/>
        <v>0.26579239999999998</v>
      </c>
      <c r="AG92" s="10">
        <v>0.26272499999999999</v>
      </c>
      <c r="AH92" s="10">
        <f>SUM(Tableau2[[#This Row],[2022]:[2050]])</f>
        <v>9.6990740000000013</v>
      </c>
    </row>
    <row r="93" spans="1:34" hidden="1" x14ac:dyDescent="0.15">
      <c r="A93" s="5" t="s">
        <v>21</v>
      </c>
      <c r="B93" s="5" t="s">
        <v>135</v>
      </c>
      <c r="C93" s="2" t="s">
        <v>137</v>
      </c>
      <c r="D93" s="5" t="s">
        <v>95</v>
      </c>
      <c r="E93" s="6">
        <v>3.9619399999999998</v>
      </c>
      <c r="F93" s="6">
        <f t="shared" si="24"/>
        <v>5.4423666666666666</v>
      </c>
      <c r="G93" s="6">
        <f t="shared" si="24"/>
        <v>6.9227933333333329</v>
      </c>
      <c r="H93">
        <v>8.4032199999999992</v>
      </c>
      <c r="I93" s="6">
        <f t="shared" si="25"/>
        <v>10.249435999999999</v>
      </c>
      <c r="J93" s="6">
        <f t="shared" si="25"/>
        <v>12.095651999999999</v>
      </c>
      <c r="K93" s="6">
        <f t="shared" si="25"/>
        <v>13.941867999999999</v>
      </c>
      <c r="L93" s="6">
        <f t="shared" si="25"/>
        <v>15.788084</v>
      </c>
      <c r="M93">
        <v>17.6343</v>
      </c>
      <c r="N93" s="6">
        <f t="shared" si="26"/>
        <v>20.159079999999999</v>
      </c>
      <c r="O93" s="6">
        <f t="shared" si="26"/>
        <v>22.683859999999999</v>
      </c>
      <c r="P93" s="6">
        <f t="shared" si="26"/>
        <v>25.208639999999999</v>
      </c>
      <c r="Q93" s="6">
        <f t="shared" si="26"/>
        <v>27.733419999999999</v>
      </c>
      <c r="R93">
        <v>30.258199999999999</v>
      </c>
      <c r="S93" s="6">
        <f t="shared" si="27"/>
        <v>32.104019999999998</v>
      </c>
      <c r="T93" s="6">
        <f t="shared" si="27"/>
        <v>33.949839999999995</v>
      </c>
      <c r="U93" s="6">
        <f t="shared" si="27"/>
        <v>35.795659999999998</v>
      </c>
      <c r="V93" s="6">
        <f t="shared" si="27"/>
        <v>37.641480000000001</v>
      </c>
      <c r="W93">
        <v>39.487299999999998</v>
      </c>
      <c r="X93" s="6">
        <f t="shared" si="28"/>
        <v>40.452300000000001</v>
      </c>
      <c r="Y93" s="6">
        <f t="shared" si="28"/>
        <v>41.417299999999997</v>
      </c>
      <c r="Z93" s="6">
        <f t="shared" si="28"/>
        <v>42.382300000000001</v>
      </c>
      <c r="AA93" s="6">
        <f t="shared" si="28"/>
        <v>43.347299999999997</v>
      </c>
      <c r="AB93">
        <v>44.3123</v>
      </c>
      <c r="AC93" s="6">
        <f t="shared" si="29"/>
        <v>45.196600000000004</v>
      </c>
      <c r="AD93" s="6">
        <f t="shared" si="29"/>
        <v>46.0809</v>
      </c>
      <c r="AE93" s="6">
        <f t="shared" si="29"/>
        <v>46.965200000000003</v>
      </c>
      <c r="AF93" s="6">
        <f t="shared" si="29"/>
        <v>47.849499999999999</v>
      </c>
      <c r="AG93">
        <v>48.733800000000002</v>
      </c>
      <c r="AH93" s="9">
        <f>SUM(Tableau2[[#This Row],[2022]:[2050]])</f>
        <v>846.19866000000002</v>
      </c>
    </row>
    <row r="94" spans="1:34" x14ac:dyDescent="0.15">
      <c r="A94" s="5" t="s">
        <v>21</v>
      </c>
      <c r="B94" s="5" t="s">
        <v>135</v>
      </c>
      <c r="C94" s="2" t="s">
        <v>137</v>
      </c>
      <c r="D94" s="5" t="s">
        <v>94</v>
      </c>
      <c r="E94" s="10">
        <v>3.9619399999999998</v>
      </c>
      <c r="F94" s="10">
        <f t="shared" si="24"/>
        <v>5.0593066666666662</v>
      </c>
      <c r="G94" s="10">
        <f t="shared" si="24"/>
        <v>6.156673333333333</v>
      </c>
      <c r="H94" s="10">
        <v>7.2540399999999998</v>
      </c>
      <c r="I94" s="10">
        <f t="shared" si="25"/>
        <v>8.2464720000000007</v>
      </c>
      <c r="J94" s="10">
        <f t="shared" si="25"/>
        <v>9.2389039999999998</v>
      </c>
      <c r="K94" s="10">
        <f t="shared" si="25"/>
        <v>10.231336000000001</v>
      </c>
      <c r="L94" s="10">
        <f t="shared" si="25"/>
        <v>11.223768</v>
      </c>
      <c r="M94" s="10">
        <v>12.216200000000001</v>
      </c>
      <c r="N94" s="10">
        <f t="shared" si="26"/>
        <v>12.79918</v>
      </c>
      <c r="O94" s="10">
        <f t="shared" si="26"/>
        <v>13.382160000000001</v>
      </c>
      <c r="P94" s="10">
        <f t="shared" si="26"/>
        <v>13.96514</v>
      </c>
      <c r="Q94" s="10">
        <f t="shared" si="26"/>
        <v>14.548120000000001</v>
      </c>
      <c r="R94" s="10">
        <v>15.1311</v>
      </c>
      <c r="S94" s="10">
        <f t="shared" si="27"/>
        <v>15.8748</v>
      </c>
      <c r="T94" s="10">
        <f t="shared" si="27"/>
        <v>16.618500000000001</v>
      </c>
      <c r="U94" s="10">
        <f t="shared" si="27"/>
        <v>17.362200000000001</v>
      </c>
      <c r="V94" s="10">
        <f t="shared" si="27"/>
        <v>18.105899999999998</v>
      </c>
      <c r="W94" s="10">
        <v>18.849599999999999</v>
      </c>
      <c r="X94" s="10">
        <f t="shared" si="28"/>
        <v>19.439719999999998</v>
      </c>
      <c r="Y94" s="10">
        <f t="shared" si="28"/>
        <v>20.02984</v>
      </c>
      <c r="Z94" s="10">
        <f t="shared" si="28"/>
        <v>20.619959999999999</v>
      </c>
      <c r="AA94" s="10">
        <f t="shared" si="28"/>
        <v>21.210080000000001</v>
      </c>
      <c r="AB94" s="10">
        <v>21.8002</v>
      </c>
      <c r="AC94" s="10">
        <f t="shared" si="29"/>
        <v>22.015979999999999</v>
      </c>
      <c r="AD94" s="10">
        <f t="shared" si="29"/>
        <v>22.231760000000001</v>
      </c>
      <c r="AE94" s="10">
        <f t="shared" si="29"/>
        <v>22.44754</v>
      </c>
      <c r="AF94" s="10">
        <f t="shared" si="29"/>
        <v>22.663320000000002</v>
      </c>
      <c r="AG94" s="10">
        <v>22.879100000000001</v>
      </c>
      <c r="AH94" s="9">
        <f>SUM(Tableau2[[#This Row],[2022]:[2050]])</f>
        <v>445.56284000000005</v>
      </c>
    </row>
    <row r="95" spans="1:34" hidden="1" x14ac:dyDescent="0.15">
      <c r="A95" s="5" t="s">
        <v>20</v>
      </c>
      <c r="B95" s="5" t="s">
        <v>135</v>
      </c>
      <c r="C95" s="2" t="s">
        <v>137</v>
      </c>
      <c r="D95" s="5" t="s">
        <v>96</v>
      </c>
      <c r="E95" s="10">
        <v>5.806</v>
      </c>
      <c r="F95" s="10">
        <f t="shared" si="24"/>
        <v>7.2335666666666665</v>
      </c>
      <c r="G95" s="10">
        <f t="shared" si="24"/>
        <v>8.661133333333332</v>
      </c>
      <c r="H95" s="10">
        <v>10.088699999999999</v>
      </c>
      <c r="I95" s="10">
        <f t="shared" si="25"/>
        <v>12.824719999999999</v>
      </c>
      <c r="J95" s="10">
        <f t="shared" si="25"/>
        <v>15.560739999999999</v>
      </c>
      <c r="K95" s="10">
        <f t="shared" si="25"/>
        <v>18.296759999999999</v>
      </c>
      <c r="L95" s="10">
        <f t="shared" si="25"/>
        <v>21.032779999999999</v>
      </c>
      <c r="M95" s="10">
        <v>23.768799999999999</v>
      </c>
      <c r="N95" s="10">
        <f t="shared" si="26"/>
        <v>23.450979999999998</v>
      </c>
      <c r="O95" s="10">
        <f t="shared" si="26"/>
        <v>23.13316</v>
      </c>
      <c r="P95" s="10">
        <f t="shared" si="26"/>
        <v>22.815339999999999</v>
      </c>
      <c r="Q95" s="10">
        <f t="shared" si="26"/>
        <v>22.497520000000002</v>
      </c>
      <c r="R95" s="10">
        <v>22.1797</v>
      </c>
      <c r="S95" s="10">
        <f t="shared" si="27"/>
        <v>21.570219999999999</v>
      </c>
      <c r="T95" s="10">
        <f t="shared" si="27"/>
        <v>20.960740000000001</v>
      </c>
      <c r="U95" s="10">
        <f t="shared" si="27"/>
        <v>20.35126</v>
      </c>
      <c r="V95" s="10">
        <f t="shared" si="27"/>
        <v>19.741780000000002</v>
      </c>
      <c r="W95" s="10">
        <v>19.132300000000001</v>
      </c>
      <c r="X95" s="10">
        <f t="shared" si="28"/>
        <v>17.75168</v>
      </c>
      <c r="Y95" s="10">
        <f t="shared" si="28"/>
        <v>16.37106</v>
      </c>
      <c r="Z95" s="10">
        <f t="shared" si="28"/>
        <v>14.990440000000001</v>
      </c>
      <c r="AA95" s="10">
        <f t="shared" si="28"/>
        <v>13.609820000000001</v>
      </c>
      <c r="AB95" s="10">
        <v>12.229200000000001</v>
      </c>
      <c r="AC95" s="10">
        <f t="shared" si="29"/>
        <v>13.293060000000001</v>
      </c>
      <c r="AD95" s="10">
        <f t="shared" si="29"/>
        <v>14.356920000000001</v>
      </c>
      <c r="AE95" s="10">
        <f t="shared" si="29"/>
        <v>15.420780000000001</v>
      </c>
      <c r="AF95" s="10">
        <f t="shared" si="29"/>
        <v>16.484639999999999</v>
      </c>
      <c r="AG95" s="10">
        <v>17.548500000000001</v>
      </c>
      <c r="AH95" s="10">
        <f>SUM(Tableau2[[#This Row],[2022]:[2050]])</f>
        <v>491.16230000000002</v>
      </c>
    </row>
    <row r="96" spans="1:34" x14ac:dyDescent="0.15">
      <c r="A96" s="5" t="s">
        <v>20</v>
      </c>
      <c r="B96" s="5" t="s">
        <v>135</v>
      </c>
      <c r="C96" s="2" t="s">
        <v>137</v>
      </c>
      <c r="D96" s="5" t="s">
        <v>94</v>
      </c>
      <c r="E96" s="10">
        <v>5.806</v>
      </c>
      <c r="F96" s="10">
        <f t="shared" si="24"/>
        <v>5.9612833333333333</v>
      </c>
      <c r="G96" s="10">
        <f t="shared" si="24"/>
        <v>6.1165666666666665</v>
      </c>
      <c r="H96" s="10">
        <v>6.2718499999999997</v>
      </c>
      <c r="I96" s="10">
        <f t="shared" si="25"/>
        <v>7.0596999999999994</v>
      </c>
      <c r="J96" s="10">
        <f t="shared" si="25"/>
        <v>7.84755</v>
      </c>
      <c r="K96" s="10">
        <f t="shared" si="25"/>
        <v>8.6354000000000006</v>
      </c>
      <c r="L96" s="10">
        <f t="shared" si="25"/>
        <v>9.4232499999999995</v>
      </c>
      <c r="M96" s="10">
        <v>10.2111</v>
      </c>
      <c r="N96" s="10">
        <f t="shared" si="26"/>
        <v>9.9975039999999993</v>
      </c>
      <c r="O96" s="10">
        <f t="shared" si="26"/>
        <v>9.7839080000000003</v>
      </c>
      <c r="P96" s="10">
        <f t="shared" si="26"/>
        <v>9.5703119999999995</v>
      </c>
      <c r="Q96" s="10">
        <f t="shared" si="26"/>
        <v>9.3567160000000005</v>
      </c>
      <c r="R96" s="10">
        <v>9.1431199999999997</v>
      </c>
      <c r="S96" s="10">
        <f t="shared" si="27"/>
        <v>8.9207819999999991</v>
      </c>
      <c r="T96" s="10">
        <f t="shared" si="27"/>
        <v>8.6984440000000003</v>
      </c>
      <c r="U96" s="10">
        <f t="shared" si="27"/>
        <v>8.4761059999999997</v>
      </c>
      <c r="V96" s="10">
        <f t="shared" si="27"/>
        <v>8.2537680000000009</v>
      </c>
      <c r="W96" s="10">
        <v>8.0314300000000003</v>
      </c>
      <c r="X96" s="10">
        <f t="shared" si="28"/>
        <v>8.3765280000000004</v>
      </c>
      <c r="Y96" s="10">
        <f t="shared" si="28"/>
        <v>8.7216260000000005</v>
      </c>
      <c r="Z96" s="10">
        <f t="shared" si="28"/>
        <v>9.0667240000000007</v>
      </c>
      <c r="AA96" s="10">
        <f t="shared" si="28"/>
        <v>9.411821999999999</v>
      </c>
      <c r="AB96" s="10">
        <v>9.7569199999999991</v>
      </c>
      <c r="AC96" s="10">
        <f t="shared" si="29"/>
        <v>10.072275999999999</v>
      </c>
      <c r="AD96" s="10">
        <f t="shared" si="29"/>
        <v>10.387632</v>
      </c>
      <c r="AE96" s="10">
        <f t="shared" si="29"/>
        <v>10.702988</v>
      </c>
      <c r="AF96" s="10">
        <f t="shared" si="29"/>
        <v>11.018344000000001</v>
      </c>
      <c r="AG96" s="10">
        <v>11.3337</v>
      </c>
      <c r="AH96" s="9">
        <f>SUM(Tableau2[[#This Row],[2022]:[2050]])</f>
        <v>256.41335000000004</v>
      </c>
    </row>
    <row r="97" spans="1:36" hidden="1" x14ac:dyDescent="0.15">
      <c r="A97" s="5" t="s">
        <v>21</v>
      </c>
      <c r="B97" s="5" t="s">
        <v>135</v>
      </c>
      <c r="C97" s="2" t="s">
        <v>137</v>
      </c>
      <c r="D97" s="5" t="s">
        <v>96</v>
      </c>
      <c r="E97" s="10">
        <v>3.9619399999999998</v>
      </c>
      <c r="F97" s="10">
        <f t="shared" si="24"/>
        <v>6.9639933333333328</v>
      </c>
      <c r="G97" s="10">
        <f t="shared" si="24"/>
        <v>9.9660466666666654</v>
      </c>
      <c r="H97" s="10">
        <v>12.9681</v>
      </c>
      <c r="I97" s="10">
        <f t="shared" si="25"/>
        <v>15.63552</v>
      </c>
      <c r="J97" s="10">
        <f t="shared" si="25"/>
        <v>18.30294</v>
      </c>
      <c r="K97" s="10">
        <f t="shared" si="25"/>
        <v>20.970359999999999</v>
      </c>
      <c r="L97" s="10">
        <f t="shared" si="25"/>
        <v>23.637779999999999</v>
      </c>
      <c r="M97" s="10">
        <v>26.305199999999999</v>
      </c>
      <c r="N97" s="10">
        <f t="shared" si="26"/>
        <v>28.047059999999998</v>
      </c>
      <c r="O97" s="10">
        <f t="shared" si="26"/>
        <v>29.788919999999997</v>
      </c>
      <c r="P97" s="10">
        <f t="shared" si="26"/>
        <v>31.53078</v>
      </c>
      <c r="Q97" s="10">
        <f t="shared" si="26"/>
        <v>33.272639999999996</v>
      </c>
      <c r="R97" s="10">
        <v>35.014499999999998</v>
      </c>
      <c r="S97" s="10">
        <f t="shared" si="27"/>
        <v>34.797620000000002</v>
      </c>
      <c r="T97" s="10">
        <f t="shared" si="27"/>
        <v>34.580739999999999</v>
      </c>
      <c r="U97" s="10">
        <f t="shared" si="27"/>
        <v>34.363860000000003</v>
      </c>
      <c r="V97" s="10">
        <f t="shared" si="27"/>
        <v>34.146979999999999</v>
      </c>
      <c r="W97" s="10">
        <v>33.930100000000003</v>
      </c>
      <c r="X97" s="10">
        <f t="shared" si="28"/>
        <v>34.476900000000001</v>
      </c>
      <c r="Y97" s="10">
        <f t="shared" si="28"/>
        <v>35.023699999999998</v>
      </c>
      <c r="Z97" s="10">
        <f t="shared" si="28"/>
        <v>35.570500000000003</v>
      </c>
      <c r="AA97" s="10">
        <f t="shared" si="28"/>
        <v>36.1173</v>
      </c>
      <c r="AB97" s="10">
        <v>36.664099999999998</v>
      </c>
      <c r="AC97" s="10">
        <f t="shared" si="29"/>
        <v>36.82394</v>
      </c>
      <c r="AD97" s="10">
        <f t="shared" si="29"/>
        <v>36.983779999999996</v>
      </c>
      <c r="AE97" s="10">
        <f t="shared" si="29"/>
        <v>37.143619999999999</v>
      </c>
      <c r="AF97" s="10">
        <f t="shared" si="29"/>
        <v>37.303459999999994</v>
      </c>
      <c r="AG97" s="10">
        <v>37.463299999999997</v>
      </c>
      <c r="AH97" s="10">
        <f>SUM(Tableau2[[#This Row],[2022]:[2050]])</f>
        <v>831.75567999999998</v>
      </c>
    </row>
    <row r="98" spans="1:36" hidden="1" x14ac:dyDescent="0.15">
      <c r="A98" s="5" t="s">
        <v>20</v>
      </c>
      <c r="B98" s="5" t="s">
        <v>135</v>
      </c>
      <c r="C98" s="2" t="s">
        <v>137</v>
      </c>
      <c r="D98" s="5" t="s">
        <v>95</v>
      </c>
      <c r="E98" s="6">
        <v>5.806</v>
      </c>
      <c r="F98" s="6">
        <f t="shared" si="24"/>
        <v>6.5302199999999999</v>
      </c>
      <c r="G98" s="6">
        <f t="shared" si="24"/>
        <v>7.2544399999999998</v>
      </c>
      <c r="H98">
        <v>7.9786599999999996</v>
      </c>
      <c r="I98" s="6">
        <f t="shared" si="25"/>
        <v>9.0532279999999989</v>
      </c>
      <c r="J98" s="6">
        <f t="shared" si="25"/>
        <v>10.127796</v>
      </c>
      <c r="K98" s="6">
        <f t="shared" si="25"/>
        <v>11.202363999999999</v>
      </c>
      <c r="L98" s="6">
        <f t="shared" si="25"/>
        <v>12.276931999999999</v>
      </c>
      <c r="M98">
        <v>13.3515</v>
      </c>
      <c r="N98" s="6">
        <f t="shared" si="26"/>
        <v>13.628439999999999</v>
      </c>
      <c r="O98" s="6">
        <f t="shared" si="26"/>
        <v>13.905379999999999</v>
      </c>
      <c r="P98" s="6">
        <f t="shared" si="26"/>
        <v>14.182320000000001</v>
      </c>
      <c r="Q98" s="6">
        <f t="shared" si="26"/>
        <v>14.45926</v>
      </c>
      <c r="R98">
        <v>14.7362</v>
      </c>
      <c r="S98" s="6">
        <f t="shared" si="27"/>
        <v>14.702820000000001</v>
      </c>
      <c r="T98" s="6">
        <f t="shared" si="27"/>
        <v>14.66944</v>
      </c>
      <c r="U98" s="6">
        <f t="shared" si="27"/>
        <v>14.636060000000001</v>
      </c>
      <c r="V98" s="6">
        <f t="shared" si="27"/>
        <v>14.602679999999999</v>
      </c>
      <c r="W98">
        <v>14.5693</v>
      </c>
      <c r="X98" s="6">
        <f t="shared" si="28"/>
        <v>14.6187</v>
      </c>
      <c r="Y98" s="6">
        <f t="shared" si="28"/>
        <v>14.668100000000001</v>
      </c>
      <c r="Z98" s="6">
        <f t="shared" si="28"/>
        <v>14.717499999999999</v>
      </c>
      <c r="AA98" s="6">
        <f t="shared" si="28"/>
        <v>14.7669</v>
      </c>
      <c r="AB98">
        <v>14.8163</v>
      </c>
      <c r="AC98" s="6">
        <f t="shared" si="29"/>
        <v>15.129999999999999</v>
      </c>
      <c r="AD98" s="6">
        <f t="shared" si="29"/>
        <v>15.4437</v>
      </c>
      <c r="AE98" s="6">
        <f t="shared" si="29"/>
        <v>15.757399999999999</v>
      </c>
      <c r="AF98" s="6">
        <f t="shared" si="29"/>
        <v>16.071099999999998</v>
      </c>
      <c r="AG98">
        <v>16.384799999999998</v>
      </c>
      <c r="AH98" s="9">
        <f>SUM(Tableau2[[#This Row],[2022]:[2050]])</f>
        <v>380.04753999999997</v>
      </c>
    </row>
    <row r="99" spans="1:36" x14ac:dyDescent="0.15">
      <c r="A99" s="5" t="s">
        <v>142</v>
      </c>
      <c r="B99" s="5" t="s">
        <v>141</v>
      </c>
      <c r="C99" s="2" t="s">
        <v>10</v>
      </c>
      <c r="D99" s="5" t="s">
        <v>94</v>
      </c>
      <c r="E99" s="11">
        <v>8.9112399999999994</v>
      </c>
      <c r="F99" s="10">
        <f t="shared" si="24"/>
        <v>8.8502166666666664</v>
      </c>
      <c r="G99" s="10">
        <f t="shared" si="24"/>
        <v>8.7891933333333334</v>
      </c>
      <c r="H99" s="10">
        <v>8.7281700000000004</v>
      </c>
      <c r="I99" s="10">
        <f t="shared" si="25"/>
        <v>10.853035999999999</v>
      </c>
      <c r="J99" s="10">
        <f t="shared" si="25"/>
        <v>12.977902</v>
      </c>
      <c r="K99" s="10">
        <f t="shared" si="25"/>
        <v>15.102768000000001</v>
      </c>
      <c r="L99" s="10">
        <f t="shared" si="25"/>
        <v>17.227634000000002</v>
      </c>
      <c r="M99" s="10">
        <v>19.352499999999999</v>
      </c>
      <c r="N99" s="10">
        <f t="shared" si="26"/>
        <v>20.666699999999999</v>
      </c>
      <c r="O99" s="10">
        <f t="shared" si="26"/>
        <v>21.980899999999998</v>
      </c>
      <c r="P99" s="10">
        <f t="shared" si="26"/>
        <v>23.295099999999998</v>
      </c>
      <c r="Q99" s="10">
        <f t="shared" si="26"/>
        <v>24.609300000000001</v>
      </c>
      <c r="R99" s="10">
        <v>25.923500000000001</v>
      </c>
      <c r="S99" s="10">
        <f t="shared" si="27"/>
        <v>24.985900000000001</v>
      </c>
      <c r="T99" s="10">
        <f t="shared" si="27"/>
        <v>24.048300000000001</v>
      </c>
      <c r="U99" s="10">
        <f t="shared" si="27"/>
        <v>23.110700000000001</v>
      </c>
      <c r="V99" s="10">
        <f t="shared" si="27"/>
        <v>22.173099999999998</v>
      </c>
      <c r="W99" s="10">
        <v>21.235499999999998</v>
      </c>
      <c r="X99" s="10">
        <f t="shared" si="28"/>
        <v>19.593979999999998</v>
      </c>
      <c r="Y99" s="10">
        <f t="shared" si="28"/>
        <v>17.952459999999999</v>
      </c>
      <c r="Z99" s="10">
        <f t="shared" si="28"/>
        <v>16.310940000000002</v>
      </c>
      <c r="AA99" s="10">
        <f t="shared" si="28"/>
        <v>14.669420000000001</v>
      </c>
      <c r="AB99" s="10">
        <v>13.027900000000001</v>
      </c>
      <c r="AC99" s="10">
        <f t="shared" si="29"/>
        <v>10.422320000000001</v>
      </c>
      <c r="AD99" s="10">
        <f t="shared" si="29"/>
        <v>7.8167400000000002</v>
      </c>
      <c r="AE99" s="10">
        <f t="shared" si="29"/>
        <v>5.2111599999999996</v>
      </c>
      <c r="AF99" s="10">
        <f t="shared" si="29"/>
        <v>2.6055799999999998</v>
      </c>
      <c r="AG99" s="10">
        <v>0</v>
      </c>
      <c r="AH99" s="9">
        <f>SUM(Tableau2[[#This Row],[2022]:[2050]])</f>
        <v>450.43215999999984</v>
      </c>
    </row>
    <row r="100" spans="1:36" hidden="1" x14ac:dyDescent="0.15">
      <c r="A100" s="5" t="s">
        <v>142</v>
      </c>
      <c r="B100" s="5" t="s">
        <v>141</v>
      </c>
      <c r="C100" s="2" t="s">
        <v>10</v>
      </c>
      <c r="D100" s="5" t="s">
        <v>95</v>
      </c>
      <c r="E100" s="5">
        <v>8.9112399999999994</v>
      </c>
      <c r="F100" s="6">
        <f t="shared" si="24"/>
        <v>9.8880933333333321</v>
      </c>
      <c r="G100" s="6">
        <f t="shared" si="24"/>
        <v>10.864946666666667</v>
      </c>
      <c r="H100">
        <v>11.841799999999999</v>
      </c>
      <c r="I100" s="6">
        <f t="shared" si="25"/>
        <v>15.535139999999998</v>
      </c>
      <c r="J100" s="6">
        <f t="shared" si="25"/>
        <v>19.228479999999998</v>
      </c>
      <c r="K100" s="6">
        <f t="shared" si="25"/>
        <v>22.92182</v>
      </c>
      <c r="L100" s="6">
        <f t="shared" si="25"/>
        <v>26.615159999999999</v>
      </c>
      <c r="M100">
        <v>30.308499999999999</v>
      </c>
      <c r="N100" s="6">
        <f t="shared" si="26"/>
        <v>32.02234</v>
      </c>
      <c r="O100" s="6">
        <f t="shared" si="26"/>
        <v>33.736179999999997</v>
      </c>
      <c r="P100" s="6">
        <f t="shared" si="26"/>
        <v>35.450019999999995</v>
      </c>
      <c r="Q100" s="6">
        <f t="shared" si="26"/>
        <v>37.16386</v>
      </c>
      <c r="R100">
        <v>38.877699999999997</v>
      </c>
      <c r="S100" s="6">
        <f t="shared" si="27"/>
        <v>38.184999999999995</v>
      </c>
      <c r="T100" s="6">
        <f t="shared" si="27"/>
        <v>37.4923</v>
      </c>
      <c r="U100" s="6">
        <f t="shared" si="27"/>
        <v>36.799599999999998</v>
      </c>
      <c r="V100" s="6">
        <f t="shared" si="27"/>
        <v>36.106900000000003</v>
      </c>
      <c r="W100">
        <v>35.414200000000001</v>
      </c>
      <c r="X100" s="6">
        <f t="shared" si="28"/>
        <v>32.839219999999997</v>
      </c>
      <c r="Y100" s="6">
        <f t="shared" si="28"/>
        <v>30.264240000000001</v>
      </c>
      <c r="Z100" s="6">
        <f t="shared" si="28"/>
        <v>27.689260000000001</v>
      </c>
      <c r="AA100" s="6">
        <f t="shared" si="28"/>
        <v>25.114280000000001</v>
      </c>
      <c r="AB100">
        <v>22.539300000000001</v>
      </c>
      <c r="AC100" s="6">
        <f t="shared" si="29"/>
        <v>18.03144</v>
      </c>
      <c r="AD100" s="6">
        <f t="shared" si="29"/>
        <v>13.523580000000001</v>
      </c>
      <c r="AE100" s="6">
        <f t="shared" si="29"/>
        <v>9.0157200000000017</v>
      </c>
      <c r="AF100" s="6">
        <f t="shared" si="29"/>
        <v>4.5078600000000009</v>
      </c>
      <c r="AG100">
        <v>0</v>
      </c>
      <c r="AH100" s="9">
        <f>SUM(Tableau2[[#This Row],[2022]:[2050]])</f>
        <v>700.88818000000003</v>
      </c>
    </row>
    <row r="101" spans="1:36" hidden="1" x14ac:dyDescent="0.15">
      <c r="A101" s="5" t="s">
        <v>21</v>
      </c>
      <c r="B101" s="5" t="s">
        <v>141</v>
      </c>
      <c r="C101" s="2" t="s">
        <v>10</v>
      </c>
      <c r="D101" s="5" t="s">
        <v>96</v>
      </c>
      <c r="E101" s="10">
        <v>325.83100000000002</v>
      </c>
      <c r="F101" s="10">
        <f t="shared" si="24"/>
        <v>602.90066666666667</v>
      </c>
      <c r="G101" s="10">
        <f t="shared" si="24"/>
        <v>879.97033333333331</v>
      </c>
      <c r="H101" s="10">
        <v>1157.04</v>
      </c>
      <c r="I101" s="10">
        <f t="shared" si="25"/>
        <v>1408.5059999999999</v>
      </c>
      <c r="J101" s="10">
        <f t="shared" si="25"/>
        <v>1659.972</v>
      </c>
      <c r="K101" s="10">
        <f t="shared" si="25"/>
        <v>1911.4379999999999</v>
      </c>
      <c r="L101" s="10">
        <f t="shared" si="25"/>
        <v>2162.904</v>
      </c>
      <c r="M101" s="10">
        <v>2414.37</v>
      </c>
      <c r="N101" s="10">
        <f t="shared" si="26"/>
        <v>2609.886</v>
      </c>
      <c r="O101" s="10">
        <f t="shared" si="26"/>
        <v>2805.402</v>
      </c>
      <c r="P101" s="10">
        <f t="shared" si="26"/>
        <v>3000.9179999999997</v>
      </c>
      <c r="Q101" s="10">
        <f t="shared" si="26"/>
        <v>3196.4339999999997</v>
      </c>
      <c r="R101" s="10">
        <v>3391.95</v>
      </c>
      <c r="S101" s="10">
        <f t="shared" si="27"/>
        <v>3403.69</v>
      </c>
      <c r="T101" s="10">
        <f t="shared" si="27"/>
        <v>3415.43</v>
      </c>
      <c r="U101" s="10">
        <f t="shared" si="27"/>
        <v>3427.17</v>
      </c>
      <c r="V101" s="10">
        <f t="shared" si="27"/>
        <v>3438.91</v>
      </c>
      <c r="W101" s="10">
        <v>3450.65</v>
      </c>
      <c r="X101" s="10">
        <f t="shared" si="28"/>
        <v>3449.41</v>
      </c>
      <c r="Y101" s="10">
        <f t="shared" si="28"/>
        <v>3448.17</v>
      </c>
      <c r="Z101" s="10">
        <f t="shared" si="28"/>
        <v>3446.93</v>
      </c>
      <c r="AA101" s="10">
        <f t="shared" si="28"/>
        <v>3445.69</v>
      </c>
      <c r="AB101" s="10">
        <v>3444.45</v>
      </c>
      <c r="AC101" s="10">
        <f t="shared" si="29"/>
        <v>3413.3999999999996</v>
      </c>
      <c r="AD101" s="10">
        <f t="shared" si="29"/>
        <v>3382.35</v>
      </c>
      <c r="AE101" s="10">
        <f t="shared" si="29"/>
        <v>3351.2999999999997</v>
      </c>
      <c r="AF101" s="10">
        <f t="shared" si="29"/>
        <v>3320.25</v>
      </c>
      <c r="AG101" s="10">
        <v>3289.2</v>
      </c>
      <c r="AH101" s="10">
        <f>SUM(Tableau2[[#This Row],[2022]:[2050]])</f>
        <v>78654.521999999997</v>
      </c>
      <c r="AJ101" s="10"/>
    </row>
    <row r="102" spans="1:36" hidden="1" x14ac:dyDescent="0.15">
      <c r="A102" s="5" t="s">
        <v>21</v>
      </c>
      <c r="B102" s="5" t="s">
        <v>141</v>
      </c>
      <c r="C102" s="2" t="s">
        <v>10</v>
      </c>
      <c r="D102" s="5" t="s">
        <v>95</v>
      </c>
      <c r="E102" s="6">
        <v>325.83100000000002</v>
      </c>
      <c r="F102" s="6">
        <f t="shared" ref="F102:G121" si="30">(($H102-$E102)/($H$1-$E$1))*(F$1-$E$1)+$E102</f>
        <v>453.66766666666666</v>
      </c>
      <c r="G102" s="6">
        <f t="shared" si="30"/>
        <v>581.50433333333331</v>
      </c>
      <c r="H102">
        <v>709.34100000000001</v>
      </c>
      <c r="I102" s="6">
        <f t="shared" ref="I102:L121" si="31">(($M102-$H102)/($M$1-$H$1))*(I$1-$H$1)+$H102</f>
        <v>866.9828</v>
      </c>
      <c r="J102" s="6">
        <f t="shared" si="31"/>
        <v>1024.6246000000001</v>
      </c>
      <c r="K102" s="6">
        <f t="shared" si="31"/>
        <v>1182.2664</v>
      </c>
      <c r="L102" s="6">
        <f t="shared" si="31"/>
        <v>1339.9081999999999</v>
      </c>
      <c r="M102">
        <v>1497.55</v>
      </c>
      <c r="N102" s="6">
        <f t="shared" ref="N102:Q121" si="32">(($R102-$M102)/($R$1-$M$1))*(N$1-$M$1)+$M102</f>
        <v>1686.1859999999999</v>
      </c>
      <c r="O102" s="6">
        <f t="shared" si="32"/>
        <v>1874.8220000000001</v>
      </c>
      <c r="P102" s="6">
        <f t="shared" si="32"/>
        <v>2063.4580000000001</v>
      </c>
      <c r="Q102" s="6">
        <f t="shared" si="32"/>
        <v>2252.0940000000001</v>
      </c>
      <c r="R102">
        <v>2440.73</v>
      </c>
      <c r="S102" s="6">
        <f t="shared" ref="S102:V121" si="33">(($W102-$R102)/($W$1-$R$1))*(S$1-$R$1)+$R102</f>
        <v>2560.63</v>
      </c>
      <c r="T102" s="6">
        <f t="shared" si="33"/>
        <v>2680.53</v>
      </c>
      <c r="U102" s="6">
        <f t="shared" si="33"/>
        <v>2800.4300000000003</v>
      </c>
      <c r="V102" s="6">
        <f t="shared" si="33"/>
        <v>2920.33</v>
      </c>
      <c r="W102">
        <v>3040.23</v>
      </c>
      <c r="X102" s="6">
        <f t="shared" ref="X102:AA121" si="34">(($AB102-$W102)/($AB$1-$W$1))*(X$1-$W$1)+$W102</f>
        <v>3059.94</v>
      </c>
      <c r="Y102" s="6">
        <f t="shared" si="34"/>
        <v>3079.65</v>
      </c>
      <c r="Z102" s="6">
        <f t="shared" si="34"/>
        <v>3099.36</v>
      </c>
      <c r="AA102" s="6">
        <f t="shared" si="34"/>
        <v>3119.07</v>
      </c>
      <c r="AB102">
        <v>3138.78</v>
      </c>
      <c r="AC102" s="6">
        <f t="shared" ref="AC102:AF121" si="35">(($AG102-$AB102)/($AG$1-$AB$1))*(AC$1-$AB$1)+$AB102</f>
        <v>3165.53</v>
      </c>
      <c r="AD102" s="6">
        <f t="shared" si="35"/>
        <v>3192.28</v>
      </c>
      <c r="AE102" s="6">
        <f t="shared" si="35"/>
        <v>3219.03</v>
      </c>
      <c r="AF102" s="6">
        <f t="shared" si="35"/>
        <v>3245.78</v>
      </c>
      <c r="AG102">
        <v>3272.53</v>
      </c>
      <c r="AH102" s="9">
        <f>SUM(Tableau2[[#This Row],[2022]:[2050]])</f>
        <v>63893.065999999992</v>
      </c>
    </row>
    <row r="103" spans="1:36" x14ac:dyDescent="0.15">
      <c r="A103" s="5" t="s">
        <v>21</v>
      </c>
      <c r="B103" s="5" t="s">
        <v>141</v>
      </c>
      <c r="C103" s="2" t="s">
        <v>10</v>
      </c>
      <c r="D103" s="5" t="s">
        <v>94</v>
      </c>
      <c r="E103" s="10">
        <v>325.83100000000002</v>
      </c>
      <c r="F103" s="10">
        <f t="shared" si="30"/>
        <v>421.84133333333335</v>
      </c>
      <c r="G103" s="10">
        <f t="shared" si="30"/>
        <v>517.85166666666669</v>
      </c>
      <c r="H103" s="10">
        <v>613.86199999999997</v>
      </c>
      <c r="I103" s="10">
        <f t="shared" si="31"/>
        <v>688.7002</v>
      </c>
      <c r="J103" s="10">
        <f t="shared" si="31"/>
        <v>763.53839999999991</v>
      </c>
      <c r="K103" s="10">
        <f t="shared" si="31"/>
        <v>838.37659999999994</v>
      </c>
      <c r="L103" s="10">
        <f t="shared" si="31"/>
        <v>913.21479999999997</v>
      </c>
      <c r="M103" s="10">
        <v>988.053</v>
      </c>
      <c r="N103" s="10">
        <f t="shared" si="32"/>
        <v>1033.3563999999999</v>
      </c>
      <c r="O103" s="10">
        <f t="shared" si="32"/>
        <v>1078.6597999999999</v>
      </c>
      <c r="P103" s="10">
        <f t="shared" si="32"/>
        <v>1123.9631999999999</v>
      </c>
      <c r="Q103" s="10">
        <f t="shared" si="32"/>
        <v>1169.2665999999999</v>
      </c>
      <c r="R103" s="10">
        <v>1214.57</v>
      </c>
      <c r="S103" s="10">
        <f t="shared" si="33"/>
        <v>1274.8139999999999</v>
      </c>
      <c r="T103" s="10">
        <f t="shared" si="33"/>
        <v>1335.058</v>
      </c>
      <c r="U103" s="10">
        <f t="shared" si="33"/>
        <v>1395.3019999999999</v>
      </c>
      <c r="V103" s="10">
        <f t="shared" si="33"/>
        <v>1455.546</v>
      </c>
      <c r="W103" s="10">
        <v>1515.79</v>
      </c>
      <c r="X103" s="10">
        <f t="shared" si="34"/>
        <v>1535.6659999999999</v>
      </c>
      <c r="Y103" s="10">
        <f t="shared" si="34"/>
        <v>1555.5419999999999</v>
      </c>
      <c r="Z103" s="10">
        <f t="shared" si="34"/>
        <v>1575.4180000000001</v>
      </c>
      <c r="AA103" s="10">
        <f t="shared" si="34"/>
        <v>1595.2940000000001</v>
      </c>
      <c r="AB103" s="10">
        <v>1615.17</v>
      </c>
      <c r="AC103" s="10">
        <f t="shared" si="35"/>
        <v>1608.0720000000001</v>
      </c>
      <c r="AD103" s="10">
        <f t="shared" si="35"/>
        <v>1600.9740000000002</v>
      </c>
      <c r="AE103" s="10">
        <f t="shared" si="35"/>
        <v>1593.876</v>
      </c>
      <c r="AF103" s="10">
        <f t="shared" si="35"/>
        <v>1586.778</v>
      </c>
      <c r="AG103" s="10">
        <v>1579.68</v>
      </c>
      <c r="AH103" s="9">
        <f>SUM(Tableau2[[#This Row],[2022]:[2050]])</f>
        <v>34514.06500000001</v>
      </c>
    </row>
    <row r="104" spans="1:36" hidden="1" x14ac:dyDescent="0.15">
      <c r="A104" s="5" t="s">
        <v>20</v>
      </c>
      <c r="B104" s="5" t="s">
        <v>16</v>
      </c>
      <c r="C104" s="2" t="s">
        <v>10</v>
      </c>
      <c r="D104" s="5" t="s">
        <v>96</v>
      </c>
      <c r="E104" s="10">
        <v>36.5381</v>
      </c>
      <c r="F104" s="10">
        <f t="shared" si="30"/>
        <v>46.380366666666667</v>
      </c>
      <c r="G104" s="10">
        <f t="shared" si="30"/>
        <v>56.222633333333334</v>
      </c>
      <c r="H104" s="10">
        <v>66.064899999999994</v>
      </c>
      <c r="I104" s="10">
        <f t="shared" si="31"/>
        <v>80.378519999999995</v>
      </c>
      <c r="J104" s="10">
        <f t="shared" si="31"/>
        <v>94.692139999999995</v>
      </c>
      <c r="K104" s="10">
        <f t="shared" si="31"/>
        <v>109.00576000000001</v>
      </c>
      <c r="L104" s="10">
        <f t="shared" si="31"/>
        <v>123.31938000000001</v>
      </c>
      <c r="M104" s="10">
        <v>137.63300000000001</v>
      </c>
      <c r="N104" s="10">
        <f t="shared" si="32"/>
        <v>135.8888</v>
      </c>
      <c r="O104" s="10">
        <f t="shared" si="32"/>
        <v>134.1446</v>
      </c>
      <c r="P104" s="10">
        <f t="shared" si="32"/>
        <v>132.40040000000002</v>
      </c>
      <c r="Q104" s="10">
        <f t="shared" si="32"/>
        <v>130.65620000000001</v>
      </c>
      <c r="R104" s="10">
        <v>128.91200000000001</v>
      </c>
      <c r="S104" s="10">
        <f t="shared" si="33"/>
        <v>123.49940000000001</v>
      </c>
      <c r="T104" s="10">
        <f t="shared" si="33"/>
        <v>118.08680000000001</v>
      </c>
      <c r="U104" s="10">
        <f t="shared" si="33"/>
        <v>112.67420000000001</v>
      </c>
      <c r="V104" s="10">
        <f t="shared" si="33"/>
        <v>107.2616</v>
      </c>
      <c r="W104" s="10">
        <v>101.849</v>
      </c>
      <c r="X104" s="10">
        <f t="shared" si="34"/>
        <v>95.686160000000001</v>
      </c>
      <c r="Y104" s="10">
        <f t="shared" si="34"/>
        <v>89.523319999999998</v>
      </c>
      <c r="Z104" s="10">
        <f t="shared" si="34"/>
        <v>83.360479999999995</v>
      </c>
      <c r="AA104" s="10">
        <f t="shared" si="34"/>
        <v>77.197640000000007</v>
      </c>
      <c r="AB104" s="10">
        <v>71.034800000000004</v>
      </c>
      <c r="AC104" s="10">
        <f t="shared" si="35"/>
        <v>77.605240000000009</v>
      </c>
      <c r="AD104" s="10">
        <f t="shared" si="35"/>
        <v>84.17568</v>
      </c>
      <c r="AE104" s="10">
        <f t="shared" si="35"/>
        <v>90.746120000000005</v>
      </c>
      <c r="AF104" s="10">
        <f t="shared" si="35"/>
        <v>97.31656000000001</v>
      </c>
      <c r="AG104" s="10">
        <v>103.887</v>
      </c>
      <c r="AH104" s="10">
        <f>SUM(Tableau2[[#This Row],[2022]:[2050]])</f>
        <v>2846.1407999999997</v>
      </c>
    </row>
    <row r="105" spans="1:36" hidden="1" x14ac:dyDescent="0.15">
      <c r="A105" s="5" t="s">
        <v>22</v>
      </c>
      <c r="B105" s="5"/>
      <c r="C105" s="2" t="s">
        <v>10</v>
      </c>
      <c r="D105" s="5" t="s">
        <v>95</v>
      </c>
      <c r="E105" s="6">
        <v>1.7661100000000001</v>
      </c>
      <c r="F105" s="6">
        <f t="shared" si="30"/>
        <v>7.5448399999999998</v>
      </c>
      <c r="G105" s="6">
        <f t="shared" si="30"/>
        <v>13.323569999999998</v>
      </c>
      <c r="H105">
        <v>19.1023</v>
      </c>
      <c r="I105" s="6">
        <f t="shared" si="31"/>
        <v>24.258759999999999</v>
      </c>
      <c r="J105" s="6">
        <f t="shared" si="31"/>
        <v>29.415219999999998</v>
      </c>
      <c r="K105" s="6">
        <f t="shared" si="31"/>
        <v>34.571680000000001</v>
      </c>
      <c r="L105" s="6">
        <f t="shared" si="31"/>
        <v>39.728139999999996</v>
      </c>
      <c r="M105">
        <v>44.884599999999999</v>
      </c>
      <c r="N105" s="6">
        <f t="shared" si="32"/>
        <v>44.559060000000002</v>
      </c>
      <c r="O105" s="6">
        <f t="shared" si="32"/>
        <v>44.233519999999999</v>
      </c>
      <c r="P105" s="6">
        <f t="shared" si="32"/>
        <v>43.907980000000002</v>
      </c>
      <c r="Q105" s="6">
        <f t="shared" si="32"/>
        <v>43.582439999999998</v>
      </c>
      <c r="R105">
        <v>43.256900000000002</v>
      </c>
      <c r="S105" s="6">
        <f t="shared" si="33"/>
        <v>43.882020000000004</v>
      </c>
      <c r="T105" s="6">
        <f t="shared" si="33"/>
        <v>44.50714</v>
      </c>
      <c r="U105" s="6">
        <f t="shared" si="33"/>
        <v>45.132260000000002</v>
      </c>
      <c r="V105" s="6">
        <f t="shared" si="33"/>
        <v>45.757379999999998</v>
      </c>
      <c r="W105">
        <v>46.3825</v>
      </c>
      <c r="X105" s="6">
        <f t="shared" si="34"/>
        <v>46.531620000000004</v>
      </c>
      <c r="Y105" s="6">
        <f t="shared" si="34"/>
        <v>46.68074</v>
      </c>
      <c r="Z105" s="6">
        <f t="shared" si="34"/>
        <v>46.829860000000004</v>
      </c>
      <c r="AA105" s="6">
        <f t="shared" si="34"/>
        <v>46.97898</v>
      </c>
      <c r="AB105">
        <v>47.128100000000003</v>
      </c>
      <c r="AC105" s="6">
        <f t="shared" si="35"/>
        <v>49.931900000000006</v>
      </c>
      <c r="AD105" s="6">
        <f t="shared" si="35"/>
        <v>52.735700000000001</v>
      </c>
      <c r="AE105" s="6">
        <f t="shared" si="35"/>
        <v>55.539500000000004</v>
      </c>
      <c r="AF105" s="6">
        <f t="shared" si="35"/>
        <v>58.343299999999999</v>
      </c>
      <c r="AG105">
        <v>61.147100000000002</v>
      </c>
      <c r="AH105" s="9">
        <f>SUM(Tableau2[[#This Row],[2022]:[2050]])</f>
        <v>1171.6432200000002</v>
      </c>
    </row>
    <row r="106" spans="1:36" x14ac:dyDescent="0.15">
      <c r="A106" s="5" t="s">
        <v>22</v>
      </c>
      <c r="B106" s="5"/>
      <c r="C106" s="2" t="s">
        <v>10</v>
      </c>
      <c r="D106" s="5" t="s">
        <v>94</v>
      </c>
      <c r="E106" s="10">
        <v>1.7661100000000001</v>
      </c>
      <c r="F106" s="10">
        <f t="shared" si="30"/>
        <v>1.9864833333333334</v>
      </c>
      <c r="G106" s="10">
        <f t="shared" si="30"/>
        <v>2.2068566666666669</v>
      </c>
      <c r="H106" s="10">
        <v>2.4272300000000002</v>
      </c>
      <c r="I106" s="10">
        <f t="shared" si="31"/>
        <v>3.0010440000000003</v>
      </c>
      <c r="J106" s="10">
        <f t="shared" si="31"/>
        <v>3.5748579999999999</v>
      </c>
      <c r="K106" s="10">
        <f t="shared" si="31"/>
        <v>4.1486719999999995</v>
      </c>
      <c r="L106" s="10">
        <f t="shared" si="31"/>
        <v>4.722486</v>
      </c>
      <c r="M106" s="10">
        <v>5.2962999999999996</v>
      </c>
      <c r="N106" s="10">
        <f t="shared" si="32"/>
        <v>5.0810899999999997</v>
      </c>
      <c r="O106" s="10">
        <f t="shared" si="32"/>
        <v>4.8658799999999998</v>
      </c>
      <c r="P106" s="10">
        <f t="shared" si="32"/>
        <v>4.6506699999999999</v>
      </c>
      <c r="Q106" s="10">
        <f t="shared" si="32"/>
        <v>4.43546</v>
      </c>
      <c r="R106" s="10">
        <v>4.2202500000000001</v>
      </c>
      <c r="S106" s="10">
        <f t="shared" si="33"/>
        <v>4.1329960000000003</v>
      </c>
      <c r="T106" s="10">
        <f t="shared" si="33"/>
        <v>4.0457419999999997</v>
      </c>
      <c r="U106" s="10">
        <f t="shared" si="33"/>
        <v>3.958488</v>
      </c>
      <c r="V106" s="10">
        <f t="shared" si="33"/>
        <v>3.8712340000000003</v>
      </c>
      <c r="W106" s="10">
        <v>3.7839800000000001</v>
      </c>
      <c r="X106" s="10">
        <f t="shared" si="34"/>
        <v>3.8436080000000001</v>
      </c>
      <c r="Y106" s="10">
        <f t="shared" si="34"/>
        <v>3.9032360000000001</v>
      </c>
      <c r="Z106" s="10">
        <f t="shared" si="34"/>
        <v>3.9628639999999997</v>
      </c>
      <c r="AA106" s="10">
        <f t="shared" si="34"/>
        <v>4.0224919999999997</v>
      </c>
      <c r="AB106" s="10">
        <v>4.0821199999999997</v>
      </c>
      <c r="AC106" s="10">
        <f t="shared" si="35"/>
        <v>4.3985859999999999</v>
      </c>
      <c r="AD106" s="10">
        <f t="shared" si="35"/>
        <v>4.715052</v>
      </c>
      <c r="AE106" s="10">
        <f t="shared" si="35"/>
        <v>5.0315180000000002</v>
      </c>
      <c r="AF106" s="10">
        <f t="shared" si="35"/>
        <v>5.3479840000000003</v>
      </c>
      <c r="AG106" s="10">
        <v>5.6644500000000004</v>
      </c>
      <c r="AH106" s="9">
        <f>SUM(Tableau2[[#This Row],[2022]:[2050]])</f>
        <v>117.14774</v>
      </c>
    </row>
    <row r="107" spans="1:36" hidden="1" x14ac:dyDescent="0.15">
      <c r="A107" s="5" t="s">
        <v>142</v>
      </c>
      <c r="B107" s="5" t="s">
        <v>141</v>
      </c>
      <c r="C107" s="2" t="s">
        <v>10</v>
      </c>
      <c r="D107" s="5" t="s">
        <v>96</v>
      </c>
      <c r="E107" s="11">
        <v>8.9112399999999994</v>
      </c>
      <c r="F107" s="10">
        <f t="shared" si="30"/>
        <v>11.805593333333332</v>
      </c>
      <c r="G107" s="10">
        <f t="shared" si="30"/>
        <v>14.699946666666666</v>
      </c>
      <c r="H107" s="10">
        <v>17.5943</v>
      </c>
      <c r="I107" s="10">
        <f t="shared" si="31"/>
        <v>26.153240000000004</v>
      </c>
      <c r="J107" s="10">
        <f t="shared" si="31"/>
        <v>34.712180000000004</v>
      </c>
      <c r="K107" s="10">
        <f t="shared" si="31"/>
        <v>43.27112000000001</v>
      </c>
      <c r="L107" s="10">
        <f t="shared" si="31"/>
        <v>51.830060000000003</v>
      </c>
      <c r="M107" s="10">
        <v>60.389000000000003</v>
      </c>
      <c r="N107" s="10">
        <f t="shared" si="32"/>
        <v>63.193520000000007</v>
      </c>
      <c r="O107" s="10">
        <f t="shared" si="32"/>
        <v>65.998040000000003</v>
      </c>
      <c r="P107" s="10">
        <f t="shared" si="32"/>
        <v>68.80256</v>
      </c>
      <c r="Q107" s="10">
        <f t="shared" si="32"/>
        <v>71.607080000000011</v>
      </c>
      <c r="R107" s="10">
        <v>74.411600000000007</v>
      </c>
      <c r="S107" s="10">
        <f t="shared" si="33"/>
        <v>72.450780000000009</v>
      </c>
      <c r="T107" s="10">
        <f t="shared" si="33"/>
        <v>70.489960000000011</v>
      </c>
      <c r="U107" s="10">
        <f t="shared" si="33"/>
        <v>68.529139999999998</v>
      </c>
      <c r="V107" s="10">
        <f t="shared" si="33"/>
        <v>66.56832</v>
      </c>
      <c r="W107" s="10">
        <v>64.607500000000002</v>
      </c>
      <c r="X107" s="10">
        <f t="shared" si="34"/>
        <v>59.703560000000003</v>
      </c>
      <c r="Y107" s="10">
        <f t="shared" si="34"/>
        <v>54.799620000000004</v>
      </c>
      <c r="Z107" s="10">
        <f t="shared" si="34"/>
        <v>49.895679999999999</v>
      </c>
      <c r="AA107" s="10">
        <f t="shared" si="34"/>
        <v>44.99174</v>
      </c>
      <c r="AB107" s="10">
        <v>40.087800000000001</v>
      </c>
      <c r="AC107" s="10">
        <f t="shared" si="35"/>
        <v>32.070239999999998</v>
      </c>
      <c r="AD107" s="10">
        <f t="shared" si="35"/>
        <v>24.052680000000002</v>
      </c>
      <c r="AE107" s="10">
        <f t="shared" si="35"/>
        <v>16.035120000000003</v>
      </c>
      <c r="AF107" s="10">
        <f t="shared" si="35"/>
        <v>8.0175600000000031</v>
      </c>
      <c r="AG107" s="10">
        <v>0</v>
      </c>
      <c r="AH107" s="10">
        <f>SUM(Tableau2[[#This Row],[2022]:[2050]])</f>
        <v>1285.6791800000001</v>
      </c>
      <c r="AJ107" s="10"/>
    </row>
    <row r="108" spans="1:36" x14ac:dyDescent="0.15">
      <c r="A108" s="5" t="s">
        <v>91</v>
      </c>
      <c r="C108" s="2" t="s">
        <v>10</v>
      </c>
      <c r="D108" s="5" t="s">
        <v>94</v>
      </c>
      <c r="E108" s="10">
        <v>0.25209999999999999</v>
      </c>
      <c r="F108" s="10">
        <f t="shared" si="30"/>
        <v>0.26431733333333335</v>
      </c>
      <c r="G108" s="10">
        <f t="shared" si="30"/>
        <v>0.27653466666666665</v>
      </c>
      <c r="H108" s="10">
        <v>0.28875200000000001</v>
      </c>
      <c r="I108" s="10">
        <f t="shared" si="31"/>
        <v>0.29943380000000003</v>
      </c>
      <c r="J108" s="10">
        <f t="shared" si="31"/>
        <v>0.31011559999999999</v>
      </c>
      <c r="K108" s="10">
        <f t="shared" si="31"/>
        <v>0.32079740000000001</v>
      </c>
      <c r="L108" s="10">
        <f t="shared" si="31"/>
        <v>0.33147919999999997</v>
      </c>
      <c r="M108" s="10">
        <v>0.34216099999999999</v>
      </c>
      <c r="N108" s="10">
        <f t="shared" si="32"/>
        <v>0.34321479999999999</v>
      </c>
      <c r="O108" s="10">
        <f t="shared" si="32"/>
        <v>0.34426859999999998</v>
      </c>
      <c r="P108" s="10">
        <f t="shared" si="32"/>
        <v>0.34532240000000003</v>
      </c>
      <c r="Q108" s="10">
        <f t="shared" si="32"/>
        <v>0.34637620000000002</v>
      </c>
      <c r="R108" s="10">
        <v>0.34743000000000002</v>
      </c>
      <c r="S108" s="10">
        <f t="shared" si="33"/>
        <v>0.35069460000000002</v>
      </c>
      <c r="T108" s="10">
        <f t="shared" si="33"/>
        <v>0.35395920000000003</v>
      </c>
      <c r="U108" s="10">
        <f t="shared" si="33"/>
        <v>0.35722379999999998</v>
      </c>
      <c r="V108" s="10">
        <f t="shared" si="33"/>
        <v>0.36048839999999999</v>
      </c>
      <c r="W108" s="10">
        <v>0.36375299999999999</v>
      </c>
      <c r="X108" s="10">
        <f t="shared" si="34"/>
        <v>0.3748766</v>
      </c>
      <c r="Y108" s="10">
        <f t="shared" si="34"/>
        <v>0.38600020000000002</v>
      </c>
      <c r="Z108" s="10">
        <f t="shared" si="34"/>
        <v>0.39712380000000003</v>
      </c>
      <c r="AA108" s="10">
        <f t="shared" si="34"/>
        <v>0.40824739999999998</v>
      </c>
      <c r="AB108" s="10">
        <v>0.41937099999999999</v>
      </c>
      <c r="AC108" s="10">
        <f t="shared" si="35"/>
        <v>0.42986780000000002</v>
      </c>
      <c r="AD108" s="10">
        <f t="shared" si="35"/>
        <v>0.44036459999999999</v>
      </c>
      <c r="AE108" s="10">
        <f t="shared" si="35"/>
        <v>0.45086140000000002</v>
      </c>
      <c r="AF108" s="10">
        <f t="shared" si="35"/>
        <v>0.4613582</v>
      </c>
      <c r="AG108" s="10">
        <v>0.47185500000000002</v>
      </c>
      <c r="AH108" s="9">
        <f>SUM(Tableau2[[#This Row],[2022]:[2050]])</f>
        <v>10.438348000000001</v>
      </c>
    </row>
    <row r="109" spans="1:36" hidden="1" x14ac:dyDescent="0.15">
      <c r="A109" s="5" t="s">
        <v>22</v>
      </c>
      <c r="B109" s="5"/>
      <c r="C109" s="2" t="s">
        <v>10</v>
      </c>
      <c r="D109" s="5" t="s">
        <v>96</v>
      </c>
      <c r="E109" s="10">
        <v>1.7661100000000001</v>
      </c>
      <c r="F109" s="10">
        <f t="shared" si="30"/>
        <v>13.028506666666667</v>
      </c>
      <c r="G109" s="10">
        <f t="shared" si="30"/>
        <v>24.290903333333336</v>
      </c>
      <c r="H109" s="10">
        <v>35.5533</v>
      </c>
      <c r="I109" s="10">
        <f t="shared" si="31"/>
        <v>51.457239999999999</v>
      </c>
      <c r="J109" s="10">
        <f t="shared" si="31"/>
        <v>67.361180000000004</v>
      </c>
      <c r="K109" s="10">
        <f t="shared" si="31"/>
        <v>83.265119999999996</v>
      </c>
      <c r="L109" s="10">
        <f t="shared" si="31"/>
        <v>99.169060000000002</v>
      </c>
      <c r="M109" s="10">
        <v>115.07299999999999</v>
      </c>
      <c r="N109" s="10">
        <f t="shared" si="32"/>
        <v>115.6502</v>
      </c>
      <c r="O109" s="10">
        <f t="shared" si="32"/>
        <v>116.2274</v>
      </c>
      <c r="P109" s="10">
        <f t="shared" si="32"/>
        <v>116.80459999999999</v>
      </c>
      <c r="Q109" s="10">
        <f t="shared" si="32"/>
        <v>117.3818</v>
      </c>
      <c r="R109" s="10">
        <v>117.959</v>
      </c>
      <c r="S109" s="10">
        <f t="shared" si="33"/>
        <v>112.89634000000001</v>
      </c>
      <c r="T109" s="10">
        <f t="shared" si="33"/>
        <v>107.83368</v>
      </c>
      <c r="U109" s="10">
        <f t="shared" si="33"/>
        <v>102.77102000000001</v>
      </c>
      <c r="V109" s="10">
        <f t="shared" si="33"/>
        <v>97.708359999999999</v>
      </c>
      <c r="W109" s="10">
        <v>92.645700000000005</v>
      </c>
      <c r="X109" s="10">
        <f t="shared" si="34"/>
        <v>86.820140000000009</v>
      </c>
      <c r="Y109" s="10">
        <f t="shared" si="34"/>
        <v>80.994579999999999</v>
      </c>
      <c r="Z109" s="10">
        <f t="shared" si="34"/>
        <v>75.169020000000003</v>
      </c>
      <c r="AA109" s="10">
        <f t="shared" si="34"/>
        <v>69.343459999999993</v>
      </c>
      <c r="AB109" s="10">
        <v>63.517899999999997</v>
      </c>
      <c r="AC109" s="10">
        <f t="shared" si="35"/>
        <v>68.165379999999999</v>
      </c>
      <c r="AD109" s="10">
        <f t="shared" si="35"/>
        <v>72.812860000000001</v>
      </c>
      <c r="AE109" s="10">
        <f t="shared" si="35"/>
        <v>77.460340000000002</v>
      </c>
      <c r="AF109" s="10">
        <f t="shared" si="35"/>
        <v>82.107820000000004</v>
      </c>
      <c r="AG109" s="10">
        <v>86.755300000000005</v>
      </c>
      <c r="AH109" s="10">
        <f>SUM(Tableau2[[#This Row],[2022]:[2050]])</f>
        <v>2351.9893200000001</v>
      </c>
    </row>
    <row r="110" spans="1:36" hidden="1" x14ac:dyDescent="0.15">
      <c r="A110" s="5" t="s">
        <v>91</v>
      </c>
      <c r="C110" s="2" t="s">
        <v>10</v>
      </c>
      <c r="D110" s="5" t="s">
        <v>95</v>
      </c>
      <c r="E110" s="6">
        <v>0.25209999999999999</v>
      </c>
      <c r="F110" s="6">
        <f t="shared" si="30"/>
        <v>0.28253633333333333</v>
      </c>
      <c r="G110" s="6">
        <f t="shared" si="30"/>
        <v>0.31297266666666668</v>
      </c>
      <c r="H110" s="6">
        <v>0.34340900000000002</v>
      </c>
      <c r="I110" s="6">
        <f t="shared" si="31"/>
        <v>0.36479080000000003</v>
      </c>
      <c r="J110" s="6">
        <f t="shared" si="31"/>
        <v>0.38617260000000003</v>
      </c>
      <c r="K110" s="6">
        <f t="shared" si="31"/>
        <v>0.40755439999999998</v>
      </c>
      <c r="L110" s="6">
        <f t="shared" si="31"/>
        <v>0.42893619999999999</v>
      </c>
      <c r="M110" s="6">
        <v>0.450318</v>
      </c>
      <c r="N110" s="6">
        <f t="shared" si="32"/>
        <v>0.46507480000000001</v>
      </c>
      <c r="O110" s="6">
        <f t="shared" si="32"/>
        <v>0.47983159999999997</v>
      </c>
      <c r="P110" s="6">
        <f t="shared" si="32"/>
        <v>0.49458839999999998</v>
      </c>
      <c r="Q110" s="6">
        <f t="shared" si="32"/>
        <v>0.50934519999999994</v>
      </c>
      <c r="R110" s="6">
        <v>0.52410199999999996</v>
      </c>
      <c r="S110" s="6">
        <f t="shared" si="33"/>
        <v>0.52643739999999994</v>
      </c>
      <c r="T110" s="6">
        <f t="shared" si="33"/>
        <v>0.52877279999999993</v>
      </c>
      <c r="U110" s="6">
        <f t="shared" si="33"/>
        <v>0.53110820000000003</v>
      </c>
      <c r="V110" s="6">
        <f t="shared" si="33"/>
        <v>0.53344360000000002</v>
      </c>
      <c r="W110" s="6">
        <v>0.53577900000000001</v>
      </c>
      <c r="X110" s="6">
        <f t="shared" si="34"/>
        <v>0.55271539999999997</v>
      </c>
      <c r="Y110" s="6">
        <f t="shared" si="34"/>
        <v>0.56965180000000004</v>
      </c>
      <c r="Z110" s="6">
        <f t="shared" si="34"/>
        <v>0.5865882</v>
      </c>
      <c r="AA110" s="6">
        <f t="shared" si="34"/>
        <v>0.60352460000000008</v>
      </c>
      <c r="AB110" s="6">
        <v>0.62046100000000004</v>
      </c>
      <c r="AC110" s="6">
        <f t="shared" si="35"/>
        <v>0.63397820000000005</v>
      </c>
      <c r="AD110" s="6">
        <f t="shared" si="35"/>
        <v>0.64749540000000005</v>
      </c>
      <c r="AE110" s="6">
        <f t="shared" si="35"/>
        <v>0.66101259999999995</v>
      </c>
      <c r="AF110" s="6">
        <f t="shared" si="35"/>
        <v>0.67452979999999996</v>
      </c>
      <c r="AG110" s="6">
        <v>0.68804699999999996</v>
      </c>
      <c r="AH110" s="9">
        <f>SUM(Tableau2[[#This Row],[2022]:[2050]])</f>
        <v>14.595276999999999</v>
      </c>
    </row>
    <row r="111" spans="1:36" x14ac:dyDescent="0.15">
      <c r="A111" s="5" t="s">
        <v>20</v>
      </c>
      <c r="B111" s="5" t="s">
        <v>16</v>
      </c>
      <c r="C111" s="2" t="s">
        <v>10</v>
      </c>
      <c r="D111" s="5" t="s">
        <v>94</v>
      </c>
      <c r="E111" s="10">
        <v>36.5381</v>
      </c>
      <c r="F111" s="10">
        <f t="shared" si="30"/>
        <v>37.420999999999999</v>
      </c>
      <c r="G111" s="10">
        <f t="shared" si="30"/>
        <v>38.303899999999999</v>
      </c>
      <c r="H111" s="10">
        <v>39.186799999999998</v>
      </c>
      <c r="I111" s="10">
        <f t="shared" si="31"/>
        <v>41.344760000000001</v>
      </c>
      <c r="J111" s="10">
        <f t="shared" si="31"/>
        <v>43.502719999999997</v>
      </c>
      <c r="K111" s="10">
        <f t="shared" si="31"/>
        <v>45.660679999999999</v>
      </c>
      <c r="L111" s="10">
        <f t="shared" si="31"/>
        <v>47.818640000000002</v>
      </c>
      <c r="M111" s="10">
        <v>49.976599999999998</v>
      </c>
      <c r="N111" s="10">
        <f t="shared" si="32"/>
        <v>49.81268</v>
      </c>
      <c r="O111" s="10">
        <f t="shared" si="32"/>
        <v>49.648759999999996</v>
      </c>
      <c r="P111" s="10">
        <f t="shared" si="32"/>
        <v>49.484839999999998</v>
      </c>
      <c r="Q111" s="10">
        <f t="shared" si="32"/>
        <v>49.320919999999994</v>
      </c>
      <c r="R111" s="10">
        <v>49.156999999999996</v>
      </c>
      <c r="S111" s="10">
        <f t="shared" si="33"/>
        <v>48.533179999999994</v>
      </c>
      <c r="T111" s="10">
        <f t="shared" si="33"/>
        <v>47.90936</v>
      </c>
      <c r="U111" s="10">
        <f t="shared" si="33"/>
        <v>47.285539999999997</v>
      </c>
      <c r="V111" s="10">
        <f t="shared" si="33"/>
        <v>46.661720000000003</v>
      </c>
      <c r="W111" s="10">
        <v>46.0379</v>
      </c>
      <c r="X111" s="10">
        <f t="shared" si="34"/>
        <v>48.128120000000003</v>
      </c>
      <c r="Y111" s="10">
        <f t="shared" si="34"/>
        <v>50.218339999999998</v>
      </c>
      <c r="Z111" s="10">
        <f t="shared" si="34"/>
        <v>52.30856</v>
      </c>
      <c r="AA111" s="10">
        <f t="shared" si="34"/>
        <v>54.398780000000002</v>
      </c>
      <c r="AB111" s="10">
        <v>56.488999999999997</v>
      </c>
      <c r="AC111" s="10">
        <f t="shared" si="35"/>
        <v>57.42098</v>
      </c>
      <c r="AD111" s="10">
        <f t="shared" si="35"/>
        <v>58.352959999999996</v>
      </c>
      <c r="AE111" s="10">
        <f t="shared" si="35"/>
        <v>59.284939999999999</v>
      </c>
      <c r="AF111" s="10">
        <f t="shared" si="35"/>
        <v>60.216919999999995</v>
      </c>
      <c r="AG111" s="10">
        <v>61.148899999999998</v>
      </c>
      <c r="AH111" s="9">
        <f>SUM(Tableau2[[#This Row],[2022]:[2050]])</f>
        <v>1421.5726</v>
      </c>
    </row>
    <row r="112" spans="1:36" hidden="1" x14ac:dyDescent="0.15">
      <c r="A112" s="5" t="s">
        <v>20</v>
      </c>
      <c r="B112" s="5" t="s">
        <v>16</v>
      </c>
      <c r="C112" s="2" t="s">
        <v>10</v>
      </c>
      <c r="D112" s="5" t="s">
        <v>95</v>
      </c>
      <c r="E112" s="6">
        <v>36.5381</v>
      </c>
      <c r="F112" s="6">
        <f t="shared" si="30"/>
        <v>40.588500000000003</v>
      </c>
      <c r="G112" s="6">
        <f t="shared" si="30"/>
        <v>44.6389</v>
      </c>
      <c r="H112">
        <v>48.689300000000003</v>
      </c>
      <c r="I112" s="6">
        <f t="shared" si="31"/>
        <v>53.419420000000002</v>
      </c>
      <c r="J112" s="6">
        <f t="shared" si="31"/>
        <v>58.149540000000002</v>
      </c>
      <c r="K112" s="6">
        <f t="shared" si="31"/>
        <v>62.879660000000001</v>
      </c>
      <c r="L112" s="6">
        <f t="shared" si="31"/>
        <v>67.609780000000001</v>
      </c>
      <c r="M112">
        <v>72.3399</v>
      </c>
      <c r="N112" s="6">
        <f t="shared" si="32"/>
        <v>73.953860000000006</v>
      </c>
      <c r="O112" s="6">
        <f t="shared" si="32"/>
        <v>75.567819999999998</v>
      </c>
      <c r="P112" s="6">
        <f t="shared" si="32"/>
        <v>77.181780000000003</v>
      </c>
      <c r="Q112" s="6">
        <f t="shared" si="32"/>
        <v>78.795739999999995</v>
      </c>
      <c r="R112">
        <v>80.409700000000001</v>
      </c>
      <c r="S112" s="6">
        <f t="shared" si="33"/>
        <v>80.725359999999995</v>
      </c>
      <c r="T112" s="6">
        <f t="shared" si="33"/>
        <v>81.041020000000003</v>
      </c>
      <c r="U112" s="6">
        <f t="shared" si="33"/>
        <v>81.356679999999997</v>
      </c>
      <c r="V112" s="6">
        <f t="shared" si="33"/>
        <v>81.672340000000005</v>
      </c>
      <c r="W112">
        <v>81.988</v>
      </c>
      <c r="X112" s="6">
        <f t="shared" si="34"/>
        <v>81.574539999999999</v>
      </c>
      <c r="Y112" s="6">
        <f t="shared" si="34"/>
        <v>81.161079999999998</v>
      </c>
      <c r="Z112" s="6">
        <f t="shared" si="34"/>
        <v>80.747619999999998</v>
      </c>
      <c r="AA112" s="6">
        <f t="shared" si="34"/>
        <v>80.334159999999997</v>
      </c>
      <c r="AB112">
        <v>79.920699999999997</v>
      </c>
      <c r="AC112" s="6">
        <f t="shared" si="35"/>
        <v>81.464519999999993</v>
      </c>
      <c r="AD112" s="6">
        <f t="shared" si="35"/>
        <v>83.00833999999999</v>
      </c>
      <c r="AE112" s="6">
        <f t="shared" si="35"/>
        <v>84.552160000000001</v>
      </c>
      <c r="AF112" s="6">
        <f t="shared" si="35"/>
        <v>86.095979999999997</v>
      </c>
      <c r="AG112">
        <v>87.639799999999994</v>
      </c>
      <c r="AH112" s="9">
        <f>SUM(Tableau2[[#This Row],[2022]:[2050]])</f>
        <v>2104.0443000000009</v>
      </c>
      <c r="AJ112" s="10"/>
    </row>
    <row r="113" spans="1:36" hidden="1" x14ac:dyDescent="0.15">
      <c r="A113" s="5" t="s">
        <v>91</v>
      </c>
      <c r="B113" s="5" t="s">
        <v>16</v>
      </c>
      <c r="C113" s="2" t="s">
        <v>10</v>
      </c>
      <c r="D113" s="5" t="s">
        <v>96</v>
      </c>
      <c r="E113" s="10">
        <v>0.25209999999999999</v>
      </c>
      <c r="F113" s="10">
        <f t="shared" si="30"/>
        <v>0.32832899999999998</v>
      </c>
      <c r="G113" s="10">
        <f t="shared" si="30"/>
        <v>0.40455799999999997</v>
      </c>
      <c r="H113" s="10">
        <v>0.48078700000000002</v>
      </c>
      <c r="I113" s="10">
        <f t="shared" si="31"/>
        <v>0.54126099999999999</v>
      </c>
      <c r="J113" s="10">
        <f t="shared" si="31"/>
        <v>0.60173500000000002</v>
      </c>
      <c r="K113" s="10">
        <f t="shared" si="31"/>
        <v>0.66220900000000005</v>
      </c>
      <c r="L113" s="10">
        <f t="shared" si="31"/>
        <v>0.72268299999999996</v>
      </c>
      <c r="M113" s="10">
        <v>0.78315699999999999</v>
      </c>
      <c r="N113" s="10">
        <f t="shared" si="32"/>
        <v>0.78685660000000002</v>
      </c>
      <c r="O113" s="10">
        <f t="shared" si="32"/>
        <v>0.79055620000000004</v>
      </c>
      <c r="P113" s="10">
        <f t="shared" si="32"/>
        <v>0.79425579999999996</v>
      </c>
      <c r="Q113" s="10">
        <f t="shared" si="32"/>
        <v>0.79795539999999998</v>
      </c>
      <c r="R113" s="10">
        <v>0.80165500000000001</v>
      </c>
      <c r="S113" s="10">
        <f t="shared" si="33"/>
        <v>0.79862060000000001</v>
      </c>
      <c r="T113" s="10">
        <f t="shared" si="33"/>
        <v>0.79558620000000002</v>
      </c>
      <c r="U113" s="10">
        <f t="shared" si="33"/>
        <v>0.79255180000000003</v>
      </c>
      <c r="V113" s="10">
        <f t="shared" si="33"/>
        <v>0.78951740000000004</v>
      </c>
      <c r="W113" s="10">
        <v>0.78648300000000004</v>
      </c>
      <c r="X113" s="10">
        <f t="shared" si="34"/>
        <v>0.75647140000000002</v>
      </c>
      <c r="Y113" s="10">
        <f t="shared" si="34"/>
        <v>0.72645979999999999</v>
      </c>
      <c r="Z113" s="10">
        <f t="shared" si="34"/>
        <v>0.69644820000000007</v>
      </c>
      <c r="AA113" s="10">
        <f t="shared" si="34"/>
        <v>0.66643660000000005</v>
      </c>
      <c r="AB113" s="10">
        <v>0.63642500000000002</v>
      </c>
      <c r="AC113" s="10">
        <f t="shared" si="35"/>
        <v>0.65085400000000004</v>
      </c>
      <c r="AD113" s="10">
        <f t="shared" si="35"/>
        <v>0.66528300000000007</v>
      </c>
      <c r="AE113" s="10">
        <f t="shared" si="35"/>
        <v>0.67971199999999998</v>
      </c>
      <c r="AF113" s="10">
        <f t="shared" si="35"/>
        <v>0.69414100000000001</v>
      </c>
      <c r="AG113" s="10">
        <v>0.70857000000000003</v>
      </c>
      <c r="AH113" s="10">
        <f>SUM(Tableau2[[#This Row],[2022]:[2050]])</f>
        <v>19.591657999999999</v>
      </c>
    </row>
    <row r="114" spans="1:36" x14ac:dyDescent="0.15">
      <c r="A114" s="5" t="s">
        <v>22</v>
      </c>
      <c r="B114" s="5"/>
      <c r="C114" s="2" t="s">
        <v>13</v>
      </c>
      <c r="D114" s="5" t="s">
        <v>94</v>
      </c>
      <c r="E114" s="10">
        <v>1.4704520000000001E-3</v>
      </c>
      <c r="F114" s="10">
        <f t="shared" si="30"/>
        <v>1.963341E-3</v>
      </c>
      <c r="G114" s="10">
        <f t="shared" si="30"/>
        <v>2.4562300000000002E-3</v>
      </c>
      <c r="H114" s="10">
        <v>2.949119E-3</v>
      </c>
      <c r="I114" s="10">
        <f t="shared" si="31"/>
        <v>3.6467448000000002E-3</v>
      </c>
      <c r="J114" s="10">
        <f t="shared" si="31"/>
        <v>4.3443706000000004E-3</v>
      </c>
      <c r="K114" s="10">
        <f t="shared" si="31"/>
        <v>5.0419964000000001E-3</v>
      </c>
      <c r="L114" s="10">
        <f t="shared" si="31"/>
        <v>5.7396222000000007E-3</v>
      </c>
      <c r="M114" s="10">
        <v>6.4372480000000004E-3</v>
      </c>
      <c r="N114" s="10">
        <f t="shared" si="32"/>
        <v>7.1778838000000006E-3</v>
      </c>
      <c r="O114" s="10">
        <f t="shared" si="32"/>
        <v>7.9185195999999999E-3</v>
      </c>
      <c r="P114" s="10">
        <f t="shared" si="32"/>
        <v>8.6591554000000001E-3</v>
      </c>
      <c r="Q114" s="10">
        <f t="shared" si="32"/>
        <v>9.3997912000000003E-3</v>
      </c>
      <c r="R114" s="10">
        <v>1.0140427E-2</v>
      </c>
      <c r="S114" s="10">
        <f t="shared" si="33"/>
        <v>1.08751254E-2</v>
      </c>
      <c r="T114" s="10">
        <f t="shared" si="33"/>
        <v>1.16098238E-2</v>
      </c>
      <c r="U114" s="10">
        <f t="shared" si="33"/>
        <v>1.2344522199999999E-2</v>
      </c>
      <c r="V114" s="10">
        <f t="shared" si="33"/>
        <v>1.30792206E-2</v>
      </c>
      <c r="W114" s="10">
        <v>1.3813918999999999E-2</v>
      </c>
      <c r="X114" s="10">
        <f t="shared" si="34"/>
        <v>1.4381459799999999E-2</v>
      </c>
      <c r="Y114" s="10">
        <f t="shared" si="34"/>
        <v>1.4949000599999998E-2</v>
      </c>
      <c r="Z114" s="10">
        <f t="shared" si="34"/>
        <v>1.5516541399999998E-2</v>
      </c>
      <c r="AA114" s="10">
        <f t="shared" si="34"/>
        <v>1.6084082199999999E-2</v>
      </c>
      <c r="AB114" s="10">
        <v>1.6651622999999997E-2</v>
      </c>
      <c r="AC114" s="10">
        <f t="shared" si="35"/>
        <v>1.7403588799999998E-2</v>
      </c>
      <c r="AD114" s="10">
        <f t="shared" si="35"/>
        <v>1.8155554599999998E-2</v>
      </c>
      <c r="AE114" s="10">
        <f t="shared" si="35"/>
        <v>1.8907520399999999E-2</v>
      </c>
      <c r="AF114" s="10">
        <f t="shared" si="35"/>
        <v>1.96594862E-2</v>
      </c>
      <c r="AG114" s="10">
        <v>2.0411452E-2</v>
      </c>
      <c r="AH114" s="9">
        <f>SUM(Tableau2[[#This Row],[2022]:[2050]])</f>
        <v>0.31118782100000003</v>
      </c>
    </row>
    <row r="115" spans="1:36" hidden="1" x14ac:dyDescent="0.15">
      <c r="A115" s="5" t="s">
        <v>22</v>
      </c>
      <c r="B115" s="5"/>
      <c r="C115" s="2" t="s">
        <v>13</v>
      </c>
      <c r="D115" s="5" t="s">
        <v>95</v>
      </c>
      <c r="E115" s="6">
        <v>1.4704520000000001E-3</v>
      </c>
      <c r="F115" s="6">
        <f t="shared" si="30"/>
        <v>4.2293513333333333E-3</v>
      </c>
      <c r="G115" s="6">
        <f t="shared" si="30"/>
        <v>6.988250666666666E-3</v>
      </c>
      <c r="H115">
        <v>9.7471499999999996E-3</v>
      </c>
      <c r="I115" s="6">
        <f t="shared" si="31"/>
        <v>1.2356803999999999E-2</v>
      </c>
      <c r="J115" s="6">
        <f t="shared" si="31"/>
        <v>1.4966458E-2</v>
      </c>
      <c r="K115" s="6">
        <f t="shared" si="31"/>
        <v>1.7576112000000001E-2</v>
      </c>
      <c r="L115" s="6">
        <f t="shared" si="31"/>
        <v>2.0185766000000001E-2</v>
      </c>
      <c r="M115">
        <v>2.279542E-2</v>
      </c>
      <c r="N115" s="6">
        <f t="shared" si="32"/>
        <v>2.9571658000000001E-2</v>
      </c>
      <c r="O115" s="6">
        <f t="shared" si="32"/>
        <v>3.6347896000000005E-2</v>
      </c>
      <c r="P115" s="6">
        <f t="shared" si="32"/>
        <v>4.3124134000000008E-2</v>
      </c>
      <c r="Q115" s="6">
        <f t="shared" si="32"/>
        <v>4.9900372000000005E-2</v>
      </c>
      <c r="R115">
        <v>5.6676610000000002E-2</v>
      </c>
      <c r="S115" s="6">
        <f t="shared" si="33"/>
        <v>6.2051908000000003E-2</v>
      </c>
      <c r="T115" s="6">
        <f t="shared" si="33"/>
        <v>6.7427206000000003E-2</v>
      </c>
      <c r="U115" s="6">
        <f t="shared" si="33"/>
        <v>7.280250399999999E-2</v>
      </c>
      <c r="V115" s="6">
        <f t="shared" si="33"/>
        <v>7.8177801999999991E-2</v>
      </c>
      <c r="W115">
        <v>8.3553099999999991E-2</v>
      </c>
      <c r="X115" s="6">
        <f t="shared" si="34"/>
        <v>8.4920219999999991E-2</v>
      </c>
      <c r="Y115" s="6">
        <f t="shared" si="34"/>
        <v>8.628733999999999E-2</v>
      </c>
      <c r="Z115" s="6">
        <f t="shared" si="34"/>
        <v>8.7654460000000003E-2</v>
      </c>
      <c r="AA115" s="6">
        <f t="shared" si="34"/>
        <v>8.9021580000000003E-2</v>
      </c>
      <c r="AB115">
        <v>9.0388700000000002E-2</v>
      </c>
      <c r="AC115" s="6">
        <f t="shared" si="35"/>
        <v>8.7898518000000009E-2</v>
      </c>
      <c r="AD115" s="6">
        <f t="shared" si="35"/>
        <v>8.5408336000000001E-2</v>
      </c>
      <c r="AE115" s="6">
        <f t="shared" si="35"/>
        <v>8.2918154000000008E-2</v>
      </c>
      <c r="AF115" s="6">
        <f t="shared" si="35"/>
        <v>8.0427972E-2</v>
      </c>
      <c r="AG115">
        <v>7.7937790000000007E-2</v>
      </c>
      <c r="AH115" s="9">
        <f>SUM(Tableau2[[#This Row],[2022]:[2050]])</f>
        <v>1.5428120240000001</v>
      </c>
    </row>
    <row r="116" spans="1:36" hidden="1" x14ac:dyDescent="0.15">
      <c r="A116" s="5" t="s">
        <v>22</v>
      </c>
      <c r="B116" s="5"/>
      <c r="C116" s="2" t="s">
        <v>13</v>
      </c>
      <c r="D116" s="5" t="s">
        <v>96</v>
      </c>
      <c r="E116" s="10">
        <v>1.4704520000000001E-3</v>
      </c>
      <c r="F116" s="10">
        <f t="shared" si="30"/>
        <v>1.0718087999999999E-2</v>
      </c>
      <c r="G116" s="10">
        <f t="shared" si="30"/>
        <v>1.9965723999999997E-2</v>
      </c>
      <c r="H116" s="10">
        <v>2.9213359999999997E-2</v>
      </c>
      <c r="I116" s="10">
        <f t="shared" si="31"/>
        <v>4.0174135999999999E-2</v>
      </c>
      <c r="J116" s="10">
        <f t="shared" si="31"/>
        <v>5.1134912000000005E-2</v>
      </c>
      <c r="K116" s="10">
        <f t="shared" si="31"/>
        <v>6.2095687999999996E-2</v>
      </c>
      <c r="L116" s="10">
        <f t="shared" si="31"/>
        <v>7.3056464000000002E-2</v>
      </c>
      <c r="M116" s="10">
        <v>8.4017240000000007E-2</v>
      </c>
      <c r="N116" s="10">
        <f t="shared" si="32"/>
        <v>0.10033852800000001</v>
      </c>
      <c r="O116" s="10">
        <f t="shared" si="32"/>
        <v>0.11665981600000001</v>
      </c>
      <c r="P116" s="10">
        <f t="shared" si="32"/>
        <v>0.13298110400000002</v>
      </c>
      <c r="Q116" s="10">
        <f t="shared" si="32"/>
        <v>0.14930239200000001</v>
      </c>
      <c r="R116" s="10">
        <v>0.16562368000000002</v>
      </c>
      <c r="S116" s="10">
        <f t="shared" si="33"/>
        <v>0.17232565400000002</v>
      </c>
      <c r="T116" s="10">
        <f t="shared" si="33"/>
        <v>0.17902762800000002</v>
      </c>
      <c r="U116" s="10">
        <f t="shared" si="33"/>
        <v>0.18572960200000002</v>
      </c>
      <c r="V116" s="10">
        <f t="shared" si="33"/>
        <v>0.19243157600000002</v>
      </c>
      <c r="W116" s="10">
        <v>0.19913355000000002</v>
      </c>
      <c r="X116" s="10">
        <f t="shared" si="34"/>
        <v>0.19673398200000003</v>
      </c>
      <c r="Y116" s="10">
        <f t="shared" si="34"/>
        <v>0.19433441400000001</v>
      </c>
      <c r="Z116" s="10">
        <f t="shared" si="34"/>
        <v>0.19193484600000002</v>
      </c>
      <c r="AA116" s="10">
        <f t="shared" si="34"/>
        <v>0.189535278</v>
      </c>
      <c r="AB116" s="10">
        <v>0.18713571000000001</v>
      </c>
      <c r="AC116" s="10">
        <f t="shared" si="35"/>
        <v>0.177802248</v>
      </c>
      <c r="AD116" s="10">
        <f t="shared" si="35"/>
        <v>0.16846878600000001</v>
      </c>
      <c r="AE116" s="10">
        <f t="shared" si="35"/>
        <v>0.15913532399999999</v>
      </c>
      <c r="AF116" s="10">
        <f t="shared" si="35"/>
        <v>0.14980186200000001</v>
      </c>
      <c r="AG116" s="10">
        <v>0.14046839999999999</v>
      </c>
      <c r="AH116" s="10">
        <f>SUM(Tableau2[[#This Row],[2022]:[2050]])</f>
        <v>3.7207504440000005</v>
      </c>
    </row>
    <row r="117" spans="1:36" hidden="1" x14ac:dyDescent="0.15">
      <c r="A117" s="5" t="s">
        <v>21</v>
      </c>
      <c r="B117" s="5" t="s">
        <v>135</v>
      </c>
      <c r="C117" s="2" t="s">
        <v>139</v>
      </c>
      <c r="D117" s="5" t="s">
        <v>95</v>
      </c>
      <c r="E117" s="6">
        <v>0.59429200000000004</v>
      </c>
      <c r="F117" s="6">
        <f t="shared" si="30"/>
        <v>0.81635466666666667</v>
      </c>
      <c r="G117" s="6">
        <f t="shared" si="30"/>
        <v>1.0384173333333333</v>
      </c>
      <c r="H117">
        <v>1.26048</v>
      </c>
      <c r="I117" s="6">
        <f t="shared" si="31"/>
        <v>1.5374140000000001</v>
      </c>
      <c r="J117" s="6">
        <f t="shared" si="31"/>
        <v>1.8143480000000001</v>
      </c>
      <c r="K117" s="6">
        <f t="shared" si="31"/>
        <v>2.0912820000000001</v>
      </c>
      <c r="L117" s="6">
        <f t="shared" si="31"/>
        <v>2.3682160000000003</v>
      </c>
      <c r="M117">
        <v>2.6451500000000001</v>
      </c>
      <c r="N117" s="6">
        <f t="shared" si="32"/>
        <v>3.0238659999999999</v>
      </c>
      <c r="O117" s="6">
        <f t="shared" si="32"/>
        <v>3.4025820000000002</v>
      </c>
      <c r="P117" s="6">
        <f t="shared" si="32"/>
        <v>3.781298</v>
      </c>
      <c r="Q117" s="6">
        <f t="shared" si="32"/>
        <v>4.1600140000000003</v>
      </c>
      <c r="R117">
        <v>4.5387300000000002</v>
      </c>
      <c r="S117" s="6">
        <f t="shared" si="33"/>
        <v>4.8156040000000004</v>
      </c>
      <c r="T117" s="6">
        <f t="shared" si="33"/>
        <v>5.0924779999999998</v>
      </c>
      <c r="U117" s="6">
        <f t="shared" si="33"/>
        <v>5.3693520000000001</v>
      </c>
      <c r="V117" s="6">
        <f t="shared" si="33"/>
        <v>5.6462260000000004</v>
      </c>
      <c r="W117">
        <v>5.9230999999999998</v>
      </c>
      <c r="X117" s="6">
        <f t="shared" si="34"/>
        <v>6.0678479999999997</v>
      </c>
      <c r="Y117" s="6">
        <f t="shared" si="34"/>
        <v>6.2125959999999996</v>
      </c>
      <c r="Z117" s="6">
        <f t="shared" si="34"/>
        <v>6.3573440000000003</v>
      </c>
      <c r="AA117" s="6">
        <f t="shared" si="34"/>
        <v>6.5020920000000002</v>
      </c>
      <c r="AB117">
        <v>6.6468400000000001</v>
      </c>
      <c r="AC117" s="6">
        <f t="shared" si="35"/>
        <v>6.7794860000000003</v>
      </c>
      <c r="AD117" s="6">
        <f t="shared" si="35"/>
        <v>6.9121319999999997</v>
      </c>
      <c r="AE117" s="6">
        <f t="shared" si="35"/>
        <v>7.044778</v>
      </c>
      <c r="AF117" s="6">
        <f t="shared" si="35"/>
        <v>7.1774239999999994</v>
      </c>
      <c r="AG117">
        <v>7.3100699999999996</v>
      </c>
      <c r="AH117" s="9">
        <f>SUM(Tableau2[[#This Row],[2022]:[2050]])</f>
        <v>126.92981399999999</v>
      </c>
    </row>
    <row r="118" spans="1:36" x14ac:dyDescent="0.15">
      <c r="A118" s="5" t="s">
        <v>21</v>
      </c>
      <c r="B118" s="5" t="s">
        <v>135</v>
      </c>
      <c r="C118" s="2" t="s">
        <v>139</v>
      </c>
      <c r="D118" s="5" t="s">
        <v>94</v>
      </c>
      <c r="E118" s="10">
        <v>0.59429200000000004</v>
      </c>
      <c r="F118" s="10">
        <f t="shared" si="30"/>
        <v>0.75889799999999996</v>
      </c>
      <c r="G118" s="10">
        <f t="shared" si="30"/>
        <v>0.92350399999999988</v>
      </c>
      <c r="H118" s="10">
        <v>1.0881099999999999</v>
      </c>
      <c r="I118" s="10">
        <f t="shared" si="31"/>
        <v>1.236974</v>
      </c>
      <c r="J118" s="10">
        <f t="shared" si="31"/>
        <v>1.3858379999999999</v>
      </c>
      <c r="K118" s="10">
        <f t="shared" si="31"/>
        <v>1.534702</v>
      </c>
      <c r="L118" s="10">
        <f t="shared" si="31"/>
        <v>1.6835659999999999</v>
      </c>
      <c r="M118" s="10">
        <v>1.83243</v>
      </c>
      <c r="N118" s="10">
        <f t="shared" si="32"/>
        <v>1.919878</v>
      </c>
      <c r="O118" s="10">
        <f t="shared" si="32"/>
        <v>2.0073259999999999</v>
      </c>
      <c r="P118" s="10">
        <f t="shared" si="32"/>
        <v>2.0947740000000001</v>
      </c>
      <c r="Q118" s="10">
        <f t="shared" si="32"/>
        <v>2.1822219999999999</v>
      </c>
      <c r="R118" s="10">
        <v>2.2696700000000001</v>
      </c>
      <c r="S118" s="10">
        <f t="shared" si="33"/>
        <v>2.381224</v>
      </c>
      <c r="T118" s="10">
        <f t="shared" si="33"/>
        <v>2.4927779999999999</v>
      </c>
      <c r="U118" s="10">
        <f t="shared" si="33"/>
        <v>2.6043320000000003</v>
      </c>
      <c r="V118" s="10">
        <f t="shared" si="33"/>
        <v>2.7158860000000002</v>
      </c>
      <c r="W118" s="10">
        <v>2.8274400000000002</v>
      </c>
      <c r="X118" s="10">
        <f t="shared" si="34"/>
        <v>2.9159580000000003</v>
      </c>
      <c r="Y118" s="10">
        <f t="shared" si="34"/>
        <v>3.0044760000000004</v>
      </c>
      <c r="Z118" s="10">
        <f t="shared" si="34"/>
        <v>3.092994</v>
      </c>
      <c r="AA118" s="10">
        <f t="shared" si="34"/>
        <v>3.1815120000000001</v>
      </c>
      <c r="AB118" s="10">
        <v>3.2700300000000002</v>
      </c>
      <c r="AC118" s="10">
        <f t="shared" si="35"/>
        <v>3.3023980000000002</v>
      </c>
      <c r="AD118" s="10">
        <f t="shared" si="35"/>
        <v>3.3347660000000001</v>
      </c>
      <c r="AE118" s="10">
        <f t="shared" si="35"/>
        <v>3.3671340000000001</v>
      </c>
      <c r="AF118" s="10">
        <f t="shared" si="35"/>
        <v>3.399502</v>
      </c>
      <c r="AG118" s="10">
        <v>3.43187</v>
      </c>
      <c r="AH118" s="9">
        <f>SUM(Tableau2[[#This Row],[2022]:[2050]])</f>
        <v>66.834483999999989</v>
      </c>
    </row>
    <row r="119" spans="1:36" hidden="1" x14ac:dyDescent="0.15">
      <c r="A119" s="5" t="s">
        <v>20</v>
      </c>
      <c r="B119" s="5" t="s">
        <v>135</v>
      </c>
      <c r="C119" s="2" t="s">
        <v>139</v>
      </c>
      <c r="D119" s="5" t="s">
        <v>96</v>
      </c>
      <c r="E119" s="10">
        <v>0.95223400000000002</v>
      </c>
      <c r="F119" s="10">
        <f t="shared" si="30"/>
        <v>1.1941893333333333</v>
      </c>
      <c r="G119" s="10">
        <f t="shared" si="30"/>
        <v>1.4361446666666666</v>
      </c>
      <c r="H119" s="10">
        <v>1.6780999999999999</v>
      </c>
      <c r="I119" s="10">
        <f t="shared" si="31"/>
        <v>2.1871900000000002</v>
      </c>
      <c r="J119" s="10">
        <f t="shared" si="31"/>
        <v>2.6962800000000002</v>
      </c>
      <c r="K119" s="10">
        <f t="shared" si="31"/>
        <v>3.2053700000000003</v>
      </c>
      <c r="L119" s="10">
        <f t="shared" si="31"/>
        <v>3.7144600000000008</v>
      </c>
      <c r="M119" s="10">
        <v>4.2235500000000004</v>
      </c>
      <c r="N119" s="10">
        <f t="shared" si="32"/>
        <v>4.2005300000000005</v>
      </c>
      <c r="O119" s="10">
        <f t="shared" si="32"/>
        <v>4.1775100000000007</v>
      </c>
      <c r="P119" s="10">
        <f t="shared" si="32"/>
        <v>4.15449</v>
      </c>
      <c r="Q119" s="10">
        <f t="shared" si="32"/>
        <v>4.1314700000000002</v>
      </c>
      <c r="R119" s="10">
        <v>4.1084500000000004</v>
      </c>
      <c r="S119" s="10">
        <f t="shared" si="33"/>
        <v>4.0452279999999998</v>
      </c>
      <c r="T119" s="10">
        <f t="shared" si="33"/>
        <v>3.9820060000000002</v>
      </c>
      <c r="U119" s="10">
        <f t="shared" si="33"/>
        <v>3.918784</v>
      </c>
      <c r="V119" s="10">
        <f t="shared" si="33"/>
        <v>3.8555619999999999</v>
      </c>
      <c r="W119" s="10">
        <v>3.7923399999999998</v>
      </c>
      <c r="X119" s="10">
        <f t="shared" si="34"/>
        <v>3.5423499999999999</v>
      </c>
      <c r="Y119" s="10">
        <f t="shared" si="34"/>
        <v>3.29236</v>
      </c>
      <c r="Z119" s="10">
        <f t="shared" si="34"/>
        <v>3.04237</v>
      </c>
      <c r="AA119" s="10">
        <f t="shared" si="34"/>
        <v>2.7923800000000001</v>
      </c>
      <c r="AB119" s="10">
        <v>2.5423900000000001</v>
      </c>
      <c r="AC119" s="10">
        <f t="shared" si="35"/>
        <v>2.8177479999999999</v>
      </c>
      <c r="AD119" s="10">
        <f t="shared" si="35"/>
        <v>3.0931060000000001</v>
      </c>
      <c r="AE119" s="10">
        <f t="shared" si="35"/>
        <v>3.3684639999999999</v>
      </c>
      <c r="AF119" s="10">
        <f t="shared" si="35"/>
        <v>3.6438220000000001</v>
      </c>
      <c r="AG119" s="10">
        <v>3.9191799999999999</v>
      </c>
      <c r="AH119" s="10">
        <f>SUM(Tableau2[[#This Row],[2022]:[2050]])</f>
        <v>93.708058000000008</v>
      </c>
    </row>
    <row r="120" spans="1:36" x14ac:dyDescent="0.15">
      <c r="A120" s="5" t="s">
        <v>20</v>
      </c>
      <c r="B120" s="5" t="s">
        <v>135</v>
      </c>
      <c r="C120" s="2" t="s">
        <v>139</v>
      </c>
      <c r="D120" s="5" t="s">
        <v>94</v>
      </c>
      <c r="E120" s="10">
        <v>0.95223400000000002</v>
      </c>
      <c r="F120" s="10">
        <f t="shared" si="30"/>
        <v>0.98222600000000004</v>
      </c>
      <c r="G120" s="10">
        <f t="shared" si="30"/>
        <v>1.0122180000000001</v>
      </c>
      <c r="H120" s="10">
        <v>1.0422100000000001</v>
      </c>
      <c r="I120" s="10">
        <f t="shared" si="31"/>
        <v>1.1955500000000001</v>
      </c>
      <c r="J120" s="10">
        <f t="shared" si="31"/>
        <v>1.3488899999999999</v>
      </c>
      <c r="K120" s="10">
        <f t="shared" si="31"/>
        <v>1.50223</v>
      </c>
      <c r="L120" s="10">
        <f t="shared" si="31"/>
        <v>1.65557</v>
      </c>
      <c r="M120" s="10">
        <v>1.80891</v>
      </c>
      <c r="N120" s="10">
        <f t="shared" si="32"/>
        <v>1.77207</v>
      </c>
      <c r="O120" s="10">
        <f t="shared" si="32"/>
        <v>1.7352300000000001</v>
      </c>
      <c r="P120" s="10">
        <f t="shared" si="32"/>
        <v>1.6983900000000001</v>
      </c>
      <c r="Q120" s="10">
        <f t="shared" si="32"/>
        <v>1.6615500000000001</v>
      </c>
      <c r="R120" s="10">
        <v>1.6247100000000001</v>
      </c>
      <c r="S120" s="10">
        <f t="shared" si="33"/>
        <v>1.5874160000000002</v>
      </c>
      <c r="T120" s="10">
        <f t="shared" si="33"/>
        <v>1.550122</v>
      </c>
      <c r="U120" s="10">
        <f t="shared" si="33"/>
        <v>1.5128280000000001</v>
      </c>
      <c r="V120" s="10">
        <f t="shared" si="33"/>
        <v>1.4755339999999999</v>
      </c>
      <c r="W120" s="10">
        <v>1.43824</v>
      </c>
      <c r="X120" s="10">
        <f t="shared" si="34"/>
        <v>1.509228</v>
      </c>
      <c r="Y120" s="10">
        <f t="shared" si="34"/>
        <v>1.5802160000000001</v>
      </c>
      <c r="Z120" s="10">
        <f t="shared" si="34"/>
        <v>1.6512039999999999</v>
      </c>
      <c r="AA120" s="10">
        <f t="shared" si="34"/>
        <v>1.7221919999999999</v>
      </c>
      <c r="AB120" s="10">
        <v>1.79318</v>
      </c>
      <c r="AC120" s="10">
        <f t="shared" si="35"/>
        <v>1.869494</v>
      </c>
      <c r="AD120" s="10">
        <f t="shared" si="35"/>
        <v>1.945808</v>
      </c>
      <c r="AE120" s="10">
        <f t="shared" si="35"/>
        <v>2.022122</v>
      </c>
      <c r="AF120" s="10">
        <f t="shared" si="35"/>
        <v>2.098436</v>
      </c>
      <c r="AG120" s="10">
        <v>2.17475</v>
      </c>
      <c r="AH120" s="9">
        <f>SUM(Tableau2[[#This Row],[2022]:[2050]])</f>
        <v>45.922758000000002</v>
      </c>
    </row>
    <row r="121" spans="1:36" hidden="1" x14ac:dyDescent="0.15">
      <c r="A121" s="5" t="s">
        <v>21</v>
      </c>
      <c r="B121" s="5" t="s">
        <v>135</v>
      </c>
      <c r="C121" s="2" t="s">
        <v>139</v>
      </c>
      <c r="D121" s="5" t="s">
        <v>96</v>
      </c>
      <c r="E121" s="10">
        <v>0.59429200000000004</v>
      </c>
      <c r="F121" s="10">
        <f t="shared" si="30"/>
        <v>1.0445980000000001</v>
      </c>
      <c r="G121" s="10">
        <f t="shared" si="30"/>
        <v>1.494904</v>
      </c>
      <c r="H121" s="10">
        <v>1.9452100000000001</v>
      </c>
      <c r="I121" s="10">
        <f t="shared" si="31"/>
        <v>2.3453220000000004</v>
      </c>
      <c r="J121" s="10">
        <f t="shared" si="31"/>
        <v>2.7454340000000004</v>
      </c>
      <c r="K121" s="10">
        <f t="shared" si="31"/>
        <v>3.1455460000000004</v>
      </c>
      <c r="L121" s="10">
        <f t="shared" si="31"/>
        <v>3.5456580000000004</v>
      </c>
      <c r="M121" s="10">
        <v>3.94577</v>
      </c>
      <c r="N121" s="10">
        <f t="shared" si="32"/>
        <v>4.2070499999999997</v>
      </c>
      <c r="O121" s="10">
        <f t="shared" si="32"/>
        <v>4.4683299999999999</v>
      </c>
      <c r="P121" s="10">
        <f t="shared" si="32"/>
        <v>4.7296099999999992</v>
      </c>
      <c r="Q121" s="10">
        <f t="shared" si="32"/>
        <v>4.9908899999999994</v>
      </c>
      <c r="R121" s="10">
        <v>5.2521699999999996</v>
      </c>
      <c r="S121" s="10">
        <f t="shared" si="33"/>
        <v>5.2196379999999998</v>
      </c>
      <c r="T121" s="10">
        <f t="shared" si="33"/>
        <v>5.187106</v>
      </c>
      <c r="U121" s="10">
        <f t="shared" si="33"/>
        <v>5.1545739999999993</v>
      </c>
      <c r="V121" s="10">
        <f t="shared" si="33"/>
        <v>5.1220419999999995</v>
      </c>
      <c r="W121" s="10">
        <v>5.0895099999999998</v>
      </c>
      <c r="X121" s="10">
        <f t="shared" si="34"/>
        <v>5.171532</v>
      </c>
      <c r="Y121" s="10">
        <f t="shared" si="34"/>
        <v>5.2535540000000003</v>
      </c>
      <c r="Z121" s="10">
        <f t="shared" si="34"/>
        <v>5.3355759999999997</v>
      </c>
      <c r="AA121" s="10">
        <f t="shared" si="34"/>
        <v>5.4175979999999999</v>
      </c>
      <c r="AB121" s="10">
        <v>5.4996200000000002</v>
      </c>
      <c r="AC121" s="10">
        <f t="shared" si="35"/>
        <v>5.5235940000000001</v>
      </c>
      <c r="AD121" s="10">
        <f t="shared" si="35"/>
        <v>5.5475680000000001</v>
      </c>
      <c r="AE121" s="10">
        <f t="shared" si="35"/>
        <v>5.571542</v>
      </c>
      <c r="AF121" s="10">
        <f t="shared" si="35"/>
        <v>5.5955159999999999</v>
      </c>
      <c r="AG121" s="10">
        <v>5.6194899999999999</v>
      </c>
      <c r="AH121" s="10">
        <f>SUM(Tableau2[[#This Row],[2022]:[2050]])</f>
        <v>124.76324399999999</v>
      </c>
      <c r="AJ121" s="10"/>
    </row>
    <row r="122" spans="1:36" hidden="1" x14ac:dyDescent="0.15">
      <c r="A122" s="5" t="s">
        <v>20</v>
      </c>
      <c r="B122" s="5" t="s">
        <v>135</v>
      </c>
      <c r="C122" s="2" t="s">
        <v>139</v>
      </c>
      <c r="D122" s="5" t="s">
        <v>95</v>
      </c>
      <c r="E122" s="6">
        <v>0.95223400000000002</v>
      </c>
      <c r="F122" s="6">
        <f t="shared" ref="F122:G141" si="36">(($H122-$E122)/($H$1-$E$1))*(F$1-$E$1)+$E122</f>
        <v>1.0811759999999999</v>
      </c>
      <c r="G122" s="6">
        <f t="shared" si="36"/>
        <v>1.210118</v>
      </c>
      <c r="H122">
        <v>1.3390599999999999</v>
      </c>
      <c r="I122" s="6">
        <f t="shared" ref="I122:L141" si="37">(($M122-$H122)/($M$1-$H$1))*(I$1-$H$1)+$H122</f>
        <v>1.5437859999999999</v>
      </c>
      <c r="J122" s="6">
        <f t="shared" si="37"/>
        <v>1.7485120000000001</v>
      </c>
      <c r="K122" s="6">
        <f t="shared" si="37"/>
        <v>1.953238</v>
      </c>
      <c r="L122" s="6">
        <f t="shared" si="37"/>
        <v>2.1579640000000002</v>
      </c>
      <c r="M122">
        <v>2.3626900000000002</v>
      </c>
      <c r="N122" s="6">
        <f t="shared" ref="N122:Q141" si="38">(($R122-$M122)/($R$1-$M$1))*(N$1-$M$1)+$M122</f>
        <v>2.4268140000000002</v>
      </c>
      <c r="O122" s="6">
        <f t="shared" si="38"/>
        <v>2.4909380000000003</v>
      </c>
      <c r="P122" s="6">
        <f t="shared" si="38"/>
        <v>2.5550619999999999</v>
      </c>
      <c r="Q122" s="6">
        <f t="shared" si="38"/>
        <v>2.619186</v>
      </c>
      <c r="R122">
        <v>2.6833100000000001</v>
      </c>
      <c r="S122" s="6">
        <f t="shared" ref="S122:V141" si="39">(($W122-$R122)/($W$1-$R$1))*(S$1-$R$1)+$R122</f>
        <v>2.6921900000000001</v>
      </c>
      <c r="T122" s="6">
        <f t="shared" si="39"/>
        <v>2.7010700000000001</v>
      </c>
      <c r="U122" s="6">
        <f t="shared" si="39"/>
        <v>2.7099500000000001</v>
      </c>
      <c r="V122" s="6">
        <f t="shared" si="39"/>
        <v>2.7188300000000001</v>
      </c>
      <c r="W122">
        <v>2.7277100000000001</v>
      </c>
      <c r="X122" s="6">
        <f t="shared" ref="X122:AA141" si="40">(($AB122-$W122)/($AB$1-$W$1))*(X$1-$W$1)+$W122</f>
        <v>2.7669480000000002</v>
      </c>
      <c r="Y122" s="6">
        <f t="shared" si="40"/>
        <v>2.8061860000000003</v>
      </c>
      <c r="Z122" s="6">
        <f t="shared" si="40"/>
        <v>2.845424</v>
      </c>
      <c r="AA122" s="6">
        <f t="shared" si="40"/>
        <v>2.8846620000000001</v>
      </c>
      <c r="AB122">
        <v>2.9239000000000002</v>
      </c>
      <c r="AC122" s="6">
        <f t="shared" ref="AC122:AF141" si="41">(($AG122-$AB122)/($AG$1-$AB$1))*(AC$1-$AB$1)+$AB122</f>
        <v>3.0191020000000002</v>
      </c>
      <c r="AD122" s="6">
        <f t="shared" si="41"/>
        <v>3.1143040000000002</v>
      </c>
      <c r="AE122" s="6">
        <f t="shared" si="41"/>
        <v>3.2095060000000002</v>
      </c>
      <c r="AF122" s="6">
        <f t="shared" si="41"/>
        <v>3.3047080000000002</v>
      </c>
      <c r="AG122">
        <v>3.3999100000000002</v>
      </c>
      <c r="AH122" s="9">
        <f>SUM(Tableau2[[#This Row],[2022]:[2050]])</f>
        <v>70.948488000000012</v>
      </c>
    </row>
    <row r="123" spans="1:36" x14ac:dyDescent="0.15">
      <c r="A123" s="5" t="s">
        <v>91</v>
      </c>
      <c r="B123" s="5" t="s">
        <v>98</v>
      </c>
      <c r="C123" s="2" t="s">
        <v>14</v>
      </c>
      <c r="D123" s="5" t="s">
        <v>94</v>
      </c>
      <c r="E123" s="10">
        <v>7.5997999999999996E-2</v>
      </c>
      <c r="F123" s="10">
        <f t="shared" si="36"/>
        <v>7.8289566666666657E-2</v>
      </c>
      <c r="G123" s="10">
        <f t="shared" si="36"/>
        <v>8.0581133333333332E-2</v>
      </c>
      <c r="H123" s="10">
        <v>8.2872699999999994E-2</v>
      </c>
      <c r="I123" s="10">
        <f t="shared" si="37"/>
        <v>8.1573719999999988E-2</v>
      </c>
      <c r="J123" s="10">
        <f t="shared" si="37"/>
        <v>8.0274739999999997E-2</v>
      </c>
      <c r="K123" s="10">
        <f t="shared" si="37"/>
        <v>7.8975759999999992E-2</v>
      </c>
      <c r="L123" s="10">
        <f t="shared" si="37"/>
        <v>7.7676780000000001E-2</v>
      </c>
      <c r="M123" s="10">
        <v>7.6377799999999996E-2</v>
      </c>
      <c r="N123" s="10">
        <f t="shared" si="38"/>
        <v>7.5694239999999996E-2</v>
      </c>
      <c r="O123" s="10">
        <f t="shared" si="38"/>
        <v>7.5010679999999996E-2</v>
      </c>
      <c r="P123" s="10">
        <f t="shared" si="38"/>
        <v>7.4327119999999997E-2</v>
      </c>
      <c r="Q123" s="10">
        <f t="shared" si="38"/>
        <v>7.3643559999999997E-2</v>
      </c>
      <c r="R123" s="10">
        <v>7.2959999999999997E-2</v>
      </c>
      <c r="S123" s="10">
        <f t="shared" si="39"/>
        <v>7.1873439999999997E-2</v>
      </c>
      <c r="T123" s="10">
        <f t="shared" si="39"/>
        <v>7.0786879999999996E-2</v>
      </c>
      <c r="U123" s="10">
        <f t="shared" si="39"/>
        <v>6.9700319999999996E-2</v>
      </c>
      <c r="V123" s="10">
        <f t="shared" si="39"/>
        <v>6.8613759999999996E-2</v>
      </c>
      <c r="W123" s="10">
        <v>6.7527199999999996E-2</v>
      </c>
      <c r="X123" s="10">
        <f t="shared" si="40"/>
        <v>6.6476380000000002E-2</v>
      </c>
      <c r="Y123" s="10">
        <f t="shared" si="40"/>
        <v>6.5425559999999994E-2</v>
      </c>
      <c r="Z123" s="10">
        <f t="shared" si="40"/>
        <v>6.437474E-2</v>
      </c>
      <c r="AA123" s="10">
        <f t="shared" si="40"/>
        <v>6.3323919999999992E-2</v>
      </c>
      <c r="AB123" s="10">
        <v>6.2273099999999998E-2</v>
      </c>
      <c r="AC123" s="10">
        <f t="shared" si="41"/>
        <v>6.0225620000000001E-2</v>
      </c>
      <c r="AD123" s="10">
        <f t="shared" si="41"/>
        <v>5.8178139999999996E-2</v>
      </c>
      <c r="AE123" s="10">
        <f t="shared" si="41"/>
        <v>5.6130659999999999E-2</v>
      </c>
      <c r="AF123" s="10">
        <f t="shared" si="41"/>
        <v>5.4083179999999995E-2</v>
      </c>
      <c r="AG123" s="10">
        <v>5.2035699999999997E-2</v>
      </c>
      <c r="AH123" s="9">
        <f>SUM(Tableau2[[#This Row],[2022]:[2050]])</f>
        <v>2.0352844000000001</v>
      </c>
    </row>
    <row r="124" spans="1:36" hidden="1" x14ac:dyDescent="0.15">
      <c r="A124" s="5" t="s">
        <v>91</v>
      </c>
      <c r="B124" s="5" t="s">
        <v>98</v>
      </c>
      <c r="C124" s="2" t="s">
        <v>14</v>
      </c>
      <c r="D124" s="5" t="s">
        <v>95</v>
      </c>
      <c r="E124" s="6">
        <v>7.5997999999999996E-2</v>
      </c>
      <c r="F124" s="6">
        <f t="shared" si="36"/>
        <v>8.339036666666666E-2</v>
      </c>
      <c r="G124" s="6">
        <f t="shared" si="36"/>
        <v>9.0782733333333337E-2</v>
      </c>
      <c r="H124" s="6">
        <v>9.8175100000000001E-2</v>
      </c>
      <c r="I124" s="6">
        <f t="shared" si="37"/>
        <v>9.7833199999999995E-2</v>
      </c>
      <c r="J124" s="6">
        <f t="shared" si="37"/>
        <v>9.7491300000000003E-2</v>
      </c>
      <c r="K124" s="6">
        <f t="shared" si="37"/>
        <v>9.7149399999999997E-2</v>
      </c>
      <c r="L124" s="6">
        <f t="shared" si="37"/>
        <v>9.6807500000000005E-2</v>
      </c>
      <c r="M124" s="6">
        <v>9.6465599999999999E-2</v>
      </c>
      <c r="N124" s="6">
        <f t="shared" si="38"/>
        <v>9.7800280000000003E-2</v>
      </c>
      <c r="O124" s="6">
        <f t="shared" si="38"/>
        <v>9.9134959999999994E-2</v>
      </c>
      <c r="P124" s="6">
        <f t="shared" si="38"/>
        <v>0.10046964</v>
      </c>
      <c r="Q124" s="6">
        <f t="shared" si="38"/>
        <v>0.10180431999999999</v>
      </c>
      <c r="R124" s="6">
        <v>0.10313899999999999</v>
      </c>
      <c r="S124" s="6">
        <f t="shared" si="39"/>
        <v>0.10096651999999999</v>
      </c>
      <c r="T124" s="6">
        <f t="shared" si="39"/>
        <v>9.879404E-2</v>
      </c>
      <c r="U124" s="6">
        <f t="shared" si="39"/>
        <v>9.6621559999999995E-2</v>
      </c>
      <c r="V124" s="6">
        <f t="shared" si="39"/>
        <v>9.4449080000000005E-2</v>
      </c>
      <c r="W124" s="6">
        <v>9.22766E-2</v>
      </c>
      <c r="X124" s="6">
        <f t="shared" si="40"/>
        <v>8.9478660000000002E-2</v>
      </c>
      <c r="Y124" s="6">
        <f t="shared" si="40"/>
        <v>8.6680720000000003E-2</v>
      </c>
      <c r="Z124" s="6">
        <f t="shared" si="40"/>
        <v>8.3882780000000004E-2</v>
      </c>
      <c r="AA124" s="6">
        <f t="shared" si="40"/>
        <v>8.1084840000000005E-2</v>
      </c>
      <c r="AB124" s="6">
        <v>7.8286900000000006E-2</v>
      </c>
      <c r="AC124" s="6">
        <f t="shared" si="41"/>
        <v>7.4959280000000003E-2</v>
      </c>
      <c r="AD124" s="6">
        <f t="shared" si="41"/>
        <v>7.163166E-2</v>
      </c>
      <c r="AE124" s="6">
        <f t="shared" si="41"/>
        <v>6.8304039999999996E-2</v>
      </c>
      <c r="AF124" s="6">
        <f t="shared" si="41"/>
        <v>6.4976419999999993E-2</v>
      </c>
      <c r="AG124" s="6">
        <v>6.1648799999999997E-2</v>
      </c>
      <c r="AH124" s="9">
        <f>SUM(Tableau2[[#This Row],[2022]:[2050]])</f>
        <v>2.5804833</v>
      </c>
    </row>
    <row r="125" spans="1:36" hidden="1" x14ac:dyDescent="0.15">
      <c r="A125" s="5" t="s">
        <v>91</v>
      </c>
      <c r="B125" s="5" t="s">
        <v>98</v>
      </c>
      <c r="C125" s="2" t="s">
        <v>14</v>
      </c>
      <c r="D125" s="5" t="s">
        <v>96</v>
      </c>
      <c r="E125" s="10">
        <v>7.5997999999999996E-2</v>
      </c>
      <c r="F125" s="10">
        <f t="shared" si="36"/>
        <v>9.8034333333333334E-2</v>
      </c>
      <c r="G125" s="10">
        <f t="shared" si="36"/>
        <v>0.12007066666666667</v>
      </c>
      <c r="H125" s="10">
        <v>0.14210700000000001</v>
      </c>
      <c r="I125" s="10">
        <f t="shared" si="37"/>
        <v>0.15250280000000002</v>
      </c>
      <c r="J125" s="10">
        <f t="shared" si="37"/>
        <v>0.1628986</v>
      </c>
      <c r="K125" s="10">
        <f t="shared" si="37"/>
        <v>0.17329440000000002</v>
      </c>
      <c r="L125" s="10">
        <f t="shared" si="37"/>
        <v>0.18369020000000003</v>
      </c>
      <c r="M125" s="10">
        <v>0.19408600000000001</v>
      </c>
      <c r="N125" s="10">
        <f t="shared" si="38"/>
        <v>0.19173500000000002</v>
      </c>
      <c r="O125" s="10">
        <f t="shared" si="38"/>
        <v>0.189384</v>
      </c>
      <c r="P125" s="10">
        <f t="shared" si="38"/>
        <v>0.187033</v>
      </c>
      <c r="Q125" s="10">
        <f t="shared" si="38"/>
        <v>0.18468199999999999</v>
      </c>
      <c r="R125" s="10">
        <v>0.18233099999999999</v>
      </c>
      <c r="S125" s="10">
        <f t="shared" si="39"/>
        <v>0.1760784</v>
      </c>
      <c r="T125" s="10">
        <f t="shared" si="39"/>
        <v>0.1698258</v>
      </c>
      <c r="U125" s="10">
        <f t="shared" si="39"/>
        <v>0.1635732</v>
      </c>
      <c r="V125" s="10">
        <f t="shared" si="39"/>
        <v>0.1573206</v>
      </c>
      <c r="W125" s="10">
        <v>0.15106800000000001</v>
      </c>
      <c r="X125" s="10">
        <f t="shared" si="40"/>
        <v>0.13801044000000001</v>
      </c>
      <c r="Y125" s="10">
        <f t="shared" si="40"/>
        <v>0.12495288</v>
      </c>
      <c r="Z125" s="10">
        <f t="shared" si="40"/>
        <v>0.11189532000000001</v>
      </c>
      <c r="AA125" s="10">
        <f t="shared" si="40"/>
        <v>9.8837759999999997E-2</v>
      </c>
      <c r="AB125" s="10">
        <v>8.5780200000000001E-2</v>
      </c>
      <c r="AC125" s="10">
        <f t="shared" si="41"/>
        <v>7.976838E-2</v>
      </c>
      <c r="AD125" s="10">
        <f t="shared" si="41"/>
        <v>7.3756559999999999E-2</v>
      </c>
      <c r="AE125" s="10">
        <f t="shared" si="41"/>
        <v>6.7744739999999998E-2</v>
      </c>
      <c r="AF125" s="10">
        <f t="shared" si="41"/>
        <v>6.1732920000000004E-2</v>
      </c>
      <c r="AG125" s="10">
        <v>5.5721100000000003E-2</v>
      </c>
      <c r="AH125" s="10">
        <f>SUM(Tableau2[[#This Row],[2022]:[2050]])</f>
        <v>3.9539132999999995</v>
      </c>
    </row>
    <row r="126" spans="1:36" x14ac:dyDescent="0.15">
      <c r="A126" s="5" t="s">
        <v>142</v>
      </c>
      <c r="B126" s="5" t="s">
        <v>141</v>
      </c>
      <c r="C126" s="2" t="s">
        <v>25</v>
      </c>
      <c r="D126" s="5" t="s">
        <v>94</v>
      </c>
      <c r="E126" s="11">
        <v>6.9968500000000003E-2</v>
      </c>
      <c r="F126" s="10">
        <f t="shared" si="36"/>
        <v>0.10830066666666666</v>
      </c>
      <c r="G126" s="10">
        <f t="shared" si="36"/>
        <v>0.14663283333333332</v>
      </c>
      <c r="H126" s="10">
        <v>0.18496499999999999</v>
      </c>
      <c r="I126" s="10">
        <f t="shared" si="37"/>
        <v>0.37447200000000003</v>
      </c>
      <c r="J126" s="10">
        <f t="shared" si="37"/>
        <v>0.56397900000000001</v>
      </c>
      <c r="K126" s="10">
        <f t="shared" si="37"/>
        <v>0.7534860000000001</v>
      </c>
      <c r="L126" s="10">
        <f t="shared" si="37"/>
        <v>0.94299299999999997</v>
      </c>
      <c r="M126" s="10">
        <v>1.1325000000000001</v>
      </c>
      <c r="N126" s="10">
        <f t="shared" si="38"/>
        <v>1.4452800000000001</v>
      </c>
      <c r="O126" s="10">
        <f t="shared" si="38"/>
        <v>1.75806</v>
      </c>
      <c r="P126" s="10">
        <f t="shared" si="38"/>
        <v>2.07084</v>
      </c>
      <c r="Q126" s="10">
        <f t="shared" si="38"/>
        <v>2.3836200000000001</v>
      </c>
      <c r="R126" s="10">
        <v>2.6964000000000001</v>
      </c>
      <c r="S126" s="10">
        <f t="shared" si="39"/>
        <v>3.137848</v>
      </c>
      <c r="T126" s="10">
        <f t="shared" si="39"/>
        <v>3.5792960000000003</v>
      </c>
      <c r="U126" s="10">
        <f t="shared" si="39"/>
        <v>4.0207440000000005</v>
      </c>
      <c r="V126" s="10">
        <f t="shared" si="39"/>
        <v>4.4621919999999999</v>
      </c>
      <c r="W126" s="10">
        <v>4.9036400000000002</v>
      </c>
      <c r="X126" s="10">
        <f t="shared" si="40"/>
        <v>5.2025639999999997</v>
      </c>
      <c r="Y126" s="10">
        <f t="shared" si="40"/>
        <v>5.5014880000000002</v>
      </c>
      <c r="Z126" s="10">
        <f t="shared" si="40"/>
        <v>5.8004119999999997</v>
      </c>
      <c r="AA126" s="10">
        <f t="shared" si="40"/>
        <v>6.0993359999999992</v>
      </c>
      <c r="AB126" s="10">
        <v>6.3982599999999996</v>
      </c>
      <c r="AC126" s="10">
        <f t="shared" si="41"/>
        <v>6.3459659999999998</v>
      </c>
      <c r="AD126" s="10">
        <f t="shared" si="41"/>
        <v>6.2936719999999999</v>
      </c>
      <c r="AE126" s="10">
        <f t="shared" si="41"/>
        <v>6.2413780000000001</v>
      </c>
      <c r="AF126" s="10">
        <f t="shared" si="41"/>
        <v>6.1890840000000003</v>
      </c>
      <c r="AG126" s="10">
        <v>6.1367900000000004</v>
      </c>
      <c r="AH126" s="9">
        <f>SUM(Tableau2[[#This Row],[2022]:[2050]])</f>
        <v>94.944167000000007</v>
      </c>
    </row>
    <row r="127" spans="1:36" hidden="1" x14ac:dyDescent="0.15">
      <c r="A127" s="5" t="s">
        <v>142</v>
      </c>
      <c r="B127" s="5" t="s">
        <v>141</v>
      </c>
      <c r="C127" s="2" t="s">
        <v>25</v>
      </c>
      <c r="D127" s="5" t="s">
        <v>95</v>
      </c>
      <c r="E127" s="5">
        <v>6.9968500000000003E-2</v>
      </c>
      <c r="F127" s="6">
        <f t="shared" si="36"/>
        <v>0.13029533333333332</v>
      </c>
      <c r="G127" s="6">
        <f t="shared" si="36"/>
        <v>0.19062216666666665</v>
      </c>
      <c r="H127">
        <v>0.25094899999999998</v>
      </c>
      <c r="I127" s="6">
        <f t="shared" si="37"/>
        <v>0.55548719999999996</v>
      </c>
      <c r="J127" s="6">
        <f t="shared" si="37"/>
        <v>0.86002539999999994</v>
      </c>
      <c r="K127" s="6">
        <f t="shared" si="37"/>
        <v>1.1645635999999999</v>
      </c>
      <c r="L127" s="6">
        <f t="shared" si="37"/>
        <v>1.4691017999999998</v>
      </c>
      <c r="M127">
        <v>1.7736400000000001</v>
      </c>
      <c r="N127" s="6">
        <f t="shared" si="38"/>
        <v>2.2276739999999999</v>
      </c>
      <c r="O127" s="6">
        <f t="shared" si="38"/>
        <v>2.681708</v>
      </c>
      <c r="P127" s="6">
        <f t="shared" si="38"/>
        <v>3.1357419999999996</v>
      </c>
      <c r="Q127" s="6">
        <f t="shared" si="38"/>
        <v>3.5897759999999996</v>
      </c>
      <c r="R127">
        <v>4.0438099999999997</v>
      </c>
      <c r="S127" s="6">
        <f t="shared" si="39"/>
        <v>4.8705959999999999</v>
      </c>
      <c r="T127" s="6">
        <f t="shared" si="39"/>
        <v>5.6973819999999993</v>
      </c>
      <c r="U127" s="6">
        <f t="shared" si="39"/>
        <v>6.5241679999999995</v>
      </c>
      <c r="V127" s="6">
        <f t="shared" si="39"/>
        <v>7.3509539999999998</v>
      </c>
      <c r="W127">
        <v>8.17774</v>
      </c>
      <c r="X127" s="6">
        <f t="shared" si="40"/>
        <v>8.7560920000000007</v>
      </c>
      <c r="Y127" s="6">
        <f t="shared" si="40"/>
        <v>9.3344439999999995</v>
      </c>
      <c r="Z127" s="6">
        <f t="shared" si="40"/>
        <v>9.9127960000000002</v>
      </c>
      <c r="AA127" s="6">
        <f t="shared" si="40"/>
        <v>10.491147999999999</v>
      </c>
      <c r="AB127">
        <v>11.0695</v>
      </c>
      <c r="AC127" s="6">
        <f t="shared" si="41"/>
        <v>11.33466</v>
      </c>
      <c r="AD127" s="6">
        <f t="shared" si="41"/>
        <v>11.599819999999999</v>
      </c>
      <c r="AE127" s="6">
        <f t="shared" si="41"/>
        <v>11.864980000000001</v>
      </c>
      <c r="AF127" s="6">
        <f t="shared" si="41"/>
        <v>12.130140000000001</v>
      </c>
      <c r="AG127">
        <v>12.395300000000001</v>
      </c>
      <c r="AH127" s="9">
        <f>SUM(Tableau2[[#This Row],[2022]:[2050]])</f>
        <v>163.65308299999998</v>
      </c>
    </row>
    <row r="128" spans="1:36" hidden="1" x14ac:dyDescent="0.15">
      <c r="A128" s="5" t="s">
        <v>91</v>
      </c>
      <c r="B128" s="5" t="s">
        <v>101</v>
      </c>
      <c r="C128" s="2" t="s">
        <v>25</v>
      </c>
      <c r="D128" s="5" t="s">
        <v>96</v>
      </c>
      <c r="E128" s="10">
        <v>756.327</v>
      </c>
      <c r="F128" s="10">
        <f t="shared" si="36"/>
        <v>969.07799999999997</v>
      </c>
      <c r="G128" s="10">
        <f t="shared" si="36"/>
        <v>1181.829</v>
      </c>
      <c r="H128" s="10">
        <v>1394.58</v>
      </c>
      <c r="I128" s="10">
        <f t="shared" si="37"/>
        <v>1543.924</v>
      </c>
      <c r="J128" s="10">
        <f t="shared" si="37"/>
        <v>1693.268</v>
      </c>
      <c r="K128" s="10">
        <f t="shared" si="37"/>
        <v>1842.6120000000001</v>
      </c>
      <c r="L128" s="10">
        <f t="shared" si="37"/>
        <v>1991.9560000000001</v>
      </c>
      <c r="M128" s="10">
        <v>2141.3000000000002</v>
      </c>
      <c r="N128" s="10">
        <f t="shared" si="38"/>
        <v>2122.998</v>
      </c>
      <c r="O128" s="10">
        <f t="shared" si="38"/>
        <v>2104.6959999999999</v>
      </c>
      <c r="P128" s="10">
        <f t="shared" si="38"/>
        <v>2086.3940000000002</v>
      </c>
      <c r="Q128" s="10">
        <f t="shared" si="38"/>
        <v>2068.0920000000001</v>
      </c>
      <c r="R128" s="10">
        <v>2049.79</v>
      </c>
      <c r="S128" s="10">
        <f t="shared" si="39"/>
        <v>2012.6299999999999</v>
      </c>
      <c r="T128" s="10">
        <f t="shared" si="39"/>
        <v>1975.47</v>
      </c>
      <c r="U128" s="10">
        <f t="shared" si="39"/>
        <v>1938.31</v>
      </c>
      <c r="V128" s="10">
        <f t="shared" si="39"/>
        <v>1901.15</v>
      </c>
      <c r="W128" s="10">
        <v>1863.99</v>
      </c>
      <c r="X128" s="10">
        <f t="shared" si="40"/>
        <v>1768.7639999999999</v>
      </c>
      <c r="Y128" s="10">
        <f t="shared" si="40"/>
        <v>1673.538</v>
      </c>
      <c r="Z128" s="10">
        <f t="shared" si="40"/>
        <v>1578.3119999999999</v>
      </c>
      <c r="AA128" s="10">
        <f t="shared" si="40"/>
        <v>1483.0859999999998</v>
      </c>
      <c r="AB128" s="10">
        <v>1387.86</v>
      </c>
      <c r="AC128" s="10">
        <f t="shared" si="41"/>
        <v>1391.4179999999999</v>
      </c>
      <c r="AD128" s="10">
        <f t="shared" si="41"/>
        <v>1394.9759999999999</v>
      </c>
      <c r="AE128" s="10">
        <f t="shared" si="41"/>
        <v>1398.5340000000001</v>
      </c>
      <c r="AF128" s="10">
        <f t="shared" si="41"/>
        <v>1402.0920000000001</v>
      </c>
      <c r="AG128" s="10">
        <v>1405.65</v>
      </c>
      <c r="AH128" s="10">
        <f>SUM(Tableau2[[#This Row],[2022]:[2050]])</f>
        <v>48522.624000000011</v>
      </c>
    </row>
    <row r="129" spans="1:34" x14ac:dyDescent="0.15">
      <c r="A129" s="5" t="s">
        <v>21</v>
      </c>
      <c r="B129" s="5" t="s">
        <v>141</v>
      </c>
      <c r="C129" s="2" t="s">
        <v>25</v>
      </c>
      <c r="D129" s="5" t="s">
        <v>94</v>
      </c>
      <c r="E129" s="10">
        <v>8.6998200000000008</v>
      </c>
      <c r="F129" s="10">
        <f t="shared" si="36"/>
        <v>19.298946666666666</v>
      </c>
      <c r="G129" s="10">
        <f t="shared" si="36"/>
        <v>29.898073333333329</v>
      </c>
      <c r="H129" s="10">
        <v>40.497199999999999</v>
      </c>
      <c r="I129" s="10">
        <f t="shared" si="37"/>
        <v>60.100960000000001</v>
      </c>
      <c r="J129" s="10">
        <f t="shared" si="37"/>
        <v>79.704720000000009</v>
      </c>
      <c r="K129" s="10">
        <f t="shared" si="37"/>
        <v>99.308480000000003</v>
      </c>
      <c r="L129" s="10">
        <f t="shared" si="37"/>
        <v>118.91224</v>
      </c>
      <c r="M129" s="10">
        <v>138.51599999999999</v>
      </c>
      <c r="N129" s="10">
        <f t="shared" si="38"/>
        <v>155.6574</v>
      </c>
      <c r="O129" s="10">
        <f t="shared" si="38"/>
        <v>172.7988</v>
      </c>
      <c r="P129" s="10">
        <f t="shared" si="38"/>
        <v>189.9402</v>
      </c>
      <c r="Q129" s="10">
        <f t="shared" si="38"/>
        <v>207.08160000000001</v>
      </c>
      <c r="R129" s="10">
        <v>224.22300000000001</v>
      </c>
      <c r="S129" s="10">
        <f t="shared" si="39"/>
        <v>249.7758</v>
      </c>
      <c r="T129" s="10">
        <f t="shared" si="39"/>
        <v>275.32859999999999</v>
      </c>
      <c r="U129" s="10">
        <f t="shared" si="39"/>
        <v>300.88139999999999</v>
      </c>
      <c r="V129" s="10">
        <f t="shared" si="39"/>
        <v>326.43420000000003</v>
      </c>
      <c r="W129" s="10">
        <v>351.98700000000002</v>
      </c>
      <c r="X129" s="10">
        <f t="shared" si="40"/>
        <v>356.40380000000005</v>
      </c>
      <c r="Y129" s="10">
        <f t="shared" si="40"/>
        <v>360.82060000000001</v>
      </c>
      <c r="Z129" s="10">
        <f t="shared" si="40"/>
        <v>365.23740000000004</v>
      </c>
      <c r="AA129" s="10">
        <f t="shared" si="40"/>
        <v>369.6542</v>
      </c>
      <c r="AB129" s="10">
        <v>374.07100000000003</v>
      </c>
      <c r="AC129" s="10">
        <f t="shared" si="41"/>
        <v>373.9538</v>
      </c>
      <c r="AD129" s="10">
        <f t="shared" si="41"/>
        <v>373.83660000000003</v>
      </c>
      <c r="AE129" s="10">
        <f t="shared" si="41"/>
        <v>373.71940000000001</v>
      </c>
      <c r="AF129" s="10">
        <f t="shared" si="41"/>
        <v>373.60220000000004</v>
      </c>
      <c r="AG129" s="10">
        <v>373.48500000000001</v>
      </c>
      <c r="AH129" s="9">
        <f>SUM(Tableau2[[#This Row],[2022]:[2050]])</f>
        <v>6743.8284400000002</v>
      </c>
    </row>
    <row r="130" spans="1:34" hidden="1" x14ac:dyDescent="0.15">
      <c r="A130" s="5" t="s">
        <v>21</v>
      </c>
      <c r="B130" s="5" t="s">
        <v>141</v>
      </c>
      <c r="C130" s="2" t="s">
        <v>25</v>
      </c>
      <c r="D130" s="5" t="s">
        <v>95</v>
      </c>
      <c r="E130" s="6">
        <v>8.6998200000000008</v>
      </c>
      <c r="F130" s="6">
        <f t="shared" si="36"/>
        <v>21.349813333333334</v>
      </c>
      <c r="G130" s="6">
        <f t="shared" si="36"/>
        <v>33.999806666666665</v>
      </c>
      <c r="H130">
        <v>46.649799999999999</v>
      </c>
      <c r="I130" s="6">
        <f t="shared" si="37"/>
        <v>79.076840000000004</v>
      </c>
      <c r="J130" s="6">
        <f t="shared" si="37"/>
        <v>111.50388</v>
      </c>
      <c r="K130" s="6">
        <f t="shared" si="37"/>
        <v>143.93091999999999</v>
      </c>
      <c r="L130" s="6">
        <f t="shared" si="37"/>
        <v>176.35795999999999</v>
      </c>
      <c r="M130">
        <v>208.785</v>
      </c>
      <c r="N130" s="6">
        <f t="shared" si="38"/>
        <v>255.46080000000001</v>
      </c>
      <c r="O130" s="6">
        <f t="shared" si="38"/>
        <v>302.13659999999999</v>
      </c>
      <c r="P130" s="6">
        <f t="shared" si="38"/>
        <v>348.81240000000003</v>
      </c>
      <c r="Q130" s="6">
        <f t="shared" si="38"/>
        <v>395.48820000000001</v>
      </c>
      <c r="R130">
        <v>442.16399999999999</v>
      </c>
      <c r="S130" s="6">
        <f t="shared" si="39"/>
        <v>492.04239999999999</v>
      </c>
      <c r="T130" s="6">
        <f t="shared" si="39"/>
        <v>541.92079999999999</v>
      </c>
      <c r="U130" s="6">
        <f t="shared" si="39"/>
        <v>591.79920000000004</v>
      </c>
      <c r="V130" s="6">
        <f t="shared" si="39"/>
        <v>641.67759999999998</v>
      </c>
      <c r="W130">
        <v>691.55600000000004</v>
      </c>
      <c r="X130" s="6">
        <f t="shared" si="40"/>
        <v>696.99300000000005</v>
      </c>
      <c r="Y130" s="6">
        <f t="shared" si="40"/>
        <v>702.43000000000006</v>
      </c>
      <c r="Z130" s="6">
        <f t="shared" si="40"/>
        <v>707.86699999999996</v>
      </c>
      <c r="AA130" s="6">
        <f t="shared" si="40"/>
        <v>713.30399999999997</v>
      </c>
      <c r="AB130">
        <v>718.74099999999999</v>
      </c>
      <c r="AC130" s="6">
        <f t="shared" si="41"/>
        <v>732.20839999999998</v>
      </c>
      <c r="AD130" s="6">
        <f t="shared" si="41"/>
        <v>745.67579999999998</v>
      </c>
      <c r="AE130" s="6">
        <f t="shared" si="41"/>
        <v>759.14319999999998</v>
      </c>
      <c r="AF130" s="6">
        <f t="shared" si="41"/>
        <v>772.61059999999998</v>
      </c>
      <c r="AG130">
        <v>786.07799999999997</v>
      </c>
      <c r="AH130" s="9">
        <f>SUM(Tableau2[[#This Row],[2022]:[2050]])</f>
        <v>12868.46284</v>
      </c>
    </row>
    <row r="131" spans="1:34" hidden="1" x14ac:dyDescent="0.15">
      <c r="A131" s="5" t="s">
        <v>21</v>
      </c>
      <c r="B131" s="5" t="s">
        <v>141</v>
      </c>
      <c r="C131" s="2" t="s">
        <v>25</v>
      </c>
      <c r="D131" s="5" t="s">
        <v>96</v>
      </c>
      <c r="E131" s="10">
        <v>8.6998200000000008</v>
      </c>
      <c r="F131" s="10">
        <f t="shared" si="36"/>
        <v>30.644946666666669</v>
      </c>
      <c r="G131" s="10">
        <f t="shared" si="36"/>
        <v>52.590073333333336</v>
      </c>
      <c r="H131" s="10">
        <v>74.535200000000003</v>
      </c>
      <c r="I131" s="10">
        <f t="shared" si="37"/>
        <v>125.37756</v>
      </c>
      <c r="J131" s="10">
        <f t="shared" si="37"/>
        <v>176.21992</v>
      </c>
      <c r="K131" s="10">
        <f t="shared" si="37"/>
        <v>227.06228000000002</v>
      </c>
      <c r="L131" s="10">
        <f t="shared" si="37"/>
        <v>277.90463999999997</v>
      </c>
      <c r="M131" s="10">
        <v>328.74700000000001</v>
      </c>
      <c r="N131" s="10">
        <f t="shared" si="38"/>
        <v>381.93979999999999</v>
      </c>
      <c r="O131" s="10">
        <f t="shared" si="38"/>
        <v>435.13260000000002</v>
      </c>
      <c r="P131" s="10">
        <f t="shared" si="38"/>
        <v>488.3254</v>
      </c>
      <c r="Q131" s="10">
        <f t="shared" si="38"/>
        <v>541.51819999999998</v>
      </c>
      <c r="R131" s="10">
        <v>594.71100000000001</v>
      </c>
      <c r="S131" s="10">
        <f t="shared" si="39"/>
        <v>626.92320000000007</v>
      </c>
      <c r="T131" s="10">
        <f t="shared" si="39"/>
        <v>659.1354</v>
      </c>
      <c r="U131" s="10">
        <f t="shared" si="39"/>
        <v>691.34760000000006</v>
      </c>
      <c r="V131" s="10">
        <f t="shared" si="39"/>
        <v>723.5598</v>
      </c>
      <c r="W131" s="10">
        <v>755.77200000000005</v>
      </c>
      <c r="X131" s="10">
        <f t="shared" si="40"/>
        <v>758.9434</v>
      </c>
      <c r="Y131" s="10">
        <f t="shared" si="40"/>
        <v>762.11480000000006</v>
      </c>
      <c r="Z131" s="10">
        <f t="shared" si="40"/>
        <v>765.28620000000001</v>
      </c>
      <c r="AA131" s="10">
        <f t="shared" si="40"/>
        <v>768.45760000000007</v>
      </c>
      <c r="AB131" s="10">
        <v>771.62900000000002</v>
      </c>
      <c r="AC131" s="10">
        <f t="shared" si="41"/>
        <v>776.31000000000006</v>
      </c>
      <c r="AD131" s="10">
        <f t="shared" si="41"/>
        <v>780.99099999999999</v>
      </c>
      <c r="AE131" s="10">
        <f t="shared" si="41"/>
        <v>785.67200000000003</v>
      </c>
      <c r="AF131" s="10">
        <f t="shared" si="41"/>
        <v>790.35299999999995</v>
      </c>
      <c r="AG131" s="10">
        <v>795.03399999999999</v>
      </c>
      <c r="AH131" s="10">
        <f>SUM(Tableau2[[#This Row],[2022]:[2050]])</f>
        <v>14954.93744</v>
      </c>
    </row>
    <row r="132" spans="1:34" x14ac:dyDescent="0.15">
      <c r="A132" s="5" t="s">
        <v>91</v>
      </c>
      <c r="B132" s="5" t="s">
        <v>101</v>
      </c>
      <c r="C132" s="2" t="s">
        <v>25</v>
      </c>
      <c r="D132" s="5" t="s">
        <v>94</v>
      </c>
      <c r="E132" s="10">
        <v>756.327</v>
      </c>
      <c r="F132" s="10">
        <f t="shared" si="36"/>
        <v>773.48933333333332</v>
      </c>
      <c r="G132" s="10">
        <f t="shared" si="36"/>
        <v>790.65166666666664</v>
      </c>
      <c r="H132" s="10">
        <v>807.81399999999996</v>
      </c>
      <c r="I132" s="10">
        <f t="shared" si="37"/>
        <v>814.88379999999995</v>
      </c>
      <c r="J132" s="10">
        <f t="shared" si="37"/>
        <v>821.95359999999994</v>
      </c>
      <c r="K132" s="10">
        <f t="shared" si="37"/>
        <v>829.02340000000004</v>
      </c>
      <c r="L132" s="10">
        <f t="shared" si="37"/>
        <v>836.09320000000002</v>
      </c>
      <c r="M132" s="10">
        <v>843.16300000000001</v>
      </c>
      <c r="N132" s="10">
        <f t="shared" si="38"/>
        <v>839.18399999999997</v>
      </c>
      <c r="O132" s="10">
        <f t="shared" si="38"/>
        <v>835.20500000000004</v>
      </c>
      <c r="P132" s="10">
        <f t="shared" si="38"/>
        <v>831.226</v>
      </c>
      <c r="Q132" s="10">
        <f t="shared" si="38"/>
        <v>827.24700000000007</v>
      </c>
      <c r="R132" s="10">
        <v>823.26800000000003</v>
      </c>
      <c r="S132" s="10">
        <f t="shared" si="39"/>
        <v>824.21500000000003</v>
      </c>
      <c r="T132" s="10">
        <f t="shared" si="39"/>
        <v>825.16200000000003</v>
      </c>
      <c r="U132" s="10">
        <f t="shared" si="39"/>
        <v>826.10900000000004</v>
      </c>
      <c r="V132" s="10">
        <f t="shared" si="39"/>
        <v>827.05600000000004</v>
      </c>
      <c r="W132" s="10">
        <v>828.00300000000004</v>
      </c>
      <c r="X132" s="10">
        <f t="shared" si="40"/>
        <v>845.54520000000002</v>
      </c>
      <c r="Y132" s="10">
        <f t="shared" si="40"/>
        <v>863.0874</v>
      </c>
      <c r="Z132" s="10">
        <f t="shared" si="40"/>
        <v>880.6296000000001</v>
      </c>
      <c r="AA132" s="10">
        <f t="shared" si="40"/>
        <v>898.17180000000008</v>
      </c>
      <c r="AB132" s="10">
        <v>915.71400000000006</v>
      </c>
      <c r="AC132" s="10">
        <f t="shared" si="41"/>
        <v>929.93860000000006</v>
      </c>
      <c r="AD132" s="10">
        <f t="shared" si="41"/>
        <v>944.16320000000007</v>
      </c>
      <c r="AE132" s="10">
        <f t="shared" si="41"/>
        <v>958.38779999999997</v>
      </c>
      <c r="AF132" s="10">
        <f t="shared" si="41"/>
        <v>972.61239999999998</v>
      </c>
      <c r="AG132" s="10">
        <v>986.83699999999999</v>
      </c>
      <c r="AH132" s="9">
        <f>SUM(Tableau2[[#This Row],[2022]:[2050]])</f>
        <v>24755.161</v>
      </c>
    </row>
    <row r="133" spans="1:34" hidden="1" x14ac:dyDescent="0.15">
      <c r="A133" s="5" t="s">
        <v>91</v>
      </c>
      <c r="B133" s="5" t="s">
        <v>101</v>
      </c>
      <c r="C133" s="2" t="s">
        <v>25</v>
      </c>
      <c r="D133" s="5" t="s">
        <v>95</v>
      </c>
      <c r="E133" s="6">
        <v>756.327</v>
      </c>
      <c r="F133" s="6">
        <f t="shared" si="36"/>
        <v>824.53800000000001</v>
      </c>
      <c r="G133" s="6">
        <f t="shared" si="36"/>
        <v>892.74900000000002</v>
      </c>
      <c r="H133" s="6">
        <v>960.96</v>
      </c>
      <c r="I133" s="6">
        <f t="shared" si="37"/>
        <v>990.50400000000002</v>
      </c>
      <c r="J133" s="6">
        <f t="shared" si="37"/>
        <v>1020.048</v>
      </c>
      <c r="K133" s="6">
        <f t="shared" si="37"/>
        <v>1049.5920000000001</v>
      </c>
      <c r="L133" s="6">
        <f t="shared" si="37"/>
        <v>1079.136</v>
      </c>
      <c r="M133" s="6">
        <v>1108.68</v>
      </c>
      <c r="N133" s="6">
        <f t="shared" si="38"/>
        <v>1134.222</v>
      </c>
      <c r="O133" s="6">
        <f t="shared" si="38"/>
        <v>1159.7640000000001</v>
      </c>
      <c r="P133" s="6">
        <f t="shared" si="38"/>
        <v>1185.306</v>
      </c>
      <c r="Q133" s="6">
        <f t="shared" si="38"/>
        <v>1210.8480000000002</v>
      </c>
      <c r="R133" s="6">
        <v>1236.3900000000001</v>
      </c>
      <c r="S133" s="6">
        <f t="shared" si="39"/>
        <v>1230.308</v>
      </c>
      <c r="T133" s="6">
        <f t="shared" si="39"/>
        <v>1224.2260000000001</v>
      </c>
      <c r="U133" s="6">
        <f t="shared" si="39"/>
        <v>1218.144</v>
      </c>
      <c r="V133" s="6">
        <f t="shared" si="39"/>
        <v>1212.0620000000001</v>
      </c>
      <c r="W133" s="6">
        <v>1205.98</v>
      </c>
      <c r="X133" s="6">
        <f t="shared" si="40"/>
        <v>1231.0940000000001</v>
      </c>
      <c r="Y133" s="6">
        <f t="shared" si="40"/>
        <v>1256.2080000000001</v>
      </c>
      <c r="Z133" s="6">
        <f t="shared" si="40"/>
        <v>1281.3219999999999</v>
      </c>
      <c r="AA133" s="6">
        <f t="shared" si="40"/>
        <v>1306.4359999999999</v>
      </c>
      <c r="AB133" s="6">
        <v>1331.55</v>
      </c>
      <c r="AC133" s="6">
        <f t="shared" si="41"/>
        <v>1345.646</v>
      </c>
      <c r="AD133" s="6">
        <f t="shared" si="41"/>
        <v>1359.742</v>
      </c>
      <c r="AE133" s="6">
        <f t="shared" si="41"/>
        <v>1373.838</v>
      </c>
      <c r="AF133" s="6">
        <f t="shared" si="41"/>
        <v>1387.934</v>
      </c>
      <c r="AG133" s="6">
        <v>1402.03</v>
      </c>
      <c r="AH133" s="9">
        <f>SUM(Tableau2[[#This Row],[2022]:[2050]])</f>
        <v>33975.584000000003</v>
      </c>
    </row>
    <row r="134" spans="1:34" hidden="1" x14ac:dyDescent="0.15">
      <c r="A134" s="5" t="s">
        <v>142</v>
      </c>
      <c r="B134" s="5" t="s">
        <v>141</v>
      </c>
      <c r="C134" s="2" t="s">
        <v>25</v>
      </c>
      <c r="D134" s="5" t="s">
        <v>96</v>
      </c>
      <c r="E134" s="11">
        <v>6.9968500000000003E-2</v>
      </c>
      <c r="F134" s="10">
        <f t="shared" si="36"/>
        <v>0.17093</v>
      </c>
      <c r="G134" s="10">
        <f t="shared" si="36"/>
        <v>0.27189150000000001</v>
      </c>
      <c r="H134" s="10">
        <v>0.37285299999999999</v>
      </c>
      <c r="I134" s="10">
        <f t="shared" si="37"/>
        <v>1.0050683999999999</v>
      </c>
      <c r="J134" s="10">
        <f t="shared" si="37"/>
        <v>1.6372838000000001</v>
      </c>
      <c r="K134" s="10">
        <f t="shared" si="37"/>
        <v>2.2694991999999998</v>
      </c>
      <c r="L134" s="10">
        <f t="shared" si="37"/>
        <v>2.9017146</v>
      </c>
      <c r="M134" s="10">
        <v>3.5339299999999998</v>
      </c>
      <c r="N134" s="10">
        <f t="shared" si="38"/>
        <v>4.3751059999999997</v>
      </c>
      <c r="O134" s="10">
        <f t="shared" si="38"/>
        <v>5.2162819999999996</v>
      </c>
      <c r="P134" s="10">
        <f t="shared" si="38"/>
        <v>6.0574580000000005</v>
      </c>
      <c r="Q134" s="10">
        <f t="shared" si="38"/>
        <v>6.8986340000000004</v>
      </c>
      <c r="R134" s="10">
        <v>7.7398100000000003</v>
      </c>
      <c r="S134" s="10">
        <f t="shared" si="39"/>
        <v>9.1756480000000007</v>
      </c>
      <c r="T134" s="10">
        <f t="shared" si="39"/>
        <v>10.611485999999999</v>
      </c>
      <c r="U134" s="10">
        <f t="shared" si="39"/>
        <v>12.047324</v>
      </c>
      <c r="V134" s="10">
        <f t="shared" si="39"/>
        <v>13.483162</v>
      </c>
      <c r="W134" s="10">
        <v>14.919</v>
      </c>
      <c r="X134" s="10">
        <f t="shared" si="40"/>
        <v>15.872780000000001</v>
      </c>
      <c r="Y134" s="10">
        <f t="shared" si="40"/>
        <v>16.826560000000001</v>
      </c>
      <c r="Z134" s="10">
        <f t="shared" si="40"/>
        <v>17.780339999999999</v>
      </c>
      <c r="AA134" s="10">
        <f t="shared" si="40"/>
        <v>18.734120000000001</v>
      </c>
      <c r="AB134" s="10">
        <v>19.687899999999999</v>
      </c>
      <c r="AC134" s="10">
        <f t="shared" si="41"/>
        <v>19.465820000000001</v>
      </c>
      <c r="AD134" s="10">
        <f t="shared" si="41"/>
        <v>19.243739999999999</v>
      </c>
      <c r="AE134" s="10">
        <f t="shared" si="41"/>
        <v>19.021660000000001</v>
      </c>
      <c r="AF134" s="10">
        <f t="shared" si="41"/>
        <v>18.799579999999999</v>
      </c>
      <c r="AG134" s="10">
        <v>18.577500000000001</v>
      </c>
      <c r="AH134" s="10">
        <f>SUM(Tableau2[[#This Row],[2022]:[2050]])</f>
        <v>286.76704899999999</v>
      </c>
    </row>
    <row r="135" spans="1:34" x14ac:dyDescent="0.15">
      <c r="A135" s="5" t="s">
        <v>91</v>
      </c>
      <c r="B135" s="5" t="s">
        <v>102</v>
      </c>
      <c r="C135" s="2" t="s">
        <v>15</v>
      </c>
      <c r="D135" s="5" t="s">
        <v>94</v>
      </c>
      <c r="E135" s="10">
        <v>3.831</v>
      </c>
      <c r="F135" s="10">
        <f t="shared" si="36"/>
        <v>3.8975833333333334</v>
      </c>
      <c r="G135" s="10">
        <f t="shared" si="36"/>
        <v>3.9641666666666668</v>
      </c>
      <c r="H135" s="10">
        <v>4.0307500000000003</v>
      </c>
      <c r="I135" s="10">
        <f t="shared" si="37"/>
        <v>4.0402180000000003</v>
      </c>
      <c r="J135" s="10">
        <f t="shared" si="37"/>
        <v>4.0496860000000003</v>
      </c>
      <c r="K135" s="10">
        <f t="shared" si="37"/>
        <v>4.0591540000000004</v>
      </c>
      <c r="L135" s="10">
        <f t="shared" si="37"/>
        <v>4.0686220000000004</v>
      </c>
      <c r="M135" s="10">
        <v>4.0780900000000004</v>
      </c>
      <c r="N135" s="10">
        <f t="shared" si="38"/>
        <v>3.9487140000000003</v>
      </c>
      <c r="O135" s="10">
        <f t="shared" si="38"/>
        <v>3.8193380000000001</v>
      </c>
      <c r="P135" s="10">
        <f t="shared" si="38"/>
        <v>3.6899620000000004</v>
      </c>
      <c r="Q135" s="10">
        <f t="shared" si="38"/>
        <v>3.5605860000000003</v>
      </c>
      <c r="R135" s="10">
        <v>3.4312100000000001</v>
      </c>
      <c r="S135" s="10">
        <f t="shared" si="39"/>
        <v>3.315458</v>
      </c>
      <c r="T135" s="10">
        <f t="shared" si="39"/>
        <v>3.1997059999999999</v>
      </c>
      <c r="U135" s="10">
        <f t="shared" si="39"/>
        <v>3.0839540000000003</v>
      </c>
      <c r="V135" s="10">
        <f t="shared" si="39"/>
        <v>2.9682020000000002</v>
      </c>
      <c r="W135" s="10">
        <v>2.8524500000000002</v>
      </c>
      <c r="X135" s="10">
        <f t="shared" si="40"/>
        <v>2.7696719999999999</v>
      </c>
      <c r="Y135" s="10">
        <f t="shared" si="40"/>
        <v>2.6868940000000001</v>
      </c>
      <c r="Z135" s="10">
        <f t="shared" si="40"/>
        <v>2.6041159999999999</v>
      </c>
      <c r="AA135" s="10">
        <f t="shared" si="40"/>
        <v>2.5213380000000001</v>
      </c>
      <c r="AB135" s="10">
        <v>2.4385599999999998</v>
      </c>
      <c r="AC135" s="10">
        <f t="shared" si="41"/>
        <v>2.308338</v>
      </c>
      <c r="AD135" s="10">
        <f t="shared" si="41"/>
        <v>2.1781159999999997</v>
      </c>
      <c r="AE135" s="10">
        <f t="shared" si="41"/>
        <v>2.0478939999999999</v>
      </c>
      <c r="AF135" s="10">
        <f t="shared" si="41"/>
        <v>1.917672</v>
      </c>
      <c r="AG135" s="10">
        <v>1.78745</v>
      </c>
      <c r="AH135" s="9">
        <f>SUM(Tableau2[[#This Row],[2022]:[2050]])</f>
        <v>93.148900000000026</v>
      </c>
    </row>
    <row r="136" spans="1:34" hidden="1" x14ac:dyDescent="0.15">
      <c r="A136" s="5" t="s">
        <v>91</v>
      </c>
      <c r="B136" s="5" t="s">
        <v>102</v>
      </c>
      <c r="C136" s="2" t="s">
        <v>15</v>
      </c>
      <c r="D136" s="5" t="s">
        <v>95</v>
      </c>
      <c r="E136" s="6">
        <v>3.831</v>
      </c>
      <c r="F136" s="6">
        <f t="shared" si="36"/>
        <v>4.1418833333333334</v>
      </c>
      <c r="G136" s="6">
        <f t="shared" si="36"/>
        <v>4.4527666666666672</v>
      </c>
      <c r="H136" s="6">
        <v>4.7636500000000002</v>
      </c>
      <c r="I136" s="6">
        <f t="shared" si="37"/>
        <v>4.8608219999999998</v>
      </c>
      <c r="J136" s="6">
        <f t="shared" si="37"/>
        <v>4.9579940000000002</v>
      </c>
      <c r="K136" s="6">
        <f t="shared" si="37"/>
        <v>5.0551659999999998</v>
      </c>
      <c r="L136" s="6">
        <f t="shared" si="37"/>
        <v>5.1523380000000003</v>
      </c>
      <c r="M136" s="6">
        <v>5.2495099999999999</v>
      </c>
      <c r="N136" s="6">
        <f t="shared" si="38"/>
        <v>5.1846019999999999</v>
      </c>
      <c r="O136" s="6">
        <f t="shared" si="38"/>
        <v>5.119694</v>
      </c>
      <c r="P136" s="6">
        <f t="shared" si="38"/>
        <v>5.054786</v>
      </c>
      <c r="Q136" s="6">
        <f t="shared" si="38"/>
        <v>4.989878</v>
      </c>
      <c r="R136" s="6">
        <v>4.9249700000000001</v>
      </c>
      <c r="S136" s="6">
        <f t="shared" si="39"/>
        <v>4.7008380000000001</v>
      </c>
      <c r="T136" s="6">
        <f t="shared" si="39"/>
        <v>4.4767060000000001</v>
      </c>
      <c r="U136" s="6">
        <f t="shared" si="39"/>
        <v>4.2525740000000001</v>
      </c>
      <c r="V136" s="6">
        <f t="shared" si="39"/>
        <v>4.0284420000000001</v>
      </c>
      <c r="W136" s="6">
        <v>3.8043100000000001</v>
      </c>
      <c r="X136" s="6">
        <f t="shared" si="40"/>
        <v>3.6357159999999999</v>
      </c>
      <c r="Y136" s="6">
        <f t="shared" si="40"/>
        <v>3.4671219999999998</v>
      </c>
      <c r="Z136" s="6">
        <f t="shared" si="40"/>
        <v>3.2985280000000001</v>
      </c>
      <c r="AA136" s="6">
        <f t="shared" si="40"/>
        <v>3.129934</v>
      </c>
      <c r="AB136" s="6">
        <v>2.9613399999999999</v>
      </c>
      <c r="AC136" s="6">
        <f t="shared" si="41"/>
        <v>2.6986559999999997</v>
      </c>
      <c r="AD136" s="6">
        <f t="shared" si="41"/>
        <v>2.435972</v>
      </c>
      <c r="AE136" s="6">
        <f t="shared" si="41"/>
        <v>2.1732879999999999</v>
      </c>
      <c r="AF136" s="6">
        <f t="shared" si="41"/>
        <v>1.910604</v>
      </c>
      <c r="AG136" s="6">
        <v>1.6479200000000001</v>
      </c>
      <c r="AH136" s="9">
        <f>SUM(Tableau2[[#This Row],[2022]:[2050]])</f>
        <v>116.36101000000002</v>
      </c>
    </row>
    <row r="137" spans="1:34" hidden="1" x14ac:dyDescent="0.15">
      <c r="A137" s="5" t="s">
        <v>91</v>
      </c>
      <c r="B137" s="5" t="s">
        <v>102</v>
      </c>
      <c r="C137" s="2" t="s">
        <v>15</v>
      </c>
      <c r="D137" s="5" t="s">
        <v>96</v>
      </c>
      <c r="E137" s="10">
        <v>3.831</v>
      </c>
      <c r="F137" s="10">
        <f t="shared" si="36"/>
        <v>4.7768466666666667</v>
      </c>
      <c r="G137" s="10">
        <f t="shared" si="36"/>
        <v>5.7226933333333339</v>
      </c>
      <c r="H137" s="10">
        <v>6.6685400000000001</v>
      </c>
      <c r="I137" s="10">
        <f t="shared" si="37"/>
        <v>7.1542599999999998</v>
      </c>
      <c r="J137" s="10">
        <f t="shared" si="37"/>
        <v>7.6399799999999995</v>
      </c>
      <c r="K137" s="10">
        <f t="shared" si="37"/>
        <v>8.1257000000000001</v>
      </c>
      <c r="L137" s="10">
        <f t="shared" si="37"/>
        <v>8.611419999999999</v>
      </c>
      <c r="M137" s="10">
        <v>9.0971399999999996</v>
      </c>
      <c r="N137" s="10">
        <f t="shared" si="38"/>
        <v>8.7626720000000002</v>
      </c>
      <c r="O137" s="10">
        <f t="shared" si="38"/>
        <v>8.4282039999999991</v>
      </c>
      <c r="P137" s="10">
        <f t="shared" si="38"/>
        <v>8.0937359999999998</v>
      </c>
      <c r="Q137" s="10">
        <f t="shared" si="38"/>
        <v>7.7592680000000005</v>
      </c>
      <c r="R137" s="10">
        <v>7.4248000000000003</v>
      </c>
      <c r="S137" s="10">
        <f t="shared" si="39"/>
        <v>7.0136060000000002</v>
      </c>
      <c r="T137" s="10">
        <f t="shared" si="39"/>
        <v>6.6024120000000002</v>
      </c>
      <c r="U137" s="10">
        <f t="shared" si="39"/>
        <v>6.1912180000000001</v>
      </c>
      <c r="V137" s="10">
        <f t="shared" si="39"/>
        <v>5.7800240000000001</v>
      </c>
      <c r="W137" s="10">
        <v>5.36883</v>
      </c>
      <c r="X137" s="10">
        <f t="shared" si="40"/>
        <v>4.843172</v>
      </c>
      <c r="Y137" s="10">
        <f t="shared" si="40"/>
        <v>4.3175140000000001</v>
      </c>
      <c r="Z137" s="10">
        <f t="shared" si="40"/>
        <v>3.7918560000000001</v>
      </c>
      <c r="AA137" s="10">
        <f t="shared" si="40"/>
        <v>3.2661980000000002</v>
      </c>
      <c r="AB137" s="10">
        <v>2.7405400000000002</v>
      </c>
      <c r="AC137" s="10">
        <f t="shared" si="41"/>
        <v>2.4311540000000003</v>
      </c>
      <c r="AD137" s="10">
        <f t="shared" si="41"/>
        <v>2.1217680000000003</v>
      </c>
      <c r="AE137" s="10">
        <f t="shared" si="41"/>
        <v>1.8123819999999999</v>
      </c>
      <c r="AF137" s="10">
        <f t="shared" si="41"/>
        <v>1.502996</v>
      </c>
      <c r="AG137" s="10">
        <v>1.1936100000000001</v>
      </c>
      <c r="AH137" s="10">
        <f>SUM(Tableau2[[#This Row],[2022]:[2050]])</f>
        <v>161.07354000000001</v>
      </c>
    </row>
    <row r="138" spans="1:34" x14ac:dyDescent="0.15">
      <c r="A138" s="5" t="s">
        <v>91</v>
      </c>
      <c r="B138" s="5" t="s">
        <v>92</v>
      </c>
      <c r="C138" s="2" t="s">
        <v>17</v>
      </c>
      <c r="D138" s="5" t="s">
        <v>94</v>
      </c>
      <c r="E138" s="10">
        <v>0.422543</v>
      </c>
      <c r="F138" s="10">
        <f t="shared" si="36"/>
        <v>0.42335766666666669</v>
      </c>
      <c r="G138" s="10">
        <f t="shared" si="36"/>
        <v>0.42417233333333332</v>
      </c>
      <c r="H138" s="10">
        <v>0.424987</v>
      </c>
      <c r="I138" s="10">
        <f t="shared" si="37"/>
        <v>0.41452800000000001</v>
      </c>
      <c r="J138" s="10">
        <f t="shared" si="37"/>
        <v>0.40406900000000001</v>
      </c>
      <c r="K138" s="10">
        <f t="shared" si="37"/>
        <v>0.39361000000000002</v>
      </c>
      <c r="L138" s="10">
        <f t="shared" si="37"/>
        <v>0.38315100000000002</v>
      </c>
      <c r="M138" s="10">
        <v>0.37269200000000002</v>
      </c>
      <c r="N138" s="10">
        <f t="shared" si="38"/>
        <v>0.37102400000000002</v>
      </c>
      <c r="O138" s="10">
        <f t="shared" si="38"/>
        <v>0.36935600000000002</v>
      </c>
      <c r="P138" s="10">
        <f t="shared" si="38"/>
        <v>0.36768800000000001</v>
      </c>
      <c r="Q138" s="10">
        <f t="shared" si="38"/>
        <v>0.36602000000000001</v>
      </c>
      <c r="R138" s="10">
        <v>0.36435200000000001</v>
      </c>
      <c r="S138" s="10">
        <f t="shared" si="39"/>
        <v>0.36450300000000002</v>
      </c>
      <c r="T138" s="10">
        <f t="shared" si="39"/>
        <v>0.36465400000000003</v>
      </c>
      <c r="U138" s="10">
        <f t="shared" si="39"/>
        <v>0.36480499999999999</v>
      </c>
      <c r="V138" s="10">
        <f t="shared" si="39"/>
        <v>0.364956</v>
      </c>
      <c r="W138" s="10">
        <v>0.36510700000000001</v>
      </c>
      <c r="X138" s="10">
        <f t="shared" si="40"/>
        <v>0.36842259999999999</v>
      </c>
      <c r="Y138" s="10">
        <f t="shared" si="40"/>
        <v>0.37173820000000002</v>
      </c>
      <c r="Z138" s="10">
        <f t="shared" si="40"/>
        <v>0.37505379999999999</v>
      </c>
      <c r="AA138" s="10">
        <f t="shared" si="40"/>
        <v>0.37836940000000002</v>
      </c>
      <c r="AB138" s="10">
        <v>0.381685</v>
      </c>
      <c r="AC138" s="10">
        <f t="shared" si="41"/>
        <v>0.38178059999999997</v>
      </c>
      <c r="AD138" s="10">
        <f t="shared" si="41"/>
        <v>0.3818762</v>
      </c>
      <c r="AE138" s="10">
        <f t="shared" si="41"/>
        <v>0.38197179999999997</v>
      </c>
      <c r="AF138" s="10">
        <f t="shared" si="41"/>
        <v>0.3820674</v>
      </c>
      <c r="AG138" s="10">
        <v>0.38216299999999997</v>
      </c>
      <c r="AH138" s="9">
        <f>SUM(Tableau2[[#This Row],[2022]:[2050]])</f>
        <v>11.110703000000001</v>
      </c>
    </row>
    <row r="139" spans="1:34" hidden="1" x14ac:dyDescent="0.15">
      <c r="A139" s="5" t="s">
        <v>91</v>
      </c>
      <c r="B139" s="5" t="s">
        <v>92</v>
      </c>
      <c r="C139" s="2" t="s">
        <v>17</v>
      </c>
      <c r="D139" s="5" t="s">
        <v>95</v>
      </c>
      <c r="E139" s="6">
        <v>0.422543</v>
      </c>
      <c r="F139" s="6">
        <f t="shared" si="36"/>
        <v>0.45050066666666666</v>
      </c>
      <c r="G139" s="6">
        <f t="shared" si="36"/>
        <v>0.47845833333333332</v>
      </c>
      <c r="H139" s="6">
        <v>0.50641599999999998</v>
      </c>
      <c r="I139" s="6">
        <f t="shared" si="37"/>
        <v>0.50372539999999999</v>
      </c>
      <c r="J139" s="6">
        <f t="shared" si="37"/>
        <v>0.5010348</v>
      </c>
      <c r="K139" s="6">
        <f t="shared" si="37"/>
        <v>0.49834419999999996</v>
      </c>
      <c r="L139" s="6">
        <f t="shared" si="37"/>
        <v>0.49565359999999997</v>
      </c>
      <c r="M139" s="6">
        <v>0.49296299999999998</v>
      </c>
      <c r="N139" s="6">
        <f t="shared" si="38"/>
        <v>0.5037258</v>
      </c>
      <c r="O139" s="6">
        <f t="shared" si="38"/>
        <v>0.51448859999999996</v>
      </c>
      <c r="P139" s="6">
        <f t="shared" si="38"/>
        <v>0.52525139999999992</v>
      </c>
      <c r="Q139" s="6">
        <f t="shared" si="38"/>
        <v>0.5360142</v>
      </c>
      <c r="R139" s="6">
        <v>0.54677699999999996</v>
      </c>
      <c r="S139" s="6">
        <f t="shared" si="39"/>
        <v>0.54189159999999992</v>
      </c>
      <c r="T139" s="6">
        <f t="shared" si="39"/>
        <v>0.53700619999999999</v>
      </c>
      <c r="U139" s="6">
        <f t="shared" si="39"/>
        <v>0.53212079999999995</v>
      </c>
      <c r="V139" s="6">
        <f t="shared" si="39"/>
        <v>0.52723540000000002</v>
      </c>
      <c r="W139" s="6">
        <v>0.52234999999999998</v>
      </c>
      <c r="X139" s="6">
        <f t="shared" si="40"/>
        <v>0.52485599999999999</v>
      </c>
      <c r="Y139" s="6">
        <f t="shared" si="40"/>
        <v>0.527362</v>
      </c>
      <c r="Z139" s="6">
        <f t="shared" si="40"/>
        <v>0.52986800000000001</v>
      </c>
      <c r="AA139" s="6">
        <f t="shared" si="40"/>
        <v>0.53237400000000001</v>
      </c>
      <c r="AB139" s="6">
        <v>0.53488000000000002</v>
      </c>
      <c r="AC139" s="6">
        <f t="shared" si="41"/>
        <v>0.52703960000000005</v>
      </c>
      <c r="AD139" s="6">
        <f t="shared" si="41"/>
        <v>0.51919919999999997</v>
      </c>
      <c r="AE139" s="6">
        <f t="shared" si="41"/>
        <v>0.5113588</v>
      </c>
      <c r="AF139" s="6">
        <f t="shared" si="41"/>
        <v>0.50351840000000003</v>
      </c>
      <c r="AG139" s="6">
        <v>0.49567800000000001</v>
      </c>
      <c r="AH139" s="9">
        <f>SUM(Tableau2[[#This Row],[2022]:[2050]])</f>
        <v>14.842633999999999</v>
      </c>
    </row>
    <row r="140" spans="1:34" hidden="1" x14ac:dyDescent="0.15">
      <c r="A140" s="5" t="s">
        <v>91</v>
      </c>
      <c r="B140" s="5" t="s">
        <v>92</v>
      </c>
      <c r="C140" s="2" t="s">
        <v>17</v>
      </c>
      <c r="D140" s="5" t="s">
        <v>96</v>
      </c>
      <c r="E140" s="10">
        <v>0.422543</v>
      </c>
      <c r="F140" s="10">
        <f t="shared" si="36"/>
        <v>0.54512133333333335</v>
      </c>
      <c r="G140" s="10">
        <f t="shared" si="36"/>
        <v>0.66769966666666669</v>
      </c>
      <c r="H140" s="10">
        <v>0.79027800000000004</v>
      </c>
      <c r="I140" s="10">
        <f t="shared" si="37"/>
        <v>0.88014840000000005</v>
      </c>
      <c r="J140" s="10">
        <f t="shared" si="37"/>
        <v>0.97001880000000007</v>
      </c>
      <c r="K140" s="10">
        <f t="shared" si="37"/>
        <v>1.0598892</v>
      </c>
      <c r="L140" s="10">
        <f t="shared" si="37"/>
        <v>1.1497595999999999</v>
      </c>
      <c r="M140" s="10">
        <v>1.23963</v>
      </c>
      <c r="N140" s="10">
        <f t="shared" si="38"/>
        <v>1.2207460000000001</v>
      </c>
      <c r="O140" s="10">
        <f t="shared" si="38"/>
        <v>1.201862</v>
      </c>
      <c r="P140" s="10">
        <f t="shared" si="38"/>
        <v>1.1829780000000001</v>
      </c>
      <c r="Q140" s="10">
        <f t="shared" si="38"/>
        <v>1.164094</v>
      </c>
      <c r="R140" s="10">
        <v>1.1452100000000001</v>
      </c>
      <c r="S140" s="10">
        <f t="shared" si="39"/>
        <v>1.1100084000000001</v>
      </c>
      <c r="T140" s="10">
        <f t="shared" si="39"/>
        <v>1.0748068</v>
      </c>
      <c r="U140" s="10">
        <f t="shared" si="39"/>
        <v>1.0396052</v>
      </c>
      <c r="V140" s="10">
        <f t="shared" si="39"/>
        <v>1.0044036000000001</v>
      </c>
      <c r="W140" s="10">
        <v>0.96920200000000001</v>
      </c>
      <c r="X140" s="10">
        <f t="shared" si="40"/>
        <v>0.89562819999999999</v>
      </c>
      <c r="Y140" s="10">
        <f t="shared" si="40"/>
        <v>0.82205440000000007</v>
      </c>
      <c r="Z140" s="10">
        <f t="shared" si="40"/>
        <v>0.74848060000000005</v>
      </c>
      <c r="AA140" s="10">
        <f t="shared" si="40"/>
        <v>0.67490680000000003</v>
      </c>
      <c r="AB140" s="10">
        <v>0.60133300000000001</v>
      </c>
      <c r="AC140" s="10">
        <f t="shared" si="41"/>
        <v>0.5666892</v>
      </c>
      <c r="AD140" s="10">
        <f t="shared" si="41"/>
        <v>0.5320454</v>
      </c>
      <c r="AE140" s="10">
        <f t="shared" si="41"/>
        <v>0.4974016</v>
      </c>
      <c r="AF140" s="10">
        <f t="shared" si="41"/>
        <v>0.4627578</v>
      </c>
      <c r="AG140" s="10">
        <v>0.42811399999999999</v>
      </c>
      <c r="AH140" s="10">
        <f>SUM(Tableau2[[#This Row],[2022]:[2050]])</f>
        <v>25.067414999999997</v>
      </c>
    </row>
    <row r="141" spans="1:34" hidden="1" x14ac:dyDescent="0.15">
      <c r="A141" s="5" t="s">
        <v>21</v>
      </c>
      <c r="B141" s="5" t="s">
        <v>135</v>
      </c>
      <c r="C141" s="2" t="s">
        <v>140</v>
      </c>
      <c r="D141" s="5" t="s">
        <v>95</v>
      </c>
      <c r="E141" s="6">
        <v>8.0606300000000006E-2</v>
      </c>
      <c r="F141" s="6">
        <f t="shared" si="36"/>
        <v>0.11102586666666667</v>
      </c>
      <c r="G141" s="6">
        <f t="shared" si="36"/>
        <v>0.14144543333333331</v>
      </c>
      <c r="H141">
        <v>0.17186499999999999</v>
      </c>
      <c r="I141" s="6">
        <f t="shared" si="37"/>
        <v>0.2103476</v>
      </c>
      <c r="J141" s="6">
        <f t="shared" si="37"/>
        <v>0.2488302</v>
      </c>
      <c r="K141" s="6">
        <f t="shared" si="37"/>
        <v>0.28731279999999998</v>
      </c>
      <c r="L141" s="6">
        <f t="shared" si="37"/>
        <v>0.32579539999999996</v>
      </c>
      <c r="M141">
        <v>0.36427799999999999</v>
      </c>
      <c r="N141" s="6">
        <f t="shared" si="38"/>
        <v>0.41676560000000001</v>
      </c>
      <c r="O141" s="6">
        <f t="shared" si="38"/>
        <v>0.46925320000000004</v>
      </c>
      <c r="P141" s="6">
        <f t="shared" si="38"/>
        <v>0.5217408</v>
      </c>
      <c r="Q141" s="6">
        <f t="shared" si="38"/>
        <v>0.57422839999999997</v>
      </c>
      <c r="R141">
        <v>0.62671600000000005</v>
      </c>
      <c r="S141" s="6">
        <f t="shared" si="39"/>
        <v>0.66494720000000007</v>
      </c>
      <c r="T141" s="6">
        <f t="shared" si="39"/>
        <v>0.70317840000000009</v>
      </c>
      <c r="U141" s="6">
        <f t="shared" si="39"/>
        <v>0.74140960000000011</v>
      </c>
      <c r="V141" s="6">
        <f t="shared" si="39"/>
        <v>0.77964080000000002</v>
      </c>
      <c r="W141">
        <v>0.81787200000000004</v>
      </c>
      <c r="X141" s="6">
        <f t="shared" si="40"/>
        <v>0.83779560000000008</v>
      </c>
      <c r="Y141" s="6">
        <f t="shared" si="40"/>
        <v>0.85771920000000001</v>
      </c>
      <c r="Z141" s="6">
        <f t="shared" si="40"/>
        <v>0.87764280000000006</v>
      </c>
      <c r="AA141" s="6">
        <f t="shared" si="40"/>
        <v>0.89756639999999999</v>
      </c>
      <c r="AB141">
        <v>0.91749000000000003</v>
      </c>
      <c r="AC141" s="6">
        <f t="shared" si="41"/>
        <v>0.93567600000000006</v>
      </c>
      <c r="AD141" s="6">
        <f t="shared" si="41"/>
        <v>0.9538620000000001</v>
      </c>
      <c r="AE141" s="6">
        <f t="shared" si="41"/>
        <v>0.97204800000000002</v>
      </c>
      <c r="AF141" s="6">
        <f t="shared" si="41"/>
        <v>0.99023400000000006</v>
      </c>
      <c r="AG141">
        <v>1.0084200000000001</v>
      </c>
      <c r="AH141" s="9">
        <f>SUM(Tableau2[[#This Row],[2022]:[2050]])</f>
        <v>17.505712600000006</v>
      </c>
    </row>
    <row r="142" spans="1:34" x14ac:dyDescent="0.15">
      <c r="A142" s="5" t="s">
        <v>21</v>
      </c>
      <c r="B142" s="5" t="s">
        <v>135</v>
      </c>
      <c r="C142" s="2" t="s">
        <v>140</v>
      </c>
      <c r="D142" s="5" t="s">
        <v>94</v>
      </c>
      <c r="E142" s="10">
        <v>8.0606300000000006E-2</v>
      </c>
      <c r="F142" s="10">
        <f t="shared" ref="F142:G164" si="42">(($H142-$E142)/($H$1-$E$1))*(F$1-$E$1)+$E142</f>
        <v>0.10320520000000001</v>
      </c>
      <c r="G142" s="10">
        <f t="shared" si="42"/>
        <v>0.1258041</v>
      </c>
      <c r="H142" s="10">
        <v>0.14840300000000001</v>
      </c>
      <c r="I142" s="10">
        <f t="shared" ref="I142:L164" si="43">(($M142-$H142)/($M$1-$H$1))*(I$1-$H$1)+$H142</f>
        <v>0.16920380000000002</v>
      </c>
      <c r="J142" s="10">
        <f t="shared" si="43"/>
        <v>0.1900046</v>
      </c>
      <c r="K142" s="10">
        <f t="shared" si="43"/>
        <v>0.2108054</v>
      </c>
      <c r="L142" s="10">
        <f t="shared" si="43"/>
        <v>0.23160619999999998</v>
      </c>
      <c r="M142" s="10">
        <v>0.25240699999999999</v>
      </c>
      <c r="N142" s="10">
        <f t="shared" ref="N142:Q164" si="44">(($R142-$M142)/($R$1-$M$1))*(N$1-$M$1)+$M142</f>
        <v>0.26464500000000002</v>
      </c>
      <c r="O142" s="10">
        <f t="shared" si="44"/>
        <v>0.27688299999999999</v>
      </c>
      <c r="P142" s="10">
        <f t="shared" si="44"/>
        <v>0.28912100000000002</v>
      </c>
      <c r="Q142" s="10">
        <f t="shared" si="44"/>
        <v>0.30135899999999999</v>
      </c>
      <c r="R142" s="10">
        <v>0.31359700000000001</v>
      </c>
      <c r="S142" s="10">
        <f t="shared" ref="S142:V164" si="45">(($W142-$R142)/($W$1-$R$1))*(S$1-$R$1)+$R142</f>
        <v>0.3290246</v>
      </c>
      <c r="T142" s="10">
        <f t="shared" si="45"/>
        <v>0.34445219999999999</v>
      </c>
      <c r="U142" s="10">
        <f t="shared" si="45"/>
        <v>0.35987979999999997</v>
      </c>
      <c r="V142" s="10">
        <f t="shared" si="45"/>
        <v>0.37530740000000001</v>
      </c>
      <c r="W142" s="10">
        <v>0.390735</v>
      </c>
      <c r="X142" s="10">
        <f t="shared" ref="X142:AA164" si="46">(($AB142-$W142)/($AB$1-$W$1))*(X$1-$W$1)+$W142</f>
        <v>0.40296739999999998</v>
      </c>
      <c r="Y142" s="10">
        <f t="shared" si="46"/>
        <v>0.41519980000000001</v>
      </c>
      <c r="Z142" s="10">
        <f t="shared" si="46"/>
        <v>0.42743219999999998</v>
      </c>
      <c r="AA142" s="10">
        <f t="shared" si="46"/>
        <v>0.43966460000000002</v>
      </c>
      <c r="AB142" s="10">
        <v>0.45189699999999999</v>
      </c>
      <c r="AC142" s="10">
        <f t="shared" ref="AC142:AF164" si="47">(($AG142-$AB142)/($AG$1-$AB$1))*(AC$1-$AB$1)+$AB142</f>
        <v>0.45635019999999998</v>
      </c>
      <c r="AD142" s="10">
        <f t="shared" si="47"/>
        <v>0.46080339999999997</v>
      </c>
      <c r="AE142" s="10">
        <f t="shared" si="47"/>
        <v>0.46525660000000002</v>
      </c>
      <c r="AF142" s="10">
        <f t="shared" si="47"/>
        <v>0.46970980000000001</v>
      </c>
      <c r="AG142" s="10">
        <v>0.474163</v>
      </c>
      <c r="AH142" s="9">
        <f>SUM(Tableau2[[#This Row],[2022]:[2050]])</f>
        <v>9.2204936000000011</v>
      </c>
    </row>
    <row r="143" spans="1:34" hidden="1" x14ac:dyDescent="0.15">
      <c r="A143" s="5" t="s">
        <v>20</v>
      </c>
      <c r="B143" s="5" t="s">
        <v>135</v>
      </c>
      <c r="C143" s="2" t="s">
        <v>140</v>
      </c>
      <c r="D143" s="5" t="s">
        <v>96</v>
      </c>
      <c r="E143" s="10">
        <v>0.215006</v>
      </c>
      <c r="F143" s="10">
        <f t="shared" si="42"/>
        <v>0.27112933333333333</v>
      </c>
      <c r="G143" s="10">
        <f t="shared" si="42"/>
        <v>0.32725266666666664</v>
      </c>
      <c r="H143" s="10">
        <v>0.38337599999999999</v>
      </c>
      <c r="I143" s="10">
        <f t="shared" si="43"/>
        <v>0.49775820000000004</v>
      </c>
      <c r="J143" s="10">
        <f t="shared" si="43"/>
        <v>0.61214040000000003</v>
      </c>
      <c r="K143" s="10">
        <f t="shared" si="43"/>
        <v>0.72652260000000002</v>
      </c>
      <c r="L143" s="10">
        <f t="shared" si="43"/>
        <v>0.84090480000000012</v>
      </c>
      <c r="M143" s="10">
        <v>0.955287</v>
      </c>
      <c r="N143" s="10">
        <f t="shared" si="44"/>
        <v>0.9528044</v>
      </c>
      <c r="O143" s="10">
        <f t="shared" si="44"/>
        <v>0.95032179999999999</v>
      </c>
      <c r="P143" s="10">
        <f t="shared" si="44"/>
        <v>0.94783919999999999</v>
      </c>
      <c r="Q143" s="10">
        <f t="shared" si="44"/>
        <v>0.94535659999999999</v>
      </c>
      <c r="R143" s="10">
        <v>0.94287399999999999</v>
      </c>
      <c r="S143" s="10">
        <f t="shared" si="45"/>
        <v>0.92901559999999994</v>
      </c>
      <c r="T143" s="10">
        <f t="shared" si="45"/>
        <v>0.9151572</v>
      </c>
      <c r="U143" s="10">
        <f t="shared" si="45"/>
        <v>0.90129879999999996</v>
      </c>
      <c r="V143" s="10">
        <f t="shared" si="45"/>
        <v>0.88744040000000002</v>
      </c>
      <c r="W143" s="10">
        <v>0.87358199999999997</v>
      </c>
      <c r="X143" s="10">
        <f t="shared" si="46"/>
        <v>0.8191138</v>
      </c>
      <c r="Y143" s="10">
        <f t="shared" si="46"/>
        <v>0.76464560000000004</v>
      </c>
      <c r="Z143" s="10">
        <f t="shared" si="46"/>
        <v>0.71017740000000007</v>
      </c>
      <c r="AA143" s="10">
        <f t="shared" si="46"/>
        <v>0.65570919999999999</v>
      </c>
      <c r="AB143" s="10">
        <v>0.60124100000000003</v>
      </c>
      <c r="AC143" s="10">
        <f t="shared" si="47"/>
        <v>0.66981480000000004</v>
      </c>
      <c r="AD143" s="10">
        <f t="shared" si="47"/>
        <v>0.73838859999999995</v>
      </c>
      <c r="AE143" s="10">
        <f t="shared" si="47"/>
        <v>0.80696239999999997</v>
      </c>
      <c r="AF143" s="10">
        <f t="shared" si="47"/>
        <v>0.87553619999999999</v>
      </c>
      <c r="AG143" s="10">
        <v>0.94411</v>
      </c>
      <c r="AH143" s="10">
        <f>SUM(Tableau2[[#This Row],[2022]:[2050]])</f>
        <v>21.660765999999999</v>
      </c>
    </row>
    <row r="144" spans="1:34" x14ac:dyDescent="0.15">
      <c r="A144" s="5" t="s">
        <v>20</v>
      </c>
      <c r="B144" s="5" t="s">
        <v>135</v>
      </c>
      <c r="C144" s="2" t="s">
        <v>140</v>
      </c>
      <c r="D144" s="5" t="s">
        <v>94</v>
      </c>
      <c r="E144" s="10">
        <v>0.215006</v>
      </c>
      <c r="F144" s="10">
        <f t="shared" si="42"/>
        <v>0.22217400000000001</v>
      </c>
      <c r="G144" s="10">
        <f t="shared" si="42"/>
        <v>0.22934199999999999</v>
      </c>
      <c r="H144" s="10">
        <v>0.23651</v>
      </c>
      <c r="I144" s="10">
        <f t="shared" si="43"/>
        <v>0.26950780000000002</v>
      </c>
      <c r="J144" s="10">
        <f t="shared" si="43"/>
        <v>0.30250559999999999</v>
      </c>
      <c r="K144" s="10">
        <f t="shared" si="43"/>
        <v>0.33550340000000001</v>
      </c>
      <c r="L144" s="10">
        <f t="shared" si="43"/>
        <v>0.36850119999999997</v>
      </c>
      <c r="M144" s="10">
        <v>0.40149899999999999</v>
      </c>
      <c r="N144" s="10">
        <f t="shared" si="44"/>
        <v>0.39531879999999997</v>
      </c>
      <c r="O144" s="10">
        <f t="shared" si="44"/>
        <v>0.3891386</v>
      </c>
      <c r="P144" s="10">
        <f t="shared" si="44"/>
        <v>0.38295839999999998</v>
      </c>
      <c r="Q144" s="10">
        <f t="shared" si="44"/>
        <v>0.37677820000000001</v>
      </c>
      <c r="R144" s="10">
        <v>0.37059799999999998</v>
      </c>
      <c r="S144" s="10">
        <f t="shared" si="45"/>
        <v>0.36370179999999996</v>
      </c>
      <c r="T144" s="10">
        <f t="shared" si="45"/>
        <v>0.3568056</v>
      </c>
      <c r="U144" s="10">
        <f t="shared" si="45"/>
        <v>0.34990939999999998</v>
      </c>
      <c r="V144" s="10">
        <f t="shared" si="45"/>
        <v>0.34301320000000002</v>
      </c>
      <c r="W144" s="10">
        <v>0.336117</v>
      </c>
      <c r="X144" s="10">
        <f t="shared" si="46"/>
        <v>0.35420479999999999</v>
      </c>
      <c r="Y144" s="10">
        <f t="shared" si="46"/>
        <v>0.37229259999999997</v>
      </c>
      <c r="Z144" s="10">
        <f t="shared" si="46"/>
        <v>0.39038039999999996</v>
      </c>
      <c r="AA144" s="10">
        <f t="shared" si="46"/>
        <v>0.4084682</v>
      </c>
      <c r="AB144" s="10">
        <v>0.42655599999999999</v>
      </c>
      <c r="AC144" s="10">
        <f t="shared" si="47"/>
        <v>0.44549719999999998</v>
      </c>
      <c r="AD144" s="10">
        <f t="shared" si="47"/>
        <v>0.46443839999999997</v>
      </c>
      <c r="AE144" s="10">
        <f t="shared" si="47"/>
        <v>0.48337960000000002</v>
      </c>
      <c r="AF144" s="10">
        <f t="shared" si="47"/>
        <v>0.50232080000000001</v>
      </c>
      <c r="AG144" s="10">
        <v>0.521262</v>
      </c>
      <c r="AH144" s="9">
        <f>SUM(Tableau2[[#This Row],[2022]:[2050]])</f>
        <v>10.613687999999998</v>
      </c>
    </row>
    <row r="145" spans="1:34" hidden="1" x14ac:dyDescent="0.15">
      <c r="A145" s="5" t="s">
        <v>21</v>
      </c>
      <c r="B145" s="5" t="s">
        <v>135</v>
      </c>
      <c r="C145" s="2" t="s">
        <v>140</v>
      </c>
      <c r="D145" s="5" t="s">
        <v>96</v>
      </c>
      <c r="E145" s="10">
        <v>8.0606300000000006E-2</v>
      </c>
      <c r="F145" s="10">
        <f t="shared" si="42"/>
        <v>0.14207486666666669</v>
      </c>
      <c r="G145" s="10">
        <f t="shared" si="42"/>
        <v>0.20354343333333336</v>
      </c>
      <c r="H145" s="10">
        <v>0.26501200000000003</v>
      </c>
      <c r="I145" s="10">
        <f t="shared" si="43"/>
        <v>0.32054900000000003</v>
      </c>
      <c r="J145" s="10">
        <f t="shared" si="43"/>
        <v>0.37608600000000003</v>
      </c>
      <c r="K145" s="10">
        <f t="shared" si="43"/>
        <v>0.43162299999999998</v>
      </c>
      <c r="L145" s="10">
        <f t="shared" si="43"/>
        <v>0.48715999999999998</v>
      </c>
      <c r="M145" s="10">
        <v>0.54269699999999998</v>
      </c>
      <c r="N145" s="10">
        <f t="shared" si="44"/>
        <v>0.57892880000000002</v>
      </c>
      <c r="O145" s="10">
        <f t="shared" si="44"/>
        <v>0.61516060000000006</v>
      </c>
      <c r="P145" s="10">
        <f t="shared" si="44"/>
        <v>0.65139239999999998</v>
      </c>
      <c r="Q145" s="10">
        <f t="shared" si="44"/>
        <v>0.68762420000000002</v>
      </c>
      <c r="R145" s="10">
        <v>0.72385600000000005</v>
      </c>
      <c r="S145" s="10">
        <f t="shared" si="45"/>
        <v>0.71929580000000004</v>
      </c>
      <c r="T145" s="10">
        <f t="shared" si="45"/>
        <v>0.71473560000000003</v>
      </c>
      <c r="U145" s="10">
        <f t="shared" si="45"/>
        <v>0.71017540000000001</v>
      </c>
      <c r="V145" s="10">
        <f t="shared" si="45"/>
        <v>0.7056152</v>
      </c>
      <c r="W145" s="10">
        <v>0.70105499999999998</v>
      </c>
      <c r="X145" s="10">
        <f t="shared" si="46"/>
        <v>0.71230399999999994</v>
      </c>
      <c r="Y145" s="10">
        <f t="shared" si="46"/>
        <v>0.723553</v>
      </c>
      <c r="Z145" s="10">
        <f t="shared" si="46"/>
        <v>0.73480199999999996</v>
      </c>
      <c r="AA145" s="10">
        <f t="shared" si="46"/>
        <v>0.74605100000000002</v>
      </c>
      <c r="AB145" s="10">
        <v>0.75729999999999997</v>
      </c>
      <c r="AC145" s="10">
        <f t="shared" si="47"/>
        <v>0.76056020000000002</v>
      </c>
      <c r="AD145" s="10">
        <f t="shared" si="47"/>
        <v>0.76382039999999995</v>
      </c>
      <c r="AE145" s="10">
        <f t="shared" si="47"/>
        <v>0.7670806</v>
      </c>
      <c r="AF145" s="10">
        <f t="shared" si="47"/>
        <v>0.77034079999999994</v>
      </c>
      <c r="AG145" s="10">
        <v>0.77360099999999998</v>
      </c>
      <c r="AH145" s="10">
        <f>SUM(Tableau2[[#This Row],[2022]:[2050]])</f>
        <v>17.166603600000002</v>
      </c>
    </row>
    <row r="146" spans="1:34" hidden="1" x14ac:dyDescent="0.15">
      <c r="A146" s="5" t="s">
        <v>20</v>
      </c>
      <c r="B146" s="5" t="s">
        <v>135</v>
      </c>
      <c r="C146" s="2" t="s">
        <v>140</v>
      </c>
      <c r="D146" s="5" t="s">
        <v>95</v>
      </c>
      <c r="E146" s="6">
        <v>0.215006</v>
      </c>
      <c r="F146" s="6">
        <f t="shared" si="42"/>
        <v>0.24416266666666667</v>
      </c>
      <c r="G146" s="6">
        <f t="shared" si="42"/>
        <v>0.27331933333333336</v>
      </c>
      <c r="H146">
        <v>0.30247600000000002</v>
      </c>
      <c r="I146" s="6">
        <f t="shared" si="43"/>
        <v>0.3480586</v>
      </c>
      <c r="J146" s="6">
        <f t="shared" si="43"/>
        <v>0.39364120000000002</v>
      </c>
      <c r="K146" s="6">
        <f t="shared" si="43"/>
        <v>0.4392238</v>
      </c>
      <c r="L146" s="6">
        <f t="shared" si="43"/>
        <v>0.48480639999999997</v>
      </c>
      <c r="M146">
        <v>0.530389</v>
      </c>
      <c r="N146" s="6">
        <f t="shared" si="44"/>
        <v>0.54671879999999995</v>
      </c>
      <c r="O146" s="6">
        <f t="shared" si="44"/>
        <v>0.56304860000000001</v>
      </c>
      <c r="P146" s="6">
        <f t="shared" si="44"/>
        <v>0.57937839999999996</v>
      </c>
      <c r="Q146" s="6">
        <f t="shared" si="44"/>
        <v>0.59570820000000002</v>
      </c>
      <c r="R146">
        <v>0.61203799999999997</v>
      </c>
      <c r="S146" s="6">
        <f t="shared" si="45"/>
        <v>0.61648459999999994</v>
      </c>
      <c r="T146" s="6">
        <f t="shared" si="45"/>
        <v>0.62093120000000002</v>
      </c>
      <c r="U146" s="6">
        <f t="shared" si="45"/>
        <v>0.62537779999999998</v>
      </c>
      <c r="V146" s="6">
        <f t="shared" si="45"/>
        <v>0.62982440000000006</v>
      </c>
      <c r="W146">
        <v>0.63427100000000003</v>
      </c>
      <c r="X146" s="6">
        <f t="shared" si="46"/>
        <v>0.644899</v>
      </c>
      <c r="Y146" s="6">
        <f t="shared" si="46"/>
        <v>0.65552699999999997</v>
      </c>
      <c r="Z146" s="6">
        <f t="shared" si="46"/>
        <v>0.66615500000000005</v>
      </c>
      <c r="AA146" s="6">
        <f t="shared" si="46"/>
        <v>0.67678300000000002</v>
      </c>
      <c r="AB146">
        <v>0.68741099999999999</v>
      </c>
      <c r="AC146" s="6">
        <f t="shared" si="47"/>
        <v>0.71235579999999998</v>
      </c>
      <c r="AD146" s="6">
        <f t="shared" si="47"/>
        <v>0.73730059999999997</v>
      </c>
      <c r="AE146" s="6">
        <f t="shared" si="47"/>
        <v>0.76224540000000007</v>
      </c>
      <c r="AF146" s="6">
        <f t="shared" si="47"/>
        <v>0.78719020000000006</v>
      </c>
      <c r="AG146">
        <v>0.81213500000000005</v>
      </c>
      <c r="AH146" s="9">
        <f>SUM(Tableau2[[#This Row],[2022]:[2050]])</f>
        <v>16.396865999999999</v>
      </c>
    </row>
    <row r="147" spans="1:34" x14ac:dyDescent="0.15">
      <c r="A147" s="5" t="s">
        <v>91</v>
      </c>
      <c r="C147" s="2" t="s">
        <v>26</v>
      </c>
      <c r="D147" s="5" t="s">
        <v>94</v>
      </c>
      <c r="E147" s="10">
        <v>1.2021900000000001</v>
      </c>
      <c r="F147" s="10">
        <f t="shared" si="42"/>
        <v>1.2614033333333334</v>
      </c>
      <c r="G147" s="10">
        <f t="shared" si="42"/>
        <v>1.3206166666666665</v>
      </c>
      <c r="H147" s="10">
        <v>1.3798299999999999</v>
      </c>
      <c r="I147" s="10">
        <f t="shared" si="43"/>
        <v>1.432302</v>
      </c>
      <c r="J147" s="10">
        <f t="shared" si="43"/>
        <v>1.484774</v>
      </c>
      <c r="K147" s="10">
        <f t="shared" si="43"/>
        <v>1.5372460000000001</v>
      </c>
      <c r="L147" s="10">
        <f t="shared" si="43"/>
        <v>1.589718</v>
      </c>
      <c r="M147" s="10">
        <v>1.64219</v>
      </c>
      <c r="N147" s="10">
        <f t="shared" si="44"/>
        <v>1.648628</v>
      </c>
      <c r="O147" s="10">
        <f t="shared" si="44"/>
        <v>1.6550659999999999</v>
      </c>
      <c r="P147" s="10">
        <f t="shared" si="44"/>
        <v>1.6615040000000001</v>
      </c>
      <c r="Q147" s="10">
        <f t="shared" si="44"/>
        <v>1.667942</v>
      </c>
      <c r="R147" s="10">
        <v>1.67438</v>
      </c>
      <c r="S147" s="10">
        <f t="shared" si="45"/>
        <v>1.69191</v>
      </c>
      <c r="T147" s="10">
        <f t="shared" si="45"/>
        <v>1.7094400000000001</v>
      </c>
      <c r="U147" s="10">
        <f t="shared" si="45"/>
        <v>1.7269699999999999</v>
      </c>
      <c r="V147" s="10">
        <f t="shared" si="45"/>
        <v>1.7444999999999999</v>
      </c>
      <c r="W147" s="10">
        <v>1.76203</v>
      </c>
      <c r="X147" s="10">
        <f t="shared" si="46"/>
        <v>1.8174399999999999</v>
      </c>
      <c r="Y147" s="10">
        <f t="shared" si="46"/>
        <v>1.8728499999999999</v>
      </c>
      <c r="Z147" s="10">
        <f t="shared" si="46"/>
        <v>1.9282599999999999</v>
      </c>
      <c r="AA147" s="10">
        <f t="shared" si="46"/>
        <v>1.9836699999999998</v>
      </c>
      <c r="AB147" s="10">
        <v>2.0390799999999998</v>
      </c>
      <c r="AC147" s="10">
        <f t="shared" si="47"/>
        <v>2.0923439999999998</v>
      </c>
      <c r="AD147" s="10">
        <f t="shared" si="47"/>
        <v>2.1456079999999997</v>
      </c>
      <c r="AE147" s="10">
        <f t="shared" si="47"/>
        <v>2.1988720000000002</v>
      </c>
      <c r="AF147" s="10">
        <f t="shared" si="47"/>
        <v>2.2521360000000001</v>
      </c>
      <c r="AG147" s="10">
        <v>2.3054000000000001</v>
      </c>
      <c r="AH147" s="9">
        <f>SUM(Tableau2[[#This Row],[2022]:[2050]])</f>
        <v>50.4283</v>
      </c>
    </row>
    <row r="148" spans="1:34" hidden="1" x14ac:dyDescent="0.15">
      <c r="A148" s="5" t="s">
        <v>91</v>
      </c>
      <c r="C148" s="2" t="s">
        <v>26</v>
      </c>
      <c r="D148" s="5" t="s">
        <v>95</v>
      </c>
      <c r="E148" s="6">
        <v>1.2021900000000001</v>
      </c>
      <c r="F148" s="6">
        <f t="shared" si="42"/>
        <v>1.34849</v>
      </c>
      <c r="G148" s="6">
        <f t="shared" si="42"/>
        <v>1.4947900000000001</v>
      </c>
      <c r="H148" s="6">
        <v>1.6410899999999999</v>
      </c>
      <c r="I148" s="6">
        <f t="shared" si="43"/>
        <v>1.745304</v>
      </c>
      <c r="J148" s="6">
        <f t="shared" si="43"/>
        <v>1.849518</v>
      </c>
      <c r="K148" s="6">
        <f t="shared" si="43"/>
        <v>1.953732</v>
      </c>
      <c r="L148" s="6">
        <f t="shared" si="43"/>
        <v>2.0579460000000003</v>
      </c>
      <c r="M148" s="6">
        <v>2.1621600000000001</v>
      </c>
      <c r="N148" s="6">
        <f t="shared" si="44"/>
        <v>2.235214</v>
      </c>
      <c r="O148" s="6">
        <f t="shared" si="44"/>
        <v>2.308268</v>
      </c>
      <c r="P148" s="6">
        <f t="shared" si="44"/>
        <v>2.3813219999999999</v>
      </c>
      <c r="Q148" s="6">
        <f t="shared" si="44"/>
        <v>2.4543759999999999</v>
      </c>
      <c r="R148" s="6">
        <v>2.5274299999999998</v>
      </c>
      <c r="S148" s="6">
        <f t="shared" si="45"/>
        <v>2.541312</v>
      </c>
      <c r="T148" s="6">
        <f t="shared" si="45"/>
        <v>2.5551939999999997</v>
      </c>
      <c r="U148" s="6">
        <f t="shared" si="45"/>
        <v>2.5690759999999999</v>
      </c>
      <c r="V148" s="6">
        <f t="shared" si="45"/>
        <v>2.5829579999999996</v>
      </c>
      <c r="W148" s="6">
        <v>2.5968399999999998</v>
      </c>
      <c r="X148" s="6">
        <f t="shared" si="46"/>
        <v>2.6815479999999998</v>
      </c>
      <c r="Y148" s="6">
        <f t="shared" si="46"/>
        <v>2.7662559999999998</v>
      </c>
      <c r="Z148" s="6">
        <f t="shared" si="46"/>
        <v>2.8509639999999998</v>
      </c>
      <c r="AA148" s="6">
        <f t="shared" si="46"/>
        <v>2.9356719999999998</v>
      </c>
      <c r="AB148" s="6">
        <v>3.0203799999999998</v>
      </c>
      <c r="AC148" s="6">
        <f t="shared" si="47"/>
        <v>3.0892360000000001</v>
      </c>
      <c r="AD148" s="6">
        <f t="shared" si="47"/>
        <v>3.1580919999999999</v>
      </c>
      <c r="AE148" s="6">
        <f t="shared" si="47"/>
        <v>3.2269480000000001</v>
      </c>
      <c r="AF148" s="6">
        <f t="shared" si="47"/>
        <v>3.295804</v>
      </c>
      <c r="AG148" s="6">
        <v>3.3646600000000002</v>
      </c>
      <c r="AH148" s="9">
        <f>SUM(Tableau2[[#This Row],[2022]:[2050]])</f>
        <v>70.596769999999992</v>
      </c>
    </row>
    <row r="149" spans="1:34" hidden="1" x14ac:dyDescent="0.15">
      <c r="A149" s="5" t="s">
        <v>91</v>
      </c>
      <c r="B149" s="5" t="s">
        <v>136</v>
      </c>
      <c r="C149" s="2" t="s">
        <v>26</v>
      </c>
      <c r="D149" s="5" t="s">
        <v>96</v>
      </c>
      <c r="E149" s="10">
        <v>1.2021900000000001</v>
      </c>
      <c r="F149" s="10">
        <f t="shared" si="42"/>
        <v>1.5675833333333333</v>
      </c>
      <c r="G149" s="10">
        <f t="shared" si="42"/>
        <v>1.9329766666666666</v>
      </c>
      <c r="H149" s="10">
        <v>2.2983699999999998</v>
      </c>
      <c r="I149" s="10">
        <f t="shared" si="43"/>
        <v>2.59131</v>
      </c>
      <c r="J149" s="10">
        <f t="shared" si="43"/>
        <v>2.8842499999999998</v>
      </c>
      <c r="K149" s="10">
        <f t="shared" si="43"/>
        <v>3.17719</v>
      </c>
      <c r="L149" s="10">
        <f t="shared" si="43"/>
        <v>3.4701300000000002</v>
      </c>
      <c r="M149" s="10">
        <v>3.7630699999999999</v>
      </c>
      <c r="N149" s="10">
        <f t="shared" si="44"/>
        <v>3.784036</v>
      </c>
      <c r="O149" s="10">
        <f t="shared" si="44"/>
        <v>3.805002</v>
      </c>
      <c r="P149" s="10">
        <f t="shared" si="44"/>
        <v>3.825968</v>
      </c>
      <c r="Q149" s="10">
        <f t="shared" si="44"/>
        <v>3.8469340000000001</v>
      </c>
      <c r="R149" s="10">
        <v>3.8679000000000001</v>
      </c>
      <c r="S149" s="10">
        <f t="shared" si="45"/>
        <v>3.8569840000000002</v>
      </c>
      <c r="T149" s="10">
        <f t="shared" si="45"/>
        <v>3.8460680000000003</v>
      </c>
      <c r="U149" s="10">
        <f t="shared" si="45"/>
        <v>3.8351519999999999</v>
      </c>
      <c r="V149" s="10">
        <f t="shared" si="45"/>
        <v>3.824236</v>
      </c>
      <c r="W149" s="10">
        <v>3.81332</v>
      </c>
      <c r="X149" s="10">
        <f t="shared" si="46"/>
        <v>3.6700699999999999</v>
      </c>
      <c r="Y149" s="10">
        <f t="shared" si="46"/>
        <v>3.5268199999999998</v>
      </c>
      <c r="Z149" s="10">
        <f t="shared" si="46"/>
        <v>3.3835699999999997</v>
      </c>
      <c r="AA149" s="10">
        <f t="shared" si="46"/>
        <v>3.2403200000000001</v>
      </c>
      <c r="AB149" s="10">
        <v>3.09707</v>
      </c>
      <c r="AC149" s="10">
        <f t="shared" si="47"/>
        <v>3.1703579999999998</v>
      </c>
      <c r="AD149" s="10">
        <f t="shared" si="47"/>
        <v>3.243646</v>
      </c>
      <c r="AE149" s="10">
        <f t="shared" si="47"/>
        <v>3.3169339999999998</v>
      </c>
      <c r="AF149" s="10">
        <f t="shared" si="47"/>
        <v>3.3902220000000001</v>
      </c>
      <c r="AG149" s="10">
        <v>3.4635099999999999</v>
      </c>
      <c r="AH149" s="10">
        <f>SUM(Tableau2[[#This Row],[2022]:[2050]])</f>
        <v>94.695189999999982</v>
      </c>
    </row>
    <row r="150" spans="1:34" x14ac:dyDescent="0.15">
      <c r="A150" s="5" t="s">
        <v>142</v>
      </c>
      <c r="B150" s="5" t="s">
        <v>141</v>
      </c>
      <c r="C150" s="2" t="s">
        <v>27</v>
      </c>
      <c r="D150" s="5" t="s">
        <v>94</v>
      </c>
      <c r="E150" s="11">
        <v>1</v>
      </c>
      <c r="F150" s="10">
        <f t="shared" si="42"/>
        <v>0.66666666666666674</v>
      </c>
      <c r="G150" s="10">
        <f t="shared" si="42"/>
        <v>0.33333333333333337</v>
      </c>
      <c r="H150" s="10">
        <v>0</v>
      </c>
      <c r="I150" s="10">
        <f t="shared" si="43"/>
        <v>3.07544</v>
      </c>
      <c r="J150" s="10">
        <f t="shared" si="43"/>
        <v>6.1508799999999999</v>
      </c>
      <c r="K150" s="10">
        <f t="shared" si="43"/>
        <v>9.2263199999999994</v>
      </c>
      <c r="L150" s="10">
        <f t="shared" si="43"/>
        <v>12.30176</v>
      </c>
      <c r="M150" s="10">
        <v>15.3772</v>
      </c>
      <c r="N150" s="10">
        <f t="shared" si="44"/>
        <v>27.187779999999997</v>
      </c>
      <c r="O150" s="10">
        <f t="shared" si="44"/>
        <v>38.998359999999998</v>
      </c>
      <c r="P150" s="10">
        <f t="shared" si="44"/>
        <v>50.808939999999993</v>
      </c>
      <c r="Q150" s="10">
        <f t="shared" si="44"/>
        <v>62.619519999999994</v>
      </c>
      <c r="R150" s="10">
        <v>74.430099999999996</v>
      </c>
      <c r="S150" s="10">
        <f t="shared" si="45"/>
        <v>103.66507999999999</v>
      </c>
      <c r="T150" s="10">
        <f t="shared" si="45"/>
        <v>132.90006</v>
      </c>
      <c r="U150" s="10">
        <f t="shared" si="45"/>
        <v>162.13504</v>
      </c>
      <c r="V150" s="10">
        <f t="shared" si="45"/>
        <v>191.37001999999998</v>
      </c>
      <c r="W150" s="10">
        <v>220.60499999999999</v>
      </c>
      <c r="X150" s="10">
        <f t="shared" si="46"/>
        <v>225.06119999999999</v>
      </c>
      <c r="Y150" s="10">
        <f t="shared" si="46"/>
        <v>229.51739999999998</v>
      </c>
      <c r="Z150" s="10">
        <f t="shared" si="46"/>
        <v>233.9736</v>
      </c>
      <c r="AA150" s="10">
        <f t="shared" si="46"/>
        <v>238.4298</v>
      </c>
      <c r="AB150" s="10">
        <v>242.886</v>
      </c>
      <c r="AC150" s="10">
        <f t="shared" si="47"/>
        <v>240.9008</v>
      </c>
      <c r="AD150" s="10">
        <f t="shared" si="47"/>
        <v>238.91560000000001</v>
      </c>
      <c r="AE150" s="10">
        <f t="shared" si="47"/>
        <v>236.93039999999999</v>
      </c>
      <c r="AF150" s="10">
        <f t="shared" si="47"/>
        <v>234.9452</v>
      </c>
      <c r="AG150" s="10">
        <v>232.96</v>
      </c>
      <c r="AH150" s="9">
        <f>SUM(Tableau2[[#This Row],[2022]:[2050]])</f>
        <v>3467.3714999999997</v>
      </c>
    </row>
    <row r="151" spans="1:34" hidden="1" x14ac:dyDescent="0.15">
      <c r="A151" s="5" t="s">
        <v>142</v>
      </c>
      <c r="B151" s="5" t="s">
        <v>141</v>
      </c>
      <c r="C151" s="2" t="s">
        <v>27</v>
      </c>
      <c r="D151" s="5" t="s">
        <v>95</v>
      </c>
      <c r="E151" s="12">
        <v>1</v>
      </c>
      <c r="F151" s="6">
        <f t="shared" si="42"/>
        <v>0.66666666666666674</v>
      </c>
      <c r="G151" s="6">
        <f t="shared" si="42"/>
        <v>0.33333333333333337</v>
      </c>
      <c r="H151" s="6">
        <v>0</v>
      </c>
      <c r="I151" s="6">
        <f t="shared" si="43"/>
        <v>4.81656</v>
      </c>
      <c r="J151" s="6">
        <f t="shared" si="43"/>
        <v>9.6331199999999999</v>
      </c>
      <c r="K151" s="6">
        <f t="shared" si="43"/>
        <v>14.449680000000001</v>
      </c>
      <c r="L151" s="6">
        <f t="shared" si="43"/>
        <v>19.26624</v>
      </c>
      <c r="M151">
        <v>24.082799999999999</v>
      </c>
      <c r="N151" s="6">
        <f t="shared" si="44"/>
        <v>41.59084</v>
      </c>
      <c r="O151" s="6">
        <f t="shared" si="44"/>
        <v>59.098880000000001</v>
      </c>
      <c r="P151" s="6">
        <f t="shared" si="44"/>
        <v>76.606920000000002</v>
      </c>
      <c r="Q151" s="6">
        <f t="shared" si="44"/>
        <v>94.114959999999996</v>
      </c>
      <c r="R151">
        <v>111.623</v>
      </c>
      <c r="S151" s="6">
        <f t="shared" si="45"/>
        <v>162.8784</v>
      </c>
      <c r="T151" s="6">
        <f t="shared" si="45"/>
        <v>214.13380000000001</v>
      </c>
      <c r="U151" s="6">
        <f t="shared" si="45"/>
        <v>265.38919999999996</v>
      </c>
      <c r="V151" s="6">
        <f t="shared" si="45"/>
        <v>316.64459999999997</v>
      </c>
      <c r="W151">
        <v>367.9</v>
      </c>
      <c r="X151" s="6">
        <f t="shared" si="46"/>
        <v>378.36219999999997</v>
      </c>
      <c r="Y151" s="6">
        <f t="shared" si="46"/>
        <v>388.82439999999997</v>
      </c>
      <c r="Z151" s="6">
        <f t="shared" si="46"/>
        <v>399.28660000000002</v>
      </c>
      <c r="AA151" s="6">
        <f t="shared" si="46"/>
        <v>409.74880000000002</v>
      </c>
      <c r="AB151">
        <v>420.21100000000001</v>
      </c>
      <c r="AC151" s="6">
        <f t="shared" si="47"/>
        <v>430.27699999999999</v>
      </c>
      <c r="AD151" s="6">
        <f t="shared" si="47"/>
        <v>440.34300000000002</v>
      </c>
      <c r="AE151" s="6">
        <f t="shared" si="47"/>
        <v>450.40899999999999</v>
      </c>
      <c r="AF151" s="6">
        <f t="shared" si="47"/>
        <v>460.47500000000002</v>
      </c>
      <c r="AG151">
        <v>470.541</v>
      </c>
      <c r="AH151" s="9">
        <f>SUM(Tableau2[[#This Row],[2022]:[2050]])</f>
        <v>6032.7070000000003</v>
      </c>
    </row>
    <row r="152" spans="1:34" hidden="1" x14ac:dyDescent="0.15">
      <c r="A152" s="5" t="s">
        <v>142</v>
      </c>
      <c r="B152" s="5" t="s">
        <v>141</v>
      </c>
      <c r="C152" s="2" t="s">
        <v>27</v>
      </c>
      <c r="D152" s="5" t="s">
        <v>96</v>
      </c>
      <c r="E152" s="11">
        <v>1</v>
      </c>
      <c r="F152" s="10">
        <f t="shared" si="42"/>
        <v>0.66666666666666674</v>
      </c>
      <c r="G152" s="10">
        <f t="shared" si="42"/>
        <v>0.33333333333333337</v>
      </c>
      <c r="H152" s="10">
        <v>0</v>
      </c>
      <c r="I152" s="10">
        <f t="shared" si="43"/>
        <v>9.5968599999999995</v>
      </c>
      <c r="J152" s="10">
        <f t="shared" si="43"/>
        <v>19.193719999999999</v>
      </c>
      <c r="K152" s="10">
        <f t="shared" si="43"/>
        <v>28.790579999999999</v>
      </c>
      <c r="L152" s="10">
        <f t="shared" si="43"/>
        <v>38.387439999999998</v>
      </c>
      <c r="M152" s="10">
        <v>47.984299999999998</v>
      </c>
      <c r="N152" s="10">
        <f t="shared" si="44"/>
        <v>81.11663999999999</v>
      </c>
      <c r="O152" s="10">
        <f t="shared" si="44"/>
        <v>114.24897999999999</v>
      </c>
      <c r="P152" s="10">
        <f t="shared" si="44"/>
        <v>147.38131999999999</v>
      </c>
      <c r="Q152" s="10">
        <f t="shared" si="44"/>
        <v>180.51365999999999</v>
      </c>
      <c r="R152" s="10">
        <v>213.64599999999999</v>
      </c>
      <c r="S152" s="10">
        <f t="shared" si="45"/>
        <v>305.15179999999998</v>
      </c>
      <c r="T152" s="10">
        <f t="shared" si="45"/>
        <v>396.6576</v>
      </c>
      <c r="U152" s="10">
        <f t="shared" si="45"/>
        <v>488.16339999999991</v>
      </c>
      <c r="V152" s="10">
        <f t="shared" si="45"/>
        <v>579.66919999999993</v>
      </c>
      <c r="W152" s="10">
        <v>671.17499999999995</v>
      </c>
      <c r="X152" s="10">
        <f t="shared" si="46"/>
        <v>686.41539999999998</v>
      </c>
      <c r="Y152" s="10">
        <f t="shared" si="46"/>
        <v>701.6558</v>
      </c>
      <c r="Z152" s="10">
        <f t="shared" si="46"/>
        <v>716.89619999999991</v>
      </c>
      <c r="AA152" s="10">
        <f t="shared" si="46"/>
        <v>732.13659999999993</v>
      </c>
      <c r="AB152" s="10">
        <v>747.37699999999995</v>
      </c>
      <c r="AC152" s="10">
        <f t="shared" si="47"/>
        <v>738.947</v>
      </c>
      <c r="AD152" s="10">
        <f t="shared" si="47"/>
        <v>730.51699999999994</v>
      </c>
      <c r="AE152" s="10">
        <f t="shared" si="47"/>
        <v>722.08699999999999</v>
      </c>
      <c r="AF152" s="10">
        <f t="shared" si="47"/>
        <v>713.65699999999993</v>
      </c>
      <c r="AG152" s="10">
        <v>705.22699999999998</v>
      </c>
      <c r="AH152" s="10">
        <f>SUM(Tableau2[[#This Row],[2022]:[2050]])</f>
        <v>10518.592499999999</v>
      </c>
    </row>
    <row r="153" spans="1:34" x14ac:dyDescent="0.15">
      <c r="A153" s="5" t="s">
        <v>22</v>
      </c>
      <c r="B153" s="5"/>
      <c r="C153" s="2" t="s">
        <v>145</v>
      </c>
      <c r="D153" s="5" t="s">
        <v>94</v>
      </c>
      <c r="E153" s="10">
        <v>0</v>
      </c>
      <c r="F153" s="10">
        <f t="shared" si="42"/>
        <v>0</v>
      </c>
      <c r="G153" s="10">
        <f t="shared" si="42"/>
        <v>0</v>
      </c>
      <c r="H153" s="10">
        <v>0</v>
      </c>
      <c r="I153" s="10">
        <f t="shared" si="43"/>
        <v>0</v>
      </c>
      <c r="J153" s="10">
        <f t="shared" si="43"/>
        <v>0</v>
      </c>
      <c r="K153" s="10">
        <f t="shared" si="43"/>
        <v>0</v>
      </c>
      <c r="L153" s="10">
        <f t="shared" si="43"/>
        <v>0</v>
      </c>
      <c r="M153" s="10">
        <v>0</v>
      </c>
      <c r="N153" s="10">
        <f t="shared" si="44"/>
        <v>3.7815199999999997E-5</v>
      </c>
      <c r="O153" s="10">
        <f t="shared" si="44"/>
        <v>7.5630399999999993E-5</v>
      </c>
      <c r="P153" s="10">
        <f t="shared" si="44"/>
        <v>1.1344559999999998E-4</v>
      </c>
      <c r="Q153" s="10">
        <f t="shared" si="44"/>
        <v>1.5126079999999999E-4</v>
      </c>
      <c r="R153" s="10">
        <v>1.8907599999999999E-4</v>
      </c>
      <c r="S153" s="10">
        <f t="shared" si="45"/>
        <v>1.987918E-4</v>
      </c>
      <c r="T153" s="10">
        <f t="shared" si="45"/>
        <v>2.0850759999999999E-4</v>
      </c>
      <c r="U153" s="10">
        <f t="shared" si="45"/>
        <v>2.182234E-4</v>
      </c>
      <c r="V153" s="10">
        <f t="shared" si="45"/>
        <v>2.2793919999999999E-4</v>
      </c>
      <c r="W153" s="10">
        <v>2.37655E-4</v>
      </c>
      <c r="X153" s="10">
        <f t="shared" si="46"/>
        <v>2.307094E-4</v>
      </c>
      <c r="Y153" s="10">
        <f t="shared" si="46"/>
        <v>2.2376380000000001E-4</v>
      </c>
      <c r="Z153" s="10">
        <f t="shared" si="46"/>
        <v>2.1681819999999998E-4</v>
      </c>
      <c r="AA153" s="10">
        <f t="shared" si="46"/>
        <v>2.0987259999999999E-4</v>
      </c>
      <c r="AB153" s="10">
        <v>2.0292699999999999E-4</v>
      </c>
      <c r="AC153" s="10">
        <f t="shared" si="47"/>
        <v>1.623416E-4</v>
      </c>
      <c r="AD153" s="10">
        <f t="shared" si="47"/>
        <v>1.2175619999999999E-4</v>
      </c>
      <c r="AE153" s="10">
        <f t="shared" si="47"/>
        <v>8.1170799999999985E-5</v>
      </c>
      <c r="AF153" s="10">
        <f t="shared" si="47"/>
        <v>4.0585399999999993E-5</v>
      </c>
      <c r="AG153" s="10">
        <v>0</v>
      </c>
      <c r="AH153" s="9">
        <f>SUM(Tableau2[[#This Row],[2022]:[2050]])</f>
        <v>3.1482899999999993E-3</v>
      </c>
    </row>
    <row r="154" spans="1:34" hidden="1" x14ac:dyDescent="0.15">
      <c r="A154" s="5" t="s">
        <v>22</v>
      </c>
      <c r="B154" s="5"/>
      <c r="C154" s="2" t="s">
        <v>145</v>
      </c>
      <c r="D154" s="5" t="s">
        <v>95</v>
      </c>
      <c r="E154" s="6">
        <v>0</v>
      </c>
      <c r="F154" s="6">
        <f t="shared" si="42"/>
        <v>0</v>
      </c>
      <c r="G154" s="6">
        <f t="shared" si="42"/>
        <v>0</v>
      </c>
      <c r="H154">
        <v>0</v>
      </c>
      <c r="I154" s="6">
        <f t="shared" si="43"/>
        <v>0</v>
      </c>
      <c r="J154" s="6">
        <f t="shared" si="43"/>
        <v>0</v>
      </c>
      <c r="K154" s="6">
        <f t="shared" si="43"/>
        <v>0</v>
      </c>
      <c r="L154" s="6">
        <f t="shared" si="43"/>
        <v>0</v>
      </c>
      <c r="M154">
        <v>0</v>
      </c>
      <c r="N154" s="6">
        <f t="shared" si="44"/>
        <v>3.8759999999999999E-4</v>
      </c>
      <c r="O154" s="6">
        <f t="shared" si="44"/>
        <v>7.7519999999999998E-4</v>
      </c>
      <c r="P154" s="6">
        <f t="shared" si="44"/>
        <v>1.1627999999999999E-3</v>
      </c>
      <c r="Q154" s="6">
        <f t="shared" si="44"/>
        <v>1.5504E-3</v>
      </c>
      <c r="R154">
        <v>1.9380000000000001E-3</v>
      </c>
      <c r="S154" s="6">
        <f t="shared" si="45"/>
        <v>2.1330160000000002E-3</v>
      </c>
      <c r="T154" s="6">
        <f t="shared" si="45"/>
        <v>2.3280320000000003E-3</v>
      </c>
      <c r="U154" s="6">
        <f t="shared" si="45"/>
        <v>2.523048E-3</v>
      </c>
      <c r="V154" s="6">
        <f t="shared" si="45"/>
        <v>2.7180640000000001E-3</v>
      </c>
      <c r="W154">
        <v>2.9130800000000002E-3</v>
      </c>
      <c r="X154" s="6">
        <f t="shared" si="46"/>
        <v>2.799022E-3</v>
      </c>
      <c r="Y154" s="6">
        <f t="shared" si="46"/>
        <v>2.6849640000000002E-3</v>
      </c>
      <c r="Z154" s="6">
        <f t="shared" si="46"/>
        <v>2.570906E-3</v>
      </c>
      <c r="AA154" s="6">
        <f t="shared" si="46"/>
        <v>2.4568480000000002E-3</v>
      </c>
      <c r="AB154">
        <v>2.34279E-3</v>
      </c>
      <c r="AC154" s="6">
        <f t="shared" si="47"/>
        <v>1.874232E-3</v>
      </c>
      <c r="AD154" s="6">
        <f t="shared" si="47"/>
        <v>1.405674E-3</v>
      </c>
      <c r="AE154" s="6">
        <f t="shared" si="47"/>
        <v>9.3711599999999999E-4</v>
      </c>
      <c r="AF154" s="6">
        <f t="shared" si="47"/>
        <v>4.68558E-4</v>
      </c>
      <c r="AG154">
        <v>0</v>
      </c>
      <c r="AH154" s="9">
        <f>SUM(Tableau2[[#This Row],[2022]:[2050]])</f>
        <v>3.5969350000000011E-2</v>
      </c>
    </row>
    <row r="155" spans="1:34" hidden="1" x14ac:dyDescent="0.15">
      <c r="A155" s="5" t="s">
        <v>22</v>
      </c>
      <c r="B155" s="5"/>
      <c r="C155" s="2" t="s">
        <v>145</v>
      </c>
      <c r="D155" s="5" t="s">
        <v>96</v>
      </c>
      <c r="E155" s="10">
        <v>0</v>
      </c>
      <c r="F155" s="10">
        <f t="shared" si="42"/>
        <v>0</v>
      </c>
      <c r="G155" s="10">
        <f t="shared" si="42"/>
        <v>0</v>
      </c>
      <c r="H155" s="10">
        <v>0</v>
      </c>
      <c r="I155" s="10">
        <f t="shared" si="43"/>
        <v>0</v>
      </c>
      <c r="J155" s="10">
        <f t="shared" si="43"/>
        <v>0</v>
      </c>
      <c r="K155" s="10">
        <f t="shared" si="43"/>
        <v>0</v>
      </c>
      <c r="L155" s="10">
        <f t="shared" si="43"/>
        <v>0</v>
      </c>
      <c r="M155" s="10">
        <v>0</v>
      </c>
      <c r="N155" s="10">
        <f t="shared" si="44"/>
        <v>1.0569640000000001E-3</v>
      </c>
      <c r="O155" s="10">
        <f t="shared" si="44"/>
        <v>2.1139280000000002E-3</v>
      </c>
      <c r="P155" s="10">
        <f t="shared" si="44"/>
        <v>3.1708920000000002E-3</v>
      </c>
      <c r="Q155" s="10">
        <f t="shared" si="44"/>
        <v>4.2278560000000003E-3</v>
      </c>
      <c r="R155" s="10">
        <v>5.28482E-3</v>
      </c>
      <c r="S155" s="10">
        <f t="shared" si="45"/>
        <v>5.3915880000000001E-3</v>
      </c>
      <c r="T155" s="10">
        <f t="shared" si="45"/>
        <v>5.4983560000000003E-3</v>
      </c>
      <c r="U155" s="10">
        <f t="shared" si="45"/>
        <v>5.6051239999999995E-3</v>
      </c>
      <c r="V155" s="10">
        <f t="shared" si="45"/>
        <v>5.7118919999999997E-3</v>
      </c>
      <c r="W155" s="10">
        <v>5.8186599999999998E-3</v>
      </c>
      <c r="X155" s="10">
        <f t="shared" si="46"/>
        <v>5.2864380000000001E-3</v>
      </c>
      <c r="Y155" s="10">
        <f t="shared" si="46"/>
        <v>4.7542160000000003E-3</v>
      </c>
      <c r="Z155" s="10">
        <f t="shared" si="46"/>
        <v>4.2219939999999997E-3</v>
      </c>
      <c r="AA155" s="10">
        <f t="shared" si="46"/>
        <v>3.689772E-3</v>
      </c>
      <c r="AB155" s="10">
        <v>3.1575499999999999E-3</v>
      </c>
      <c r="AC155" s="10">
        <f t="shared" si="47"/>
        <v>2.5260399999999998E-3</v>
      </c>
      <c r="AD155" s="10">
        <f t="shared" si="47"/>
        <v>1.89453E-3</v>
      </c>
      <c r="AE155" s="10">
        <f t="shared" si="47"/>
        <v>1.2630200000000001E-3</v>
      </c>
      <c r="AF155" s="10">
        <f t="shared" si="47"/>
        <v>6.3151000000000006E-4</v>
      </c>
      <c r="AG155" s="10">
        <v>0</v>
      </c>
      <c r="AH155" s="10">
        <f>SUM(Tableau2[[#This Row],[2022]:[2050]])</f>
        <v>7.1305149999999998E-2</v>
      </c>
    </row>
    <row r="156" spans="1:34" x14ac:dyDescent="0.15">
      <c r="A156" s="5" t="s">
        <v>91</v>
      </c>
      <c r="B156" s="5" t="s">
        <v>136</v>
      </c>
      <c r="C156" s="2" t="s">
        <v>18</v>
      </c>
      <c r="D156" s="5" t="s">
        <v>94</v>
      </c>
      <c r="E156" s="10">
        <v>6.0594599999999996</v>
      </c>
      <c r="F156" s="10">
        <f t="shared" si="42"/>
        <v>6.3579166666666662</v>
      </c>
      <c r="G156" s="10">
        <f t="shared" si="42"/>
        <v>6.6563733333333337</v>
      </c>
      <c r="H156" s="10">
        <v>6.9548300000000003</v>
      </c>
      <c r="I156" s="10">
        <f t="shared" si="43"/>
        <v>7.2193060000000004</v>
      </c>
      <c r="J156" s="10">
        <f t="shared" si="43"/>
        <v>7.4837820000000006</v>
      </c>
      <c r="K156" s="10">
        <f t="shared" si="43"/>
        <v>7.7482579999999999</v>
      </c>
      <c r="L156" s="10">
        <f t="shared" si="43"/>
        <v>8.012734</v>
      </c>
      <c r="M156" s="10">
        <v>8.2772100000000002</v>
      </c>
      <c r="N156" s="10">
        <f t="shared" si="44"/>
        <v>8.3096580000000007</v>
      </c>
      <c r="O156" s="10">
        <f t="shared" si="44"/>
        <v>8.3421060000000011</v>
      </c>
      <c r="P156" s="10">
        <f t="shared" si="44"/>
        <v>8.3745539999999998</v>
      </c>
      <c r="Q156" s="10">
        <f t="shared" si="44"/>
        <v>8.4070020000000003</v>
      </c>
      <c r="R156" s="10">
        <v>8.4394500000000008</v>
      </c>
      <c r="S156" s="10">
        <f t="shared" si="45"/>
        <v>8.5278000000000009</v>
      </c>
      <c r="T156" s="10">
        <f t="shared" si="45"/>
        <v>8.6161500000000011</v>
      </c>
      <c r="U156" s="10">
        <f t="shared" si="45"/>
        <v>8.7044999999999995</v>
      </c>
      <c r="V156" s="10">
        <f t="shared" si="45"/>
        <v>8.7928499999999996</v>
      </c>
      <c r="W156" s="10">
        <v>8.8811999999999998</v>
      </c>
      <c r="X156" s="10">
        <f t="shared" si="46"/>
        <v>9.160499999999999</v>
      </c>
      <c r="Y156" s="10">
        <f t="shared" si="46"/>
        <v>9.4398</v>
      </c>
      <c r="Z156" s="10">
        <f t="shared" si="46"/>
        <v>9.7190999999999992</v>
      </c>
      <c r="AA156" s="10">
        <f t="shared" si="46"/>
        <v>9.9984000000000002</v>
      </c>
      <c r="AB156" s="10">
        <v>10.277699999999999</v>
      </c>
      <c r="AC156" s="10">
        <f t="shared" si="47"/>
        <v>10.546159999999999</v>
      </c>
      <c r="AD156" s="10">
        <f t="shared" si="47"/>
        <v>10.81462</v>
      </c>
      <c r="AE156" s="10">
        <f t="shared" si="47"/>
        <v>11.083079999999999</v>
      </c>
      <c r="AF156" s="10">
        <f t="shared" si="47"/>
        <v>11.35154</v>
      </c>
      <c r="AG156" s="10">
        <v>11.62</v>
      </c>
      <c r="AH156" s="9">
        <f>SUM(Tableau2[[#This Row],[2022]:[2050]])</f>
        <v>254.17604</v>
      </c>
    </row>
    <row r="157" spans="1:34" hidden="1" x14ac:dyDescent="0.15">
      <c r="A157" s="5" t="s">
        <v>20</v>
      </c>
      <c r="B157" s="5" t="s">
        <v>136</v>
      </c>
      <c r="C157" s="2" t="s">
        <v>18</v>
      </c>
      <c r="D157" s="5" t="s">
        <v>96</v>
      </c>
      <c r="E157" s="10">
        <v>561.02599999999995</v>
      </c>
      <c r="F157" s="10">
        <f t="shared" si="42"/>
        <v>711.61399999999992</v>
      </c>
      <c r="G157" s="10">
        <f t="shared" si="42"/>
        <v>862.202</v>
      </c>
      <c r="H157" s="10">
        <v>1012.79</v>
      </c>
      <c r="I157" s="10">
        <f t="shared" si="43"/>
        <v>1241.558</v>
      </c>
      <c r="J157" s="10">
        <f t="shared" si="43"/>
        <v>1470.326</v>
      </c>
      <c r="K157" s="10">
        <f t="shared" si="43"/>
        <v>1699.0940000000001</v>
      </c>
      <c r="L157" s="10">
        <f t="shared" si="43"/>
        <v>1927.8620000000001</v>
      </c>
      <c r="M157" s="10">
        <v>2156.63</v>
      </c>
      <c r="N157" s="10">
        <f t="shared" si="44"/>
        <v>2131.2780000000002</v>
      </c>
      <c r="O157" s="10">
        <f t="shared" si="44"/>
        <v>2105.9259999999999</v>
      </c>
      <c r="P157" s="10">
        <f t="shared" si="44"/>
        <v>2080.5740000000001</v>
      </c>
      <c r="Q157" s="10">
        <f t="shared" si="44"/>
        <v>2055.2219999999998</v>
      </c>
      <c r="R157" s="10">
        <v>2029.87</v>
      </c>
      <c r="S157" s="10">
        <f t="shared" si="45"/>
        <v>1951.8679999999999</v>
      </c>
      <c r="T157" s="10">
        <f t="shared" si="45"/>
        <v>1873.866</v>
      </c>
      <c r="U157" s="10">
        <f t="shared" si="45"/>
        <v>1795.864</v>
      </c>
      <c r="V157" s="10">
        <f t="shared" si="45"/>
        <v>1717.8619999999999</v>
      </c>
      <c r="W157" s="10">
        <v>1639.86</v>
      </c>
      <c r="X157" s="10">
        <f t="shared" si="46"/>
        <v>1540.346</v>
      </c>
      <c r="Y157" s="10">
        <f t="shared" si="46"/>
        <v>1440.8319999999999</v>
      </c>
      <c r="Z157" s="10">
        <f t="shared" si="46"/>
        <v>1341.318</v>
      </c>
      <c r="AA157" s="10">
        <f t="shared" si="46"/>
        <v>1241.8040000000001</v>
      </c>
      <c r="AB157" s="10">
        <v>1142.29</v>
      </c>
      <c r="AC157" s="10">
        <f t="shared" si="47"/>
        <v>1252.2719999999999</v>
      </c>
      <c r="AD157" s="10">
        <f t="shared" si="47"/>
        <v>1362.2539999999999</v>
      </c>
      <c r="AE157" s="10">
        <f t="shared" si="47"/>
        <v>1472.2359999999999</v>
      </c>
      <c r="AF157" s="10">
        <f t="shared" si="47"/>
        <v>1582.2180000000001</v>
      </c>
      <c r="AG157" s="10">
        <v>1692.2</v>
      </c>
      <c r="AH157" s="10">
        <f>SUM(Tableau2[[#This Row],[2022]:[2050]])</f>
        <v>45093.061999999998</v>
      </c>
    </row>
    <row r="158" spans="1:34" hidden="1" x14ac:dyDescent="0.15">
      <c r="A158" s="5" t="s">
        <v>91</v>
      </c>
      <c r="B158" s="5" t="s">
        <v>136</v>
      </c>
      <c r="C158" s="2" t="s">
        <v>18</v>
      </c>
      <c r="D158" s="5" t="s">
        <v>95</v>
      </c>
      <c r="E158" s="6">
        <v>6.0594599999999996</v>
      </c>
      <c r="F158" s="6">
        <f t="shared" si="42"/>
        <v>6.7968633333333335</v>
      </c>
      <c r="G158" s="6">
        <f t="shared" si="42"/>
        <v>7.5342666666666664</v>
      </c>
      <c r="H158" s="6">
        <v>8.2716700000000003</v>
      </c>
      <c r="I158" s="6">
        <f t="shared" si="43"/>
        <v>8.7969360000000005</v>
      </c>
      <c r="J158" s="6">
        <f t="shared" si="43"/>
        <v>9.3222020000000008</v>
      </c>
      <c r="K158" s="6">
        <f t="shared" si="43"/>
        <v>9.8474679999999992</v>
      </c>
      <c r="L158" s="6">
        <f t="shared" si="43"/>
        <v>10.372733999999999</v>
      </c>
      <c r="M158" s="6">
        <v>10.898</v>
      </c>
      <c r="N158" s="6">
        <f t="shared" si="44"/>
        <v>11.266220000000001</v>
      </c>
      <c r="O158" s="6">
        <f t="shared" si="44"/>
        <v>11.63444</v>
      </c>
      <c r="P158" s="6">
        <f t="shared" si="44"/>
        <v>12.002660000000001</v>
      </c>
      <c r="Q158" s="6">
        <f t="shared" si="44"/>
        <v>12.37088</v>
      </c>
      <c r="R158" s="6">
        <v>12.739100000000001</v>
      </c>
      <c r="S158" s="6">
        <f t="shared" si="45"/>
        <v>12.809060000000001</v>
      </c>
      <c r="T158" s="6">
        <f t="shared" si="45"/>
        <v>12.879020000000001</v>
      </c>
      <c r="U158" s="6">
        <f t="shared" si="45"/>
        <v>12.948980000000001</v>
      </c>
      <c r="V158" s="6">
        <f t="shared" si="45"/>
        <v>13.018940000000001</v>
      </c>
      <c r="W158" s="6">
        <v>13.088900000000001</v>
      </c>
      <c r="X158" s="6">
        <f t="shared" si="46"/>
        <v>13.51586</v>
      </c>
      <c r="Y158" s="6">
        <f t="shared" si="46"/>
        <v>13.942819999999999</v>
      </c>
      <c r="Z158" s="6">
        <f t="shared" si="46"/>
        <v>14.369779999999999</v>
      </c>
      <c r="AA158" s="6">
        <f t="shared" si="46"/>
        <v>14.79674</v>
      </c>
      <c r="AB158" s="6">
        <v>15.223699999999999</v>
      </c>
      <c r="AC158" s="6">
        <f t="shared" si="47"/>
        <v>15.57076</v>
      </c>
      <c r="AD158" s="6">
        <f t="shared" si="47"/>
        <v>15.917819999999999</v>
      </c>
      <c r="AE158" s="6">
        <f t="shared" si="47"/>
        <v>16.264879999999998</v>
      </c>
      <c r="AF158" s="6">
        <f t="shared" si="47"/>
        <v>16.611940000000001</v>
      </c>
      <c r="AG158" s="6">
        <v>16.959</v>
      </c>
      <c r="AH158" s="9">
        <f>SUM(Tableau2[[#This Row],[2022]:[2050]])</f>
        <v>355.83110000000005</v>
      </c>
    </row>
    <row r="159" spans="1:34" hidden="1" x14ac:dyDescent="0.15">
      <c r="A159" s="5" t="s">
        <v>20</v>
      </c>
      <c r="B159" s="5" t="s">
        <v>136</v>
      </c>
      <c r="C159" s="2" t="s">
        <v>18</v>
      </c>
      <c r="D159" s="5" t="s">
        <v>95</v>
      </c>
      <c r="E159" s="6">
        <v>561.02599999999995</v>
      </c>
      <c r="F159" s="6">
        <f t="shared" si="42"/>
        <v>624.78</v>
      </c>
      <c r="G159" s="6">
        <f t="shared" si="42"/>
        <v>688.53399999999999</v>
      </c>
      <c r="H159">
        <v>752.28800000000001</v>
      </c>
      <c r="I159" s="6">
        <f t="shared" si="43"/>
        <v>830.22040000000004</v>
      </c>
      <c r="J159" s="6">
        <f t="shared" si="43"/>
        <v>908.15280000000007</v>
      </c>
      <c r="K159" s="6">
        <f t="shared" si="43"/>
        <v>986.08519999999999</v>
      </c>
      <c r="L159" s="6">
        <f t="shared" si="43"/>
        <v>1064.0176000000001</v>
      </c>
      <c r="M159">
        <v>1141.95</v>
      </c>
      <c r="N159" s="6">
        <f t="shared" si="44"/>
        <v>1168.242</v>
      </c>
      <c r="O159" s="6">
        <f t="shared" si="44"/>
        <v>1194.5340000000001</v>
      </c>
      <c r="P159" s="6">
        <f t="shared" si="44"/>
        <v>1220.826</v>
      </c>
      <c r="Q159" s="6">
        <f t="shared" si="44"/>
        <v>1247.1180000000002</v>
      </c>
      <c r="R159">
        <v>1273.4100000000001</v>
      </c>
      <c r="S159" s="6">
        <f t="shared" si="45"/>
        <v>1278.482</v>
      </c>
      <c r="T159" s="6">
        <f t="shared" si="45"/>
        <v>1283.5540000000001</v>
      </c>
      <c r="U159" s="6">
        <f t="shared" si="45"/>
        <v>1288.626</v>
      </c>
      <c r="V159" s="6">
        <f t="shared" si="45"/>
        <v>1293.6980000000001</v>
      </c>
      <c r="W159">
        <v>1298.77</v>
      </c>
      <c r="X159" s="6">
        <f t="shared" si="46"/>
        <v>1296.7359999999999</v>
      </c>
      <c r="Y159" s="6">
        <f t="shared" si="46"/>
        <v>1294.702</v>
      </c>
      <c r="Z159" s="6">
        <f t="shared" si="46"/>
        <v>1292.6679999999999</v>
      </c>
      <c r="AA159" s="6">
        <f t="shared" si="46"/>
        <v>1290.634</v>
      </c>
      <c r="AB159">
        <v>1288.5999999999999</v>
      </c>
      <c r="AC159" s="6">
        <f t="shared" si="47"/>
        <v>1317.3779999999999</v>
      </c>
      <c r="AD159" s="6">
        <f t="shared" si="47"/>
        <v>1346.1559999999999</v>
      </c>
      <c r="AE159" s="6">
        <f t="shared" si="47"/>
        <v>1374.934</v>
      </c>
      <c r="AF159" s="6">
        <f t="shared" si="47"/>
        <v>1403.712</v>
      </c>
      <c r="AG159">
        <v>1432.49</v>
      </c>
      <c r="AH159" s="9">
        <f>SUM(Tableau2[[#This Row],[2022]:[2050]])</f>
        <v>33442.324000000001</v>
      </c>
    </row>
    <row r="160" spans="1:34" x14ac:dyDescent="0.15">
      <c r="A160" s="5" t="s">
        <v>20</v>
      </c>
      <c r="B160" s="5" t="s">
        <v>136</v>
      </c>
      <c r="C160" s="2" t="s">
        <v>18</v>
      </c>
      <c r="D160" s="5" t="s">
        <v>94</v>
      </c>
      <c r="E160" s="10">
        <v>561.02599999999995</v>
      </c>
      <c r="F160" s="10">
        <f t="shared" si="42"/>
        <v>575.15866666666659</v>
      </c>
      <c r="G160" s="10">
        <f t="shared" si="42"/>
        <v>589.29133333333334</v>
      </c>
      <c r="H160" s="10">
        <v>603.42399999999998</v>
      </c>
      <c r="I160" s="10">
        <f t="shared" si="43"/>
        <v>642.6164</v>
      </c>
      <c r="J160" s="10">
        <f t="shared" si="43"/>
        <v>681.80880000000002</v>
      </c>
      <c r="K160" s="10">
        <f t="shared" si="43"/>
        <v>721.00119999999993</v>
      </c>
      <c r="L160" s="10">
        <f t="shared" si="43"/>
        <v>760.19359999999995</v>
      </c>
      <c r="M160" s="10">
        <v>799.38599999999997</v>
      </c>
      <c r="N160" s="10">
        <f t="shared" si="44"/>
        <v>794.98820000000001</v>
      </c>
      <c r="O160" s="10">
        <f t="shared" si="44"/>
        <v>790.59040000000005</v>
      </c>
      <c r="P160" s="10">
        <f t="shared" si="44"/>
        <v>786.19259999999997</v>
      </c>
      <c r="Q160" s="10">
        <f t="shared" si="44"/>
        <v>781.79480000000001</v>
      </c>
      <c r="R160" s="10">
        <v>777.39700000000005</v>
      </c>
      <c r="S160" s="10">
        <f t="shared" si="45"/>
        <v>766.53640000000007</v>
      </c>
      <c r="T160" s="10">
        <f t="shared" si="45"/>
        <v>755.67580000000009</v>
      </c>
      <c r="U160" s="10">
        <f t="shared" si="45"/>
        <v>744.8152</v>
      </c>
      <c r="V160" s="10">
        <f t="shared" si="45"/>
        <v>733.95460000000003</v>
      </c>
      <c r="W160" s="10">
        <v>723.09400000000005</v>
      </c>
      <c r="X160" s="10">
        <f t="shared" si="46"/>
        <v>756.93200000000002</v>
      </c>
      <c r="Y160" s="10">
        <f t="shared" si="46"/>
        <v>790.77</v>
      </c>
      <c r="Z160" s="10">
        <f t="shared" si="46"/>
        <v>824.60799999999995</v>
      </c>
      <c r="AA160" s="10">
        <f t="shared" si="46"/>
        <v>858.44600000000003</v>
      </c>
      <c r="AB160" s="10">
        <v>892.28399999999999</v>
      </c>
      <c r="AC160" s="10">
        <f t="shared" si="47"/>
        <v>910.86379999999997</v>
      </c>
      <c r="AD160" s="10">
        <f t="shared" si="47"/>
        <v>929.44359999999995</v>
      </c>
      <c r="AE160" s="10">
        <f t="shared" si="47"/>
        <v>948.02340000000004</v>
      </c>
      <c r="AF160" s="10">
        <f t="shared" si="47"/>
        <v>966.60320000000002</v>
      </c>
      <c r="AG160" s="10">
        <v>985.18299999999999</v>
      </c>
      <c r="AH160" s="9">
        <f>SUM(Tableau2[[#This Row],[2022]:[2050]])</f>
        <v>22452.102000000006</v>
      </c>
    </row>
    <row r="161" spans="1:34" hidden="1" x14ac:dyDescent="0.15">
      <c r="A161" s="5" t="s">
        <v>91</v>
      </c>
      <c r="B161" s="5" t="s">
        <v>136</v>
      </c>
      <c r="C161" s="2" t="s">
        <v>18</v>
      </c>
      <c r="D161" s="5" t="s">
        <v>96</v>
      </c>
      <c r="E161" s="8">
        <v>6.0594599999999996</v>
      </c>
      <c r="F161" s="10">
        <f t="shared" si="42"/>
        <v>7.9011399999999998</v>
      </c>
      <c r="G161" s="10">
        <f t="shared" si="42"/>
        <v>9.74282</v>
      </c>
      <c r="H161" s="10">
        <v>11.5845</v>
      </c>
      <c r="I161" s="10">
        <f t="shared" si="43"/>
        <v>13.061019999999999</v>
      </c>
      <c r="J161" s="10">
        <f t="shared" si="43"/>
        <v>14.53754</v>
      </c>
      <c r="K161" s="10">
        <f t="shared" si="43"/>
        <v>16.014060000000001</v>
      </c>
      <c r="L161" s="10">
        <f t="shared" si="43"/>
        <v>17.490579999999998</v>
      </c>
      <c r="M161" s="10">
        <v>18.967099999999999</v>
      </c>
      <c r="N161" s="10">
        <f t="shared" si="44"/>
        <v>19.072779999999998</v>
      </c>
      <c r="O161" s="10">
        <f t="shared" si="44"/>
        <v>19.178459999999998</v>
      </c>
      <c r="P161" s="10">
        <f t="shared" si="44"/>
        <v>19.284140000000001</v>
      </c>
      <c r="Q161" s="10">
        <f t="shared" si="44"/>
        <v>19.38982</v>
      </c>
      <c r="R161" s="10">
        <v>19.4955</v>
      </c>
      <c r="S161" s="10">
        <f t="shared" si="45"/>
        <v>19.440480000000001</v>
      </c>
      <c r="T161" s="10">
        <f t="shared" si="45"/>
        <v>19.385460000000002</v>
      </c>
      <c r="U161" s="10">
        <f t="shared" si="45"/>
        <v>19.330439999999999</v>
      </c>
      <c r="V161" s="10">
        <f t="shared" si="45"/>
        <v>19.27542</v>
      </c>
      <c r="W161" s="10">
        <v>19.220400000000001</v>
      </c>
      <c r="X161" s="10">
        <f t="shared" si="46"/>
        <v>18.498380000000001</v>
      </c>
      <c r="Y161" s="10">
        <f t="shared" si="46"/>
        <v>17.77636</v>
      </c>
      <c r="Z161" s="10">
        <f t="shared" si="46"/>
        <v>17.05434</v>
      </c>
      <c r="AA161" s="10">
        <f t="shared" si="46"/>
        <v>16.332319999999999</v>
      </c>
      <c r="AB161" s="10">
        <v>15.610300000000001</v>
      </c>
      <c r="AC161" s="10">
        <f t="shared" si="47"/>
        <v>15.97968</v>
      </c>
      <c r="AD161" s="10">
        <f t="shared" si="47"/>
        <v>16.349060000000001</v>
      </c>
      <c r="AE161" s="10">
        <f t="shared" si="47"/>
        <v>16.718440000000001</v>
      </c>
      <c r="AF161" s="10">
        <f t="shared" si="47"/>
        <v>17.087820000000001</v>
      </c>
      <c r="AG161" s="10">
        <v>17.4572</v>
      </c>
      <c r="AH161" s="10">
        <f>SUM(Tableau2[[#This Row],[2022]:[2050]])</f>
        <v>477.29502000000002</v>
      </c>
    </row>
    <row r="162" spans="1:34" x14ac:dyDescent="0.15">
      <c r="A162" s="5" t="s">
        <v>22</v>
      </c>
      <c r="B162" s="5"/>
      <c r="C162" s="2" t="s">
        <v>28</v>
      </c>
      <c r="D162" s="5" t="s">
        <v>94</v>
      </c>
      <c r="E162" s="8">
        <v>0.239703</v>
      </c>
      <c r="F162" s="10">
        <f t="shared" si="42"/>
        <v>0.26961333333333332</v>
      </c>
      <c r="G162" s="10">
        <f t="shared" si="42"/>
        <v>0.29952366666666669</v>
      </c>
      <c r="H162" s="10">
        <v>0.329434</v>
      </c>
      <c r="I162" s="10">
        <f t="shared" si="43"/>
        <v>0.40731440000000002</v>
      </c>
      <c r="J162" s="10">
        <f t="shared" si="43"/>
        <v>0.48519480000000004</v>
      </c>
      <c r="K162" s="10">
        <f t="shared" si="43"/>
        <v>0.5630752</v>
      </c>
      <c r="L162" s="10">
        <f t="shared" si="43"/>
        <v>0.64095560000000007</v>
      </c>
      <c r="M162" s="10">
        <v>0.71883600000000003</v>
      </c>
      <c r="N162" s="10">
        <f t="shared" si="44"/>
        <v>0.68988760000000005</v>
      </c>
      <c r="O162" s="10">
        <f t="shared" si="44"/>
        <v>0.66093920000000006</v>
      </c>
      <c r="P162" s="10">
        <f t="shared" si="44"/>
        <v>0.63199080000000007</v>
      </c>
      <c r="Q162" s="10">
        <f t="shared" si="44"/>
        <v>0.60304239999999998</v>
      </c>
      <c r="R162" s="10">
        <v>0.57409399999999999</v>
      </c>
      <c r="S162" s="10">
        <f t="shared" si="45"/>
        <v>0.56244340000000004</v>
      </c>
      <c r="T162" s="10">
        <f t="shared" si="45"/>
        <v>0.55079279999999997</v>
      </c>
      <c r="U162" s="10">
        <f t="shared" si="45"/>
        <v>0.53914220000000002</v>
      </c>
      <c r="V162" s="10">
        <f t="shared" si="45"/>
        <v>0.52749159999999995</v>
      </c>
      <c r="W162" s="10">
        <v>0.51584099999999999</v>
      </c>
      <c r="X162" s="10">
        <f t="shared" si="46"/>
        <v>0.52418699999999996</v>
      </c>
      <c r="Y162" s="10">
        <f t="shared" si="46"/>
        <v>0.53253300000000003</v>
      </c>
      <c r="Z162" s="10">
        <f t="shared" si="46"/>
        <v>0.540879</v>
      </c>
      <c r="AA162" s="10">
        <f t="shared" si="46"/>
        <v>0.54922500000000007</v>
      </c>
      <c r="AB162" s="10">
        <v>0.55757100000000004</v>
      </c>
      <c r="AC162" s="10">
        <f t="shared" si="47"/>
        <v>0.60106979999999999</v>
      </c>
      <c r="AD162" s="10">
        <f t="shared" si="47"/>
        <v>0.64456860000000005</v>
      </c>
      <c r="AE162" s="10">
        <f t="shared" si="47"/>
        <v>0.6880674</v>
      </c>
      <c r="AF162" s="10">
        <f t="shared" si="47"/>
        <v>0.73156620000000006</v>
      </c>
      <c r="AG162" s="10">
        <v>0.775065</v>
      </c>
      <c r="AH162" s="9">
        <f>SUM(Tableau2[[#This Row],[2022]:[2050]])</f>
        <v>15.954046999999997</v>
      </c>
    </row>
    <row r="163" spans="1:34" hidden="1" x14ac:dyDescent="0.15">
      <c r="A163" s="5" t="s">
        <v>22</v>
      </c>
      <c r="B163" s="5"/>
      <c r="C163" s="2" t="s">
        <v>28</v>
      </c>
      <c r="D163" s="5" t="s">
        <v>95</v>
      </c>
      <c r="E163" s="7">
        <v>0.239703</v>
      </c>
      <c r="F163" s="6">
        <f t="shared" si="42"/>
        <v>1.0240186666666666</v>
      </c>
      <c r="G163" s="6">
        <f t="shared" si="42"/>
        <v>1.8083343333333333</v>
      </c>
      <c r="H163">
        <v>2.5926499999999999</v>
      </c>
      <c r="I163" s="6">
        <f t="shared" si="43"/>
        <v>3.2925040000000001</v>
      </c>
      <c r="J163" s="6">
        <f t="shared" si="43"/>
        <v>3.9923579999999999</v>
      </c>
      <c r="K163" s="6">
        <f t="shared" si="43"/>
        <v>4.6922119999999996</v>
      </c>
      <c r="L163" s="6">
        <f t="shared" si="43"/>
        <v>5.3920659999999998</v>
      </c>
      <c r="M163">
        <v>6.09192</v>
      </c>
      <c r="N163" s="6">
        <f t="shared" si="44"/>
        <v>6.0504100000000003</v>
      </c>
      <c r="O163" s="6">
        <f t="shared" si="44"/>
        <v>6.0088999999999997</v>
      </c>
      <c r="P163" s="6">
        <f t="shared" si="44"/>
        <v>5.96739</v>
      </c>
      <c r="Q163" s="6">
        <f t="shared" si="44"/>
        <v>5.9258799999999994</v>
      </c>
      <c r="R163">
        <v>5.8843699999999997</v>
      </c>
      <c r="S163" s="6">
        <f t="shared" si="45"/>
        <v>5.9720879999999994</v>
      </c>
      <c r="T163" s="6">
        <f t="shared" si="45"/>
        <v>6.059806</v>
      </c>
      <c r="U163" s="6">
        <f t="shared" si="45"/>
        <v>6.1475239999999998</v>
      </c>
      <c r="V163" s="6">
        <f t="shared" si="45"/>
        <v>6.2352420000000004</v>
      </c>
      <c r="W163">
        <v>6.3229600000000001</v>
      </c>
      <c r="X163" s="6">
        <f t="shared" si="46"/>
        <v>6.3458000000000006</v>
      </c>
      <c r="Y163" s="6">
        <f t="shared" si="46"/>
        <v>6.3686400000000001</v>
      </c>
      <c r="Z163" s="6">
        <f t="shared" si="46"/>
        <v>6.3914800000000005</v>
      </c>
      <c r="AA163" s="6">
        <f t="shared" si="46"/>
        <v>6.41432</v>
      </c>
      <c r="AB163">
        <v>6.4371600000000004</v>
      </c>
      <c r="AC163" s="6">
        <f t="shared" si="47"/>
        <v>6.8230740000000001</v>
      </c>
      <c r="AD163" s="6">
        <f t="shared" si="47"/>
        <v>7.2089880000000006</v>
      </c>
      <c r="AE163" s="6">
        <f t="shared" si="47"/>
        <v>7.5949020000000003</v>
      </c>
      <c r="AF163" s="6">
        <f t="shared" si="47"/>
        <v>7.9808160000000008</v>
      </c>
      <c r="AG163">
        <v>8.3667300000000004</v>
      </c>
      <c r="AH163" s="9">
        <f>SUM(Tableau2[[#This Row],[2022]:[2050]])</f>
        <v>159.63224599999998</v>
      </c>
    </row>
    <row r="164" spans="1:34" hidden="1" x14ac:dyDescent="0.15">
      <c r="A164" s="5" t="s">
        <v>22</v>
      </c>
      <c r="B164" s="5"/>
      <c r="C164" s="2" t="s">
        <v>28</v>
      </c>
      <c r="D164" s="5" t="s">
        <v>96</v>
      </c>
      <c r="E164" s="10">
        <v>0.239703</v>
      </c>
      <c r="F164" s="10">
        <f t="shared" si="42"/>
        <v>1.7682819999999999</v>
      </c>
      <c r="G164" s="10">
        <f t="shared" si="42"/>
        <v>3.2968609999999998</v>
      </c>
      <c r="H164" s="10">
        <v>4.8254400000000004</v>
      </c>
      <c r="I164" s="10">
        <f t="shared" si="43"/>
        <v>6.9839920000000006</v>
      </c>
      <c r="J164" s="10">
        <f t="shared" si="43"/>
        <v>9.1425440000000009</v>
      </c>
      <c r="K164" s="10">
        <f t="shared" si="43"/>
        <v>11.301095999999999</v>
      </c>
      <c r="L164" s="10">
        <f t="shared" si="43"/>
        <v>13.459648</v>
      </c>
      <c r="M164" s="10">
        <v>15.6182</v>
      </c>
      <c r="N164" s="10">
        <f t="shared" si="44"/>
        <v>15.70384</v>
      </c>
      <c r="O164" s="10">
        <f t="shared" si="44"/>
        <v>15.789479999999999</v>
      </c>
      <c r="P164" s="10">
        <f t="shared" si="44"/>
        <v>15.875119999999999</v>
      </c>
      <c r="Q164" s="10">
        <f t="shared" si="44"/>
        <v>15.960759999999999</v>
      </c>
      <c r="R164" s="10">
        <v>16.046399999999998</v>
      </c>
      <c r="S164" s="10">
        <f t="shared" si="45"/>
        <v>15.363059999999999</v>
      </c>
      <c r="T164" s="10">
        <f t="shared" si="45"/>
        <v>14.67972</v>
      </c>
      <c r="U164" s="10">
        <f t="shared" si="45"/>
        <v>13.996379999999998</v>
      </c>
      <c r="V164" s="10">
        <f t="shared" si="45"/>
        <v>13.313039999999999</v>
      </c>
      <c r="W164" s="10">
        <v>12.6297</v>
      </c>
      <c r="X164" s="10">
        <f t="shared" si="46"/>
        <v>11.838924</v>
      </c>
      <c r="Y164" s="10">
        <f t="shared" si="46"/>
        <v>11.048147999999999</v>
      </c>
      <c r="Z164" s="10">
        <f t="shared" si="46"/>
        <v>10.257372</v>
      </c>
      <c r="AA164" s="10">
        <f t="shared" si="46"/>
        <v>9.4665959999999991</v>
      </c>
      <c r="AB164" s="10">
        <v>8.6758199999999999</v>
      </c>
      <c r="AC164" s="10">
        <f t="shared" si="47"/>
        <v>9.3147959999999994</v>
      </c>
      <c r="AD164" s="10">
        <f t="shared" si="47"/>
        <v>9.953771999999999</v>
      </c>
      <c r="AE164" s="10">
        <f t="shared" si="47"/>
        <v>10.592748</v>
      </c>
      <c r="AF164" s="10">
        <f t="shared" si="47"/>
        <v>11.231724</v>
      </c>
      <c r="AG164" s="10">
        <v>11.870699999999999</v>
      </c>
      <c r="AH164" s="10">
        <f>SUM(Tableau2[[#This Row],[2022]:[2050]])</f>
        <v>320.24386599999997</v>
      </c>
    </row>
    <row r="165" spans="1:34" x14ac:dyDescent="0.15">
      <c r="A165" s="5" t="s">
        <v>97</v>
      </c>
      <c r="B165" s="5" t="s">
        <v>97</v>
      </c>
      <c r="C165" s="2" t="s">
        <v>4</v>
      </c>
      <c r="D165" s="5" t="s">
        <v>94</v>
      </c>
      <c r="E165" s="6">
        <v>25501.86</v>
      </c>
      <c r="F165" s="6">
        <f>(($H165-$E165)/($H$1-$E$1))*(F$1-$E$1)+$E165</f>
        <v>25919.54</v>
      </c>
      <c r="G165" s="6">
        <f>(($H165-$E165)/($H$1-$E$1))*(G$1-$E$1)+$E165</f>
        <v>26337.22</v>
      </c>
      <c r="H165" s="6">
        <v>26754.9</v>
      </c>
      <c r="I165" s="6">
        <f>(($M165-$H165)/($M$1-$H$1))*(I$1-$H$1)+$H165</f>
        <v>27573.57</v>
      </c>
      <c r="J165" s="6">
        <f>(($M165-$H165)/($M$1-$H$1))*(J$1-$H$1)+$H165</f>
        <v>28392.240000000002</v>
      </c>
      <c r="K165" s="6">
        <f>(($M165-$H165)/($M$1-$H$1))*(K$1-$H$1)+$H165</f>
        <v>29210.91</v>
      </c>
      <c r="L165" s="6">
        <f>(($M165-$H165)/($M$1-$H$1))*(L$1-$H$1)+$H165</f>
        <v>30029.58</v>
      </c>
      <c r="M165" s="6">
        <v>30848.25</v>
      </c>
      <c r="N165" s="6">
        <f>(($R165-$M165)/($R$1-$M$1))*(N$1-$M$1)+$M165</f>
        <v>30986.311999999998</v>
      </c>
      <c r="O165" s="6">
        <f>(($R165-$M165)/($R$1-$M$1))*(O$1-$M$1)+$M165</f>
        <v>31124.374</v>
      </c>
      <c r="P165" s="6">
        <f>(($R165-$M165)/($R$1-$M$1))*(P$1-$M$1)+$M165</f>
        <v>31262.435999999998</v>
      </c>
      <c r="Q165" s="6">
        <f>(($R165-$M165)/($R$1-$M$1))*(Q$1-$M$1)+$M165</f>
        <v>31400.498</v>
      </c>
      <c r="R165" s="6">
        <v>31538.559999999998</v>
      </c>
      <c r="S165" s="6">
        <f>(($W165-$R165)/($W$1-$R$1))*(S$1-$R$1)+$R165</f>
        <v>31863.563999999998</v>
      </c>
      <c r="T165" s="6">
        <f>(($W165-$R165)/($W$1-$R$1))*(T$1-$R$1)+$R165</f>
        <v>32188.567999999999</v>
      </c>
      <c r="U165" s="6">
        <f>(($W165-$R165)/($W$1-$R$1))*(U$1-$R$1)+$R165</f>
        <v>32513.572</v>
      </c>
      <c r="V165" s="6">
        <f>(($W165-$R165)/($W$1-$R$1))*(V$1-$R$1)+$R165</f>
        <v>32838.576000000001</v>
      </c>
      <c r="W165" s="6">
        <v>33163.58</v>
      </c>
      <c r="X165" s="6">
        <f>(($AB165-$W165)/($AB$1-$W$1))*(X$1-$W$1)+$W165</f>
        <v>33688.644</v>
      </c>
      <c r="Y165" s="6">
        <f>(($AB165-$W165)/($AB$1-$W$1))*(Y$1-$W$1)+$W165</f>
        <v>34213.707999999999</v>
      </c>
      <c r="Z165" s="6">
        <f>(($AB165-$W165)/($AB$1-$W$1))*(Z$1-$W$1)+$W165</f>
        <v>34738.772000000004</v>
      </c>
      <c r="AA165" s="6">
        <f>(($AB165-$W165)/($AB$1-$W$1))*(AA$1-$W$1)+$W165</f>
        <v>35263.836000000003</v>
      </c>
      <c r="AB165" s="6">
        <v>35788.9</v>
      </c>
      <c r="AC165" s="6">
        <f>(($AG165-$AB165)/($AG$1-$AB$1))*(AC$1-$AB$1)+$AB165</f>
        <v>35901.82</v>
      </c>
      <c r="AD165" s="6">
        <f>(($AG165-$AB165)/($AG$1-$AB$1))*(AD$1-$AB$1)+$AB165</f>
        <v>36014.74</v>
      </c>
      <c r="AE165" s="6">
        <f>(($AG165-$AB165)/($AG$1-$AB$1))*(AE$1-$AB$1)+$AB165</f>
        <v>36127.660000000003</v>
      </c>
      <c r="AF165" s="6">
        <f>(($AG165-$AB165)/($AG$1-$AB$1))*(AF$1-$AB$1)+$AB165</f>
        <v>36240.58</v>
      </c>
      <c r="AG165" s="6">
        <v>36353.5</v>
      </c>
      <c r="AH165" s="9"/>
    </row>
    <row r="167" spans="1:34" x14ac:dyDescent="0.15">
      <c r="M167" s="6"/>
    </row>
    <row r="172" spans="1:34" x14ac:dyDescent="0.15">
      <c r="A172" s="5" t="s">
        <v>3700</v>
      </c>
    </row>
    <row r="178" spans="5:5" x14ac:dyDescent="0.15">
      <c r="E178" s="6"/>
    </row>
  </sheetData>
  <phoneticPr fontId="5" type="noConversion"/>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6BA5F-344A-1B46-83CC-8E31FB599E66}">
  <dimension ref="A1:O113"/>
  <sheetViews>
    <sheetView zoomScale="93" zoomScaleNormal="125" workbookViewId="0">
      <selection activeCell="C3" sqref="C3"/>
    </sheetView>
  </sheetViews>
  <sheetFormatPr baseColWidth="10" defaultRowHeight="13" x14ac:dyDescent="0.15"/>
  <cols>
    <col min="1" max="1" width="13.5" customWidth="1"/>
    <col min="2" max="2" width="16.33203125" customWidth="1"/>
    <col min="3" max="3" width="43.83203125" customWidth="1"/>
    <col min="4" max="4" width="27" customWidth="1"/>
    <col min="5" max="5" width="14.6640625" customWidth="1"/>
    <col min="6" max="6" width="15.33203125" customWidth="1"/>
    <col min="7" max="7" width="13.83203125" customWidth="1"/>
    <col min="26" max="26" width="10.83203125" customWidth="1"/>
  </cols>
  <sheetData>
    <row r="1" spans="1:13" x14ac:dyDescent="0.15">
      <c r="A1" s="5" t="s">
        <v>19</v>
      </c>
      <c r="B1" s="5" t="s">
        <v>89</v>
      </c>
      <c r="C1" s="5" t="s">
        <v>3696</v>
      </c>
      <c r="D1" s="5" t="s">
        <v>3688</v>
      </c>
      <c r="E1" s="5" t="s">
        <v>3699</v>
      </c>
      <c r="F1" s="5" t="s">
        <v>93</v>
      </c>
      <c r="G1" s="5" t="s">
        <v>106</v>
      </c>
      <c r="H1" s="5" t="s">
        <v>109</v>
      </c>
      <c r="I1" t="s">
        <v>114</v>
      </c>
      <c r="J1" t="s">
        <v>119</v>
      </c>
      <c r="K1" t="s">
        <v>124</v>
      </c>
      <c r="L1" t="s">
        <v>129</v>
      </c>
      <c r="M1" t="s">
        <v>134</v>
      </c>
    </row>
    <row r="2" spans="1:13" hidden="1" x14ac:dyDescent="0.15">
      <c r="A2" s="4" t="s">
        <v>0</v>
      </c>
      <c r="B2" s="5" t="s">
        <v>143</v>
      </c>
      <c r="C2" s="5" t="s">
        <v>3686</v>
      </c>
      <c r="D2" s="5" t="s">
        <v>165</v>
      </c>
      <c r="E2" s="5" t="s">
        <v>438</v>
      </c>
      <c r="F2" s="5" t="s">
        <v>96</v>
      </c>
      <c r="G2" s="56">
        <v>10357</v>
      </c>
      <c r="H2" s="11">
        <v>12423</v>
      </c>
      <c r="I2" s="10">
        <v>17872</v>
      </c>
      <c r="J2" s="10">
        <v>22818</v>
      </c>
      <c r="K2" s="10">
        <v>26403</v>
      </c>
      <c r="L2" s="10">
        <v>25148</v>
      </c>
      <c r="M2" s="10">
        <v>20759</v>
      </c>
    </row>
    <row r="3" spans="1:13" x14ac:dyDescent="0.15">
      <c r="A3" s="4" t="s">
        <v>0</v>
      </c>
      <c r="B3" s="4" t="s">
        <v>143</v>
      </c>
      <c r="C3" s="5" t="s">
        <v>3686</v>
      </c>
      <c r="D3" s="5" t="s">
        <v>165</v>
      </c>
      <c r="E3" s="5" t="s">
        <v>438</v>
      </c>
      <c r="F3" s="5" t="s">
        <v>94</v>
      </c>
      <c r="G3" s="56">
        <v>10357</v>
      </c>
      <c r="H3" s="11">
        <v>11606</v>
      </c>
      <c r="I3" s="10">
        <v>14527</v>
      </c>
      <c r="J3" s="10">
        <v>14482</v>
      </c>
      <c r="K3" s="10">
        <v>14174</v>
      </c>
      <c r="L3" s="10">
        <v>14943</v>
      </c>
      <c r="M3" s="10">
        <v>14343</v>
      </c>
    </row>
    <row r="4" spans="1:13" hidden="1" x14ac:dyDescent="0.15">
      <c r="A4" s="1" t="s">
        <v>103</v>
      </c>
      <c r="B4" s="1" t="s">
        <v>91</v>
      </c>
      <c r="C4" s="5" t="s">
        <v>3647</v>
      </c>
      <c r="D4" s="5" t="s">
        <v>3617</v>
      </c>
      <c r="E4" s="5" t="s">
        <v>151</v>
      </c>
      <c r="F4" s="5" t="s">
        <v>96</v>
      </c>
      <c r="G4" s="56">
        <v>0</v>
      </c>
      <c r="H4" s="11">
        <v>0</v>
      </c>
      <c r="I4" s="10">
        <v>0.43613600000000002</v>
      </c>
      <c r="J4" s="10">
        <v>2.5059999999999998</v>
      </c>
      <c r="K4" s="10">
        <v>13.811299999999999</v>
      </c>
      <c r="L4" s="10">
        <v>11.2171</v>
      </c>
      <c r="M4" s="10">
        <v>12.5443</v>
      </c>
    </row>
    <row r="5" spans="1:13" x14ac:dyDescent="0.15">
      <c r="A5" s="1" t="s">
        <v>103</v>
      </c>
      <c r="B5" s="1" t="s">
        <v>91</v>
      </c>
      <c r="C5" s="5" t="s">
        <v>3647</v>
      </c>
      <c r="D5" s="5" t="s">
        <v>3617</v>
      </c>
      <c r="E5" s="5" t="s">
        <v>151</v>
      </c>
      <c r="F5" s="5" t="s">
        <v>94</v>
      </c>
      <c r="G5" s="56">
        <v>0</v>
      </c>
      <c r="H5" s="11">
        <v>0</v>
      </c>
      <c r="I5" s="10">
        <v>0.190329</v>
      </c>
      <c r="J5" s="10">
        <v>1.08483</v>
      </c>
      <c r="K5" s="10">
        <v>6.3817899999999996</v>
      </c>
      <c r="L5" s="10">
        <v>7.3852500000000001</v>
      </c>
      <c r="M5" s="10">
        <v>8.3498300000000008</v>
      </c>
    </row>
    <row r="6" spans="1:13" hidden="1" x14ac:dyDescent="0.15">
      <c r="A6" s="4" t="s">
        <v>23</v>
      </c>
      <c r="B6" s="4" t="s">
        <v>20</v>
      </c>
      <c r="C6" s="5" t="s">
        <v>3645</v>
      </c>
      <c r="D6" s="5" t="s">
        <v>3624</v>
      </c>
      <c r="E6" s="5" t="s">
        <v>151</v>
      </c>
      <c r="F6" s="5" t="s">
        <v>96</v>
      </c>
      <c r="G6" s="11">
        <v>0.15861800000000001</v>
      </c>
      <c r="H6" s="10">
        <v>0.28235199999999999</v>
      </c>
      <c r="I6" s="10">
        <v>0.73109000000000002</v>
      </c>
      <c r="J6" s="10">
        <v>0.72846999999999995</v>
      </c>
      <c r="K6" s="10">
        <v>0.69159499999999996</v>
      </c>
      <c r="L6" s="10">
        <v>0.47279700000000002</v>
      </c>
      <c r="M6" s="10">
        <v>0.74607900000000005</v>
      </c>
    </row>
    <row r="7" spans="1:13" x14ac:dyDescent="0.15">
      <c r="A7" s="4" t="s">
        <v>23</v>
      </c>
      <c r="B7" s="4" t="s">
        <v>20</v>
      </c>
      <c r="C7" s="5" t="s">
        <v>3645</v>
      </c>
      <c r="D7" s="5" t="s">
        <v>3624</v>
      </c>
      <c r="E7" s="5" t="s">
        <v>151</v>
      </c>
      <c r="F7" s="5" t="s">
        <v>94</v>
      </c>
      <c r="G7" s="11">
        <v>0.15861800000000001</v>
      </c>
      <c r="H7" s="10">
        <v>0.17577799999999999</v>
      </c>
      <c r="I7" s="10">
        <v>0.314919</v>
      </c>
      <c r="J7" s="10">
        <v>0.28778799999999999</v>
      </c>
      <c r="K7" s="10">
        <v>0.25972899999999999</v>
      </c>
      <c r="L7" s="10">
        <v>0.329544</v>
      </c>
      <c r="M7" s="10">
        <v>0.40822599999999998</v>
      </c>
    </row>
    <row r="8" spans="1:13" hidden="1" x14ac:dyDescent="0.15">
      <c r="A8" s="4" t="s">
        <v>1</v>
      </c>
      <c r="B8" s="4" t="s">
        <v>91</v>
      </c>
      <c r="C8" s="5" t="s">
        <v>390</v>
      </c>
      <c r="D8" s="5" t="s">
        <v>175</v>
      </c>
      <c r="E8" s="5" t="s">
        <v>151</v>
      </c>
      <c r="F8" s="5" t="s">
        <v>96</v>
      </c>
      <c r="G8" s="11">
        <v>0.42084300000000002</v>
      </c>
      <c r="H8" s="10">
        <v>0.77033399999999996</v>
      </c>
      <c r="I8" s="10">
        <v>1.22404</v>
      </c>
      <c r="J8" s="10">
        <v>1.1326099999999999</v>
      </c>
      <c r="K8" s="10">
        <v>0.95422300000000004</v>
      </c>
      <c r="L8" s="10">
        <v>0.59882899999999994</v>
      </c>
      <c r="M8" s="10">
        <v>0.43118899999999999</v>
      </c>
    </row>
    <row r="9" spans="1:13" x14ac:dyDescent="0.15">
      <c r="A9" s="4" t="s">
        <v>1</v>
      </c>
      <c r="B9" s="4" t="s">
        <v>91</v>
      </c>
      <c r="C9" s="5" t="s">
        <v>390</v>
      </c>
      <c r="D9" s="5" t="s">
        <v>175</v>
      </c>
      <c r="E9" s="5" t="s">
        <v>151</v>
      </c>
      <c r="F9" s="5" t="s">
        <v>94</v>
      </c>
      <c r="G9" s="11">
        <v>0.42084300000000002</v>
      </c>
      <c r="H9" s="10">
        <v>0.420292</v>
      </c>
      <c r="I9" s="10">
        <v>0.39756200000000003</v>
      </c>
      <c r="J9" s="10">
        <v>0.39533099999999999</v>
      </c>
      <c r="K9" s="10">
        <v>0.41149999999999998</v>
      </c>
      <c r="L9" s="10">
        <v>0.465976</v>
      </c>
      <c r="M9" s="10">
        <v>0.503529</v>
      </c>
    </row>
    <row r="10" spans="1:13" hidden="1" x14ac:dyDescent="0.15">
      <c r="A10" s="5" t="s">
        <v>2</v>
      </c>
      <c r="B10" s="5" t="s">
        <v>20</v>
      </c>
      <c r="C10" s="5" t="s">
        <v>3646</v>
      </c>
      <c r="D10" s="5" t="s">
        <v>176</v>
      </c>
      <c r="E10" s="5" t="s">
        <v>151</v>
      </c>
      <c r="F10" s="5" t="s">
        <v>96</v>
      </c>
      <c r="G10" s="11">
        <v>50.316000000000003</v>
      </c>
      <c r="H10" s="10">
        <v>90.784300000000002</v>
      </c>
      <c r="I10" s="10">
        <v>194.749</v>
      </c>
      <c r="J10" s="10">
        <v>184.31</v>
      </c>
      <c r="K10" s="10">
        <v>150.32</v>
      </c>
      <c r="L10" s="10">
        <v>104.515</v>
      </c>
      <c r="M10" s="10">
        <v>155.083</v>
      </c>
    </row>
    <row r="11" spans="1:13" x14ac:dyDescent="0.15">
      <c r="A11" s="4" t="s">
        <v>2</v>
      </c>
      <c r="B11" s="4" t="s">
        <v>20</v>
      </c>
      <c r="C11" s="5" t="s">
        <v>3646</v>
      </c>
      <c r="D11" s="5" t="s">
        <v>176</v>
      </c>
      <c r="E11" s="5" t="s">
        <v>151</v>
      </c>
      <c r="F11" s="5" t="s">
        <v>94</v>
      </c>
      <c r="G11" s="11">
        <v>50.316000000000003</v>
      </c>
      <c r="H11" s="57">
        <v>54.177199999999999</v>
      </c>
      <c r="I11" s="57">
        <v>72.674999999999997</v>
      </c>
      <c r="J11" s="57">
        <v>70.675700000000006</v>
      </c>
      <c r="K11" s="57">
        <v>65.865600000000001</v>
      </c>
      <c r="L11" s="57">
        <v>81.292199999999994</v>
      </c>
      <c r="M11" s="57">
        <v>90.0715</v>
      </c>
    </row>
    <row r="12" spans="1:13" hidden="1" x14ac:dyDescent="0.15">
      <c r="A12" s="1" t="s">
        <v>3</v>
      </c>
      <c r="B12" s="4" t="s">
        <v>142</v>
      </c>
      <c r="C12" s="5" t="s">
        <v>3687</v>
      </c>
      <c r="D12" s="5" t="s">
        <v>149</v>
      </c>
      <c r="E12" s="5" t="s">
        <v>438</v>
      </c>
      <c r="F12" s="5" t="s">
        <v>96</v>
      </c>
      <c r="G12" s="11">
        <v>3.58853</v>
      </c>
      <c r="H12" s="57">
        <v>6.2296500000000004</v>
      </c>
      <c r="I12" s="57">
        <v>17.021100000000001</v>
      </c>
      <c r="J12" s="57">
        <v>17.720300000000002</v>
      </c>
      <c r="K12" s="57">
        <v>14.4376</v>
      </c>
      <c r="L12" s="57">
        <v>6.9508200000000002</v>
      </c>
      <c r="M12" s="57">
        <v>0</v>
      </c>
    </row>
    <row r="13" spans="1:13" hidden="1" x14ac:dyDescent="0.15">
      <c r="A13" s="1" t="s">
        <v>3</v>
      </c>
      <c r="B13" s="4" t="s">
        <v>21</v>
      </c>
      <c r="C13" s="5" t="s">
        <v>3687</v>
      </c>
      <c r="D13" s="5" t="s">
        <v>149</v>
      </c>
      <c r="E13" s="5" t="s">
        <v>438</v>
      </c>
      <c r="F13" s="5" t="s">
        <v>96</v>
      </c>
      <c r="G13" s="11">
        <v>64.560599999999994</v>
      </c>
      <c r="H13" s="57">
        <v>130.41800000000001</v>
      </c>
      <c r="I13" s="57">
        <v>187.99299999999999</v>
      </c>
      <c r="J13" s="57">
        <v>230.828</v>
      </c>
      <c r="K13" s="57">
        <v>243.97200000000001</v>
      </c>
      <c r="L13" s="57">
        <v>278.214</v>
      </c>
      <c r="M13" s="57">
        <v>290.55700000000002</v>
      </c>
    </row>
    <row r="14" spans="1:13" hidden="1" x14ac:dyDescent="0.15">
      <c r="A14" s="1" t="s">
        <v>3</v>
      </c>
      <c r="B14" s="4" t="s">
        <v>22</v>
      </c>
      <c r="C14" s="5" t="s">
        <v>3687</v>
      </c>
      <c r="D14" s="5" t="s">
        <v>149</v>
      </c>
      <c r="E14" s="5" t="s">
        <v>438</v>
      </c>
      <c r="F14" s="5" t="s">
        <v>96</v>
      </c>
      <c r="G14" s="11">
        <v>1.07346E-2</v>
      </c>
      <c r="H14" s="57">
        <v>0.15110100000000001</v>
      </c>
      <c r="I14" s="57">
        <v>0.30206699999999997</v>
      </c>
      <c r="J14" s="57">
        <v>0.20594499999999999</v>
      </c>
      <c r="K14" s="57">
        <v>8.07919E-2</v>
      </c>
      <c r="L14" s="57">
        <v>5.5419099999999999E-2</v>
      </c>
      <c r="M14" s="77">
        <v>7.5869000000000006E-2</v>
      </c>
    </row>
    <row r="15" spans="1:13" x14ac:dyDescent="0.15">
      <c r="A15" s="1" t="s">
        <v>3</v>
      </c>
      <c r="B15" s="4" t="s">
        <v>21</v>
      </c>
      <c r="C15" s="5" t="s">
        <v>3687</v>
      </c>
      <c r="D15" s="5" t="s">
        <v>149</v>
      </c>
      <c r="E15" s="5" t="s">
        <v>438</v>
      </c>
      <c r="F15" s="5" t="s">
        <v>94</v>
      </c>
      <c r="G15" s="11">
        <v>64.560599999999994</v>
      </c>
      <c r="H15" s="57">
        <v>66.370099999999994</v>
      </c>
      <c r="I15" s="57">
        <v>73.937399999999997</v>
      </c>
      <c r="J15" s="57">
        <v>77.672799999999995</v>
      </c>
      <c r="K15" s="57">
        <v>105.309</v>
      </c>
      <c r="L15" s="57">
        <v>133.98699999999999</v>
      </c>
      <c r="M15" s="57">
        <v>145.613</v>
      </c>
    </row>
    <row r="16" spans="1:13" x14ac:dyDescent="0.15">
      <c r="A16" s="1" t="s">
        <v>3</v>
      </c>
      <c r="B16" s="4" t="s">
        <v>142</v>
      </c>
      <c r="C16" s="5" t="s">
        <v>3687</v>
      </c>
      <c r="D16" s="5" t="s">
        <v>149</v>
      </c>
      <c r="E16" s="5" t="s">
        <v>438</v>
      </c>
      <c r="F16" s="5" t="s">
        <v>94</v>
      </c>
      <c r="G16" s="11">
        <v>3.58853</v>
      </c>
      <c r="H16" s="11">
        <v>3.0903999999999998</v>
      </c>
      <c r="I16" s="10">
        <v>5.45465</v>
      </c>
      <c r="J16" s="10">
        <v>6.1734099999999996</v>
      </c>
      <c r="K16" s="10">
        <v>4.7454299999999998</v>
      </c>
      <c r="L16" s="10">
        <v>2.2589100000000002</v>
      </c>
      <c r="M16" s="10">
        <v>0</v>
      </c>
    </row>
    <row r="17" spans="1:15" x14ac:dyDescent="0.15">
      <c r="A17" s="1" t="s">
        <v>3</v>
      </c>
      <c r="B17" s="4" t="s">
        <v>22</v>
      </c>
      <c r="C17" s="5" t="s">
        <v>3687</v>
      </c>
      <c r="D17" s="5" t="s">
        <v>149</v>
      </c>
      <c r="E17" s="5" t="s">
        <v>438</v>
      </c>
      <c r="F17" s="5" t="s">
        <v>94</v>
      </c>
      <c r="G17" s="11">
        <v>1.07346E-2</v>
      </c>
      <c r="H17" s="11">
        <v>1.0315700000000001E-2</v>
      </c>
      <c r="I17" s="10">
        <v>1.39028E-2</v>
      </c>
      <c r="J17" s="10">
        <v>7.3681199999999997E-3</v>
      </c>
      <c r="K17" s="10">
        <v>3.2998300000000001E-3</v>
      </c>
      <c r="L17" s="10">
        <v>3.56164E-3</v>
      </c>
      <c r="M17" s="10">
        <v>4.9536600000000004E-3</v>
      </c>
    </row>
    <row r="18" spans="1:15" hidden="1" x14ac:dyDescent="0.15">
      <c r="A18" s="1" t="s">
        <v>4</v>
      </c>
      <c r="B18" s="1" t="s">
        <v>142</v>
      </c>
      <c r="C18" s="5" t="s">
        <v>3630</v>
      </c>
      <c r="D18" s="5" t="s">
        <v>150</v>
      </c>
      <c r="E18" s="5" t="s">
        <v>438</v>
      </c>
      <c r="F18" s="5" t="s">
        <v>96</v>
      </c>
      <c r="G18" s="11">
        <v>20.4468</v>
      </c>
      <c r="H18" s="11">
        <v>77.495000000000005</v>
      </c>
      <c r="I18" s="10">
        <v>258.15100000000001</v>
      </c>
      <c r="J18" s="10">
        <v>440.85899999999998</v>
      </c>
      <c r="K18" s="10">
        <v>685.31600000000003</v>
      </c>
      <c r="L18" s="10">
        <v>733.83</v>
      </c>
      <c r="M18" s="10">
        <v>665.15700000000004</v>
      </c>
    </row>
    <row r="19" spans="1:15" hidden="1" x14ac:dyDescent="0.15">
      <c r="A19" s="1" t="s">
        <v>4</v>
      </c>
      <c r="B19" s="1" t="s">
        <v>143</v>
      </c>
      <c r="C19" s="5" t="s">
        <v>3630</v>
      </c>
      <c r="D19" s="5" t="s">
        <v>150</v>
      </c>
      <c r="E19" s="5" t="s">
        <v>438</v>
      </c>
      <c r="F19" s="5" t="s">
        <v>96</v>
      </c>
      <c r="G19" s="11">
        <v>4181.6099999999997</v>
      </c>
      <c r="H19" s="11">
        <v>5024.26</v>
      </c>
      <c r="I19" s="10">
        <v>8923.6</v>
      </c>
      <c r="J19" s="10">
        <v>11444.5</v>
      </c>
      <c r="K19" s="10">
        <v>12574.4</v>
      </c>
      <c r="L19" s="10">
        <v>11756.9</v>
      </c>
      <c r="M19" s="10">
        <v>9777.84</v>
      </c>
    </row>
    <row r="20" spans="1:15" hidden="1" x14ac:dyDescent="0.15">
      <c r="A20" s="1" t="s">
        <v>4</v>
      </c>
      <c r="B20" s="1" t="s">
        <v>21</v>
      </c>
      <c r="C20" s="5" t="s">
        <v>3630</v>
      </c>
      <c r="D20" s="5" t="s">
        <v>150</v>
      </c>
      <c r="E20" s="5" t="s">
        <v>438</v>
      </c>
      <c r="F20" s="5" t="s">
        <v>96</v>
      </c>
      <c r="G20" s="11">
        <v>373.33100000000002</v>
      </c>
      <c r="H20" s="11">
        <v>1152.05</v>
      </c>
      <c r="I20" s="10">
        <v>2703.91</v>
      </c>
      <c r="J20" s="10">
        <v>3799.47</v>
      </c>
      <c r="K20" s="10">
        <v>3883.62</v>
      </c>
      <c r="L20" s="10">
        <v>3897.36</v>
      </c>
      <c r="M20" s="10">
        <v>3582.92</v>
      </c>
      <c r="O20" s="10"/>
    </row>
    <row r="21" spans="1:15" hidden="1" x14ac:dyDescent="0.15">
      <c r="A21" s="1" t="s">
        <v>4</v>
      </c>
      <c r="B21" s="1" t="s">
        <v>91</v>
      </c>
      <c r="C21" s="5" t="s">
        <v>3630</v>
      </c>
      <c r="D21" s="5" t="s">
        <v>150</v>
      </c>
      <c r="E21" s="5" t="s">
        <v>438</v>
      </c>
      <c r="F21" s="5" t="s">
        <v>96</v>
      </c>
      <c r="G21" s="11">
        <v>681.64499999999998</v>
      </c>
      <c r="H21" s="11">
        <v>1258.76</v>
      </c>
      <c r="I21" s="10">
        <v>1990.3</v>
      </c>
      <c r="J21" s="10">
        <v>2062.5</v>
      </c>
      <c r="K21" s="10">
        <v>2026.35</v>
      </c>
      <c r="L21" s="10">
        <v>1673.7</v>
      </c>
      <c r="M21" s="10">
        <v>1879.78</v>
      </c>
    </row>
    <row r="22" spans="1:15" hidden="1" x14ac:dyDescent="0.15">
      <c r="A22" s="1" t="s">
        <v>4</v>
      </c>
      <c r="B22" s="1" t="s">
        <v>20</v>
      </c>
      <c r="C22" s="5" t="s">
        <v>3630</v>
      </c>
      <c r="D22" s="5" t="s">
        <v>150</v>
      </c>
      <c r="E22" s="5" t="s">
        <v>438</v>
      </c>
      <c r="F22" s="5" t="s">
        <v>96</v>
      </c>
      <c r="G22" s="11">
        <v>393.79199999999997</v>
      </c>
      <c r="H22" s="11">
        <v>704.90800000000002</v>
      </c>
      <c r="I22" s="10">
        <v>1630.04</v>
      </c>
      <c r="J22" s="10">
        <v>1542.65</v>
      </c>
      <c r="K22" s="10">
        <v>1327.88</v>
      </c>
      <c r="L22" s="10">
        <v>881.42200000000003</v>
      </c>
      <c r="M22" s="10">
        <v>1303.25</v>
      </c>
    </row>
    <row r="23" spans="1:15" x14ac:dyDescent="0.15">
      <c r="A23" s="1" t="s">
        <v>4</v>
      </c>
      <c r="B23" s="1" t="s">
        <v>91</v>
      </c>
      <c r="C23" s="5" t="s">
        <v>3630</v>
      </c>
      <c r="D23" s="5" t="s">
        <v>150</v>
      </c>
      <c r="E23" s="5" t="s">
        <v>438</v>
      </c>
      <c r="F23" s="5" t="s">
        <v>94</v>
      </c>
      <c r="G23" s="11">
        <v>681.64499999999998</v>
      </c>
      <c r="H23" s="11">
        <v>778.95399999999995</v>
      </c>
      <c r="I23" s="10">
        <v>907.25199999999995</v>
      </c>
      <c r="J23" s="10">
        <v>924.8</v>
      </c>
      <c r="K23" s="10">
        <v>958.76599999999996</v>
      </c>
      <c r="L23" s="10">
        <v>1122.06</v>
      </c>
      <c r="M23" s="10">
        <v>1261.6600000000001</v>
      </c>
    </row>
    <row r="24" spans="1:15" x14ac:dyDescent="0.15">
      <c r="A24" s="1" t="s">
        <v>4</v>
      </c>
      <c r="B24" s="1" t="s">
        <v>20</v>
      </c>
      <c r="C24" s="5" t="s">
        <v>3630</v>
      </c>
      <c r="D24" s="5" t="s">
        <v>150</v>
      </c>
      <c r="E24" s="5" t="s">
        <v>438</v>
      </c>
      <c r="F24" s="5" t="s">
        <v>94</v>
      </c>
      <c r="G24" s="11">
        <v>393.79199999999997</v>
      </c>
      <c r="H24" s="11">
        <v>427.76499999999999</v>
      </c>
      <c r="I24" s="10">
        <v>646.33299999999997</v>
      </c>
      <c r="J24" s="10">
        <v>595.255</v>
      </c>
      <c r="K24" s="10">
        <v>532.29</v>
      </c>
      <c r="L24" s="10">
        <v>639.00599999999997</v>
      </c>
      <c r="M24" s="10">
        <v>720.63400000000001</v>
      </c>
    </row>
    <row r="25" spans="1:15" x14ac:dyDescent="0.15">
      <c r="A25" s="1" t="s">
        <v>4</v>
      </c>
      <c r="B25" s="1" t="s">
        <v>21</v>
      </c>
      <c r="C25" s="5" t="s">
        <v>3630</v>
      </c>
      <c r="D25" s="5" t="s">
        <v>150</v>
      </c>
      <c r="E25" s="5" t="s">
        <v>438</v>
      </c>
      <c r="F25" s="5" t="s">
        <v>94</v>
      </c>
      <c r="G25" s="11">
        <v>373.33100000000002</v>
      </c>
      <c r="H25" s="11">
        <v>579.78499999999997</v>
      </c>
      <c r="I25" s="10">
        <v>1044.1400000000001</v>
      </c>
      <c r="J25" s="10">
        <v>1219.21</v>
      </c>
      <c r="K25" s="10">
        <v>1421.16</v>
      </c>
      <c r="L25" s="10">
        <v>1457.66</v>
      </c>
      <c r="M25" s="10">
        <v>1345.87</v>
      </c>
    </row>
    <row r="26" spans="1:15" x14ac:dyDescent="0.15">
      <c r="A26" s="1" t="s">
        <v>4</v>
      </c>
      <c r="B26" s="1" t="s">
        <v>142</v>
      </c>
      <c r="C26" s="5" t="s">
        <v>3630</v>
      </c>
      <c r="D26" s="5" t="s">
        <v>150</v>
      </c>
      <c r="E26" s="5" t="s">
        <v>438</v>
      </c>
      <c r="F26" s="5" t="s">
        <v>94</v>
      </c>
      <c r="G26" s="11">
        <v>20.4468</v>
      </c>
      <c r="H26" s="11">
        <v>38.4437</v>
      </c>
      <c r="I26" s="10">
        <v>82.727900000000005</v>
      </c>
      <c r="J26" s="10">
        <v>153.58699999999999</v>
      </c>
      <c r="K26" s="10">
        <v>225.25299999999999</v>
      </c>
      <c r="L26" s="10">
        <v>238.48400000000001</v>
      </c>
      <c r="M26" s="10">
        <v>219.72399999999999</v>
      </c>
    </row>
    <row r="27" spans="1:15" x14ac:dyDescent="0.15">
      <c r="A27" s="1" t="s">
        <v>4</v>
      </c>
      <c r="B27" s="1" t="s">
        <v>143</v>
      </c>
      <c r="C27" s="5" t="s">
        <v>3630</v>
      </c>
      <c r="D27" s="5" t="s">
        <v>150</v>
      </c>
      <c r="E27" s="5" t="s">
        <v>438</v>
      </c>
      <c r="F27" s="5" t="s">
        <v>94</v>
      </c>
      <c r="G27" s="11">
        <v>4181.6099999999997</v>
      </c>
      <c r="H27" s="10">
        <v>4578.91</v>
      </c>
      <c r="I27" s="10">
        <v>6510.25</v>
      </c>
      <c r="J27" s="10">
        <v>6510.83</v>
      </c>
      <c r="K27" s="10">
        <v>6582.4</v>
      </c>
      <c r="L27" s="10">
        <v>7113.43</v>
      </c>
      <c r="M27" s="10">
        <v>6982.32</v>
      </c>
    </row>
    <row r="28" spans="1:15" hidden="1" x14ac:dyDescent="0.15">
      <c r="A28" s="1" t="s">
        <v>138</v>
      </c>
      <c r="B28" s="1" t="s">
        <v>21</v>
      </c>
      <c r="C28" s="5" t="s">
        <v>355</v>
      </c>
      <c r="D28" s="5" t="s">
        <v>155</v>
      </c>
      <c r="E28" s="5" t="s">
        <v>151</v>
      </c>
      <c r="F28" s="5" t="s">
        <v>96</v>
      </c>
      <c r="G28" s="10">
        <v>0.41256700000000002</v>
      </c>
      <c r="H28" s="10">
        <v>1.3304400000000001</v>
      </c>
      <c r="I28" s="10">
        <v>2.6114700000000002</v>
      </c>
      <c r="J28" s="10">
        <v>3.4509599999999998</v>
      </c>
      <c r="K28" s="10">
        <v>3.3506</v>
      </c>
      <c r="L28" s="10">
        <v>3.6247600000000002</v>
      </c>
      <c r="M28" s="10">
        <v>3.7072600000000002</v>
      </c>
    </row>
    <row r="29" spans="1:15" hidden="1" x14ac:dyDescent="0.15">
      <c r="A29" s="1" t="s">
        <v>138</v>
      </c>
      <c r="B29" s="1" t="s">
        <v>20</v>
      </c>
      <c r="C29" s="5" t="s">
        <v>355</v>
      </c>
      <c r="D29" s="5" t="s">
        <v>155</v>
      </c>
      <c r="E29" s="5" t="s">
        <v>151</v>
      </c>
      <c r="F29" s="5" t="s">
        <v>96</v>
      </c>
      <c r="G29" s="10">
        <v>0.62806300000000004</v>
      </c>
      <c r="H29" s="10">
        <v>1.1049100000000001</v>
      </c>
      <c r="I29" s="10">
        <v>2.5857100000000002</v>
      </c>
      <c r="J29" s="10">
        <v>2.44984</v>
      </c>
      <c r="K29" s="10">
        <v>2.1268899999999999</v>
      </c>
      <c r="L29" s="10">
        <v>1.4032199999999999</v>
      </c>
      <c r="M29" s="10">
        <v>2.0714899999999998</v>
      </c>
    </row>
    <row r="30" spans="1:15" x14ac:dyDescent="0.15">
      <c r="A30" s="1" t="s">
        <v>138</v>
      </c>
      <c r="B30" s="1" t="s">
        <v>20</v>
      </c>
      <c r="C30" s="5" t="s">
        <v>355</v>
      </c>
      <c r="D30" s="5" t="s">
        <v>155</v>
      </c>
      <c r="E30" s="5" t="s">
        <v>151</v>
      </c>
      <c r="F30" s="5" t="s">
        <v>94</v>
      </c>
      <c r="G30" s="10">
        <v>0.62806300000000004</v>
      </c>
      <c r="H30" s="10">
        <v>0.67679999999999996</v>
      </c>
      <c r="I30" s="10">
        <v>1.06196</v>
      </c>
      <c r="J30" s="10">
        <v>0.96148400000000001</v>
      </c>
      <c r="K30" s="10">
        <v>0.85091700000000003</v>
      </c>
      <c r="L30" s="10">
        <v>1.03322</v>
      </c>
      <c r="M30" s="10">
        <v>1.1855</v>
      </c>
    </row>
    <row r="31" spans="1:15" x14ac:dyDescent="0.15">
      <c r="A31" s="1" t="s">
        <v>138</v>
      </c>
      <c r="B31" s="1" t="s">
        <v>21</v>
      </c>
      <c r="C31" s="5" t="s">
        <v>355</v>
      </c>
      <c r="D31" s="5" t="s">
        <v>155</v>
      </c>
      <c r="E31" s="5" t="s">
        <v>151</v>
      </c>
      <c r="F31" s="5" t="s">
        <v>94</v>
      </c>
      <c r="G31" s="10">
        <v>0.41256700000000002</v>
      </c>
      <c r="H31" s="10">
        <v>0.74146599999999996</v>
      </c>
      <c r="I31" s="10">
        <v>1.20638</v>
      </c>
      <c r="J31" s="10">
        <v>1.47787</v>
      </c>
      <c r="K31" s="10">
        <v>1.8398399999999999</v>
      </c>
      <c r="L31" s="10">
        <v>2.12784</v>
      </c>
      <c r="M31" s="10">
        <v>2.2348499999999998</v>
      </c>
    </row>
    <row r="32" spans="1:15" hidden="1" x14ac:dyDescent="0.15">
      <c r="A32" s="1" t="s">
        <v>3693</v>
      </c>
      <c r="B32" s="1" t="s">
        <v>21</v>
      </c>
      <c r="C32" s="5" t="s">
        <v>370</v>
      </c>
      <c r="D32" s="5" t="s">
        <v>371</v>
      </c>
      <c r="E32" s="5" t="s">
        <v>151</v>
      </c>
      <c r="F32" s="5" t="s">
        <v>96</v>
      </c>
      <c r="G32" s="11">
        <v>37.684800000000003</v>
      </c>
      <c r="H32" s="10">
        <v>56.451500000000003</v>
      </c>
      <c r="I32" s="10">
        <v>188.96600000000001</v>
      </c>
      <c r="J32" s="10">
        <v>408.1925</v>
      </c>
      <c r="K32" s="10">
        <v>563.06500000000005</v>
      </c>
      <c r="L32" s="10">
        <v>783.06</v>
      </c>
      <c r="M32" s="10">
        <v>963.36500000000001</v>
      </c>
    </row>
    <row r="33" spans="1:13" hidden="1" x14ac:dyDescent="0.15">
      <c r="A33" s="1" t="s">
        <v>3693</v>
      </c>
      <c r="B33" s="1" t="s">
        <v>20</v>
      </c>
      <c r="C33" s="5" t="s">
        <v>370</v>
      </c>
      <c r="D33" s="5" t="s">
        <v>371</v>
      </c>
      <c r="E33" s="5" t="s">
        <v>151</v>
      </c>
      <c r="F33" s="5" t="s">
        <v>96</v>
      </c>
      <c r="G33" s="11">
        <v>79.9953</v>
      </c>
      <c r="H33" s="10">
        <v>144.40199999999999</v>
      </c>
      <c r="I33" s="10">
        <v>307.75</v>
      </c>
      <c r="J33" s="10">
        <v>289.84500000000003</v>
      </c>
      <c r="K33" s="10">
        <v>234.41399999999999</v>
      </c>
      <c r="L33" s="10">
        <v>163.25200000000001</v>
      </c>
      <c r="M33" s="10">
        <v>241.88900000000001</v>
      </c>
    </row>
    <row r="34" spans="1:13" x14ac:dyDescent="0.15">
      <c r="A34" s="1" t="s">
        <v>3693</v>
      </c>
      <c r="B34" s="1" t="s">
        <v>20</v>
      </c>
      <c r="C34" s="5" t="s">
        <v>370</v>
      </c>
      <c r="D34" s="5" t="s">
        <v>371</v>
      </c>
      <c r="E34" s="5" t="s">
        <v>151</v>
      </c>
      <c r="F34" s="5" t="s">
        <v>94</v>
      </c>
      <c r="G34" s="11">
        <v>79.9953</v>
      </c>
      <c r="H34" s="10">
        <v>86.051400000000001</v>
      </c>
      <c r="I34" s="10">
        <v>114.161</v>
      </c>
      <c r="J34" s="10">
        <v>111.021</v>
      </c>
      <c r="K34" s="10">
        <v>103.289</v>
      </c>
      <c r="L34" s="10">
        <v>127.459</v>
      </c>
      <c r="M34" s="10">
        <v>140.78700000000001</v>
      </c>
    </row>
    <row r="35" spans="1:13" x14ac:dyDescent="0.15">
      <c r="A35" s="1" t="s">
        <v>3693</v>
      </c>
      <c r="B35" s="1" t="s">
        <v>21</v>
      </c>
      <c r="C35" s="5" t="s">
        <v>370</v>
      </c>
      <c r="D35" s="5" t="s">
        <v>371</v>
      </c>
      <c r="E35" s="5" t="s">
        <v>151</v>
      </c>
      <c r="F35" s="5" t="s">
        <v>94</v>
      </c>
      <c r="G35" s="11">
        <v>37.684800000000003</v>
      </c>
      <c r="H35" s="10">
        <v>28.94595</v>
      </c>
      <c r="I35" s="10">
        <v>76.1785</v>
      </c>
      <c r="J35" s="10">
        <v>149.029</v>
      </c>
      <c r="K35" s="10">
        <v>260.7355</v>
      </c>
      <c r="L35" s="10">
        <v>400.78949999999998</v>
      </c>
      <c r="M35" s="10">
        <v>496.97199999999998</v>
      </c>
    </row>
    <row r="36" spans="1:13" hidden="1" x14ac:dyDescent="0.15">
      <c r="A36" s="1" t="s">
        <v>3694</v>
      </c>
      <c r="B36" s="1" t="s">
        <v>91</v>
      </c>
      <c r="C36" s="5" t="s">
        <v>362</v>
      </c>
      <c r="D36" s="5" t="s">
        <v>189</v>
      </c>
      <c r="E36" s="5" t="s">
        <v>151</v>
      </c>
      <c r="F36" s="5" t="s">
        <v>96</v>
      </c>
      <c r="G36" s="11">
        <v>0.25209999999999999</v>
      </c>
      <c r="H36" s="10">
        <v>0.48078700000000002</v>
      </c>
      <c r="I36" s="10">
        <v>0.78315699999999999</v>
      </c>
      <c r="J36" s="10">
        <v>0.80165500000000001</v>
      </c>
      <c r="K36" s="10">
        <v>0.78648300000000004</v>
      </c>
      <c r="L36" s="10">
        <v>0.63642500000000002</v>
      </c>
      <c r="M36" s="10">
        <v>0.70857000000000003</v>
      </c>
    </row>
    <row r="37" spans="1:13" hidden="1" x14ac:dyDescent="0.15">
      <c r="A37" s="1" t="s">
        <v>3694</v>
      </c>
      <c r="B37" s="1" t="s">
        <v>20</v>
      </c>
      <c r="C37" s="5" t="s">
        <v>362</v>
      </c>
      <c r="D37" s="5" t="s">
        <v>189</v>
      </c>
      <c r="E37" s="5" t="s">
        <v>151</v>
      </c>
      <c r="F37" s="5" t="s">
        <v>96</v>
      </c>
      <c r="G37" s="11">
        <v>36.5381</v>
      </c>
      <c r="H37" s="10">
        <v>66.064899999999994</v>
      </c>
      <c r="I37" s="10">
        <v>137.63300000000001</v>
      </c>
      <c r="J37" s="10">
        <v>128.91200000000001</v>
      </c>
      <c r="K37" s="10">
        <v>101.849</v>
      </c>
      <c r="L37" s="10">
        <v>71.034800000000004</v>
      </c>
      <c r="M37" s="10">
        <v>103.887</v>
      </c>
    </row>
    <row r="38" spans="1:13" x14ac:dyDescent="0.15">
      <c r="A38" s="1" t="s">
        <v>3694</v>
      </c>
      <c r="B38" s="1" t="s">
        <v>91</v>
      </c>
      <c r="C38" s="5" t="s">
        <v>362</v>
      </c>
      <c r="D38" s="5" t="s">
        <v>189</v>
      </c>
      <c r="E38" s="5" t="s">
        <v>151</v>
      </c>
      <c r="F38" s="5" t="s">
        <v>94</v>
      </c>
      <c r="G38" s="11">
        <v>0.25209999999999999</v>
      </c>
      <c r="H38" s="10">
        <v>0.28875200000000001</v>
      </c>
      <c r="I38" s="10">
        <v>0.34216099999999999</v>
      </c>
      <c r="J38" s="10">
        <v>0.34743000000000002</v>
      </c>
      <c r="K38" s="10">
        <v>0.36375299999999999</v>
      </c>
      <c r="L38" s="10">
        <v>0.41937099999999999</v>
      </c>
      <c r="M38" s="10">
        <v>0.47185500000000002</v>
      </c>
    </row>
    <row r="39" spans="1:13" x14ac:dyDescent="0.15">
      <c r="A39" s="1" t="s">
        <v>3694</v>
      </c>
      <c r="B39" s="1" t="s">
        <v>20</v>
      </c>
      <c r="C39" s="5" t="s">
        <v>362</v>
      </c>
      <c r="D39" s="5" t="s">
        <v>189</v>
      </c>
      <c r="E39" s="5" t="s">
        <v>151</v>
      </c>
      <c r="F39" s="5" t="s">
        <v>94</v>
      </c>
      <c r="G39" s="11">
        <v>36.5381</v>
      </c>
      <c r="H39" s="10">
        <v>39.186799999999998</v>
      </c>
      <c r="I39" s="10">
        <v>49.976599999999998</v>
      </c>
      <c r="J39" s="10">
        <v>49.156999999999996</v>
      </c>
      <c r="K39" s="10">
        <v>46.0379</v>
      </c>
      <c r="L39" s="10">
        <v>56.488999999999997</v>
      </c>
      <c r="M39" s="10">
        <v>61.148899999999998</v>
      </c>
    </row>
    <row r="40" spans="1:13" hidden="1" x14ac:dyDescent="0.15">
      <c r="A40" s="1" t="s">
        <v>5</v>
      </c>
      <c r="B40" s="1" t="s">
        <v>91</v>
      </c>
      <c r="C40" s="5" t="s">
        <v>382</v>
      </c>
      <c r="D40" s="5" t="s">
        <v>182</v>
      </c>
      <c r="E40" s="5" t="s">
        <v>151</v>
      </c>
      <c r="F40" s="5" t="s">
        <v>96</v>
      </c>
      <c r="G40" s="11">
        <v>8.6854800000000006E-3</v>
      </c>
      <c r="H40" s="10">
        <v>1.6431100000000001E-2</v>
      </c>
      <c r="I40" s="10">
        <v>0.19705300000000001</v>
      </c>
      <c r="J40" s="10">
        <v>1.0224500000000001</v>
      </c>
      <c r="K40" s="10">
        <v>5.5312299999999999</v>
      </c>
      <c r="L40" s="10">
        <v>4.4885900000000003</v>
      </c>
      <c r="M40" s="10">
        <v>5.0156299999999998</v>
      </c>
    </row>
    <row r="41" spans="1:13" x14ac:dyDescent="0.15">
      <c r="A41" s="1" t="s">
        <v>5</v>
      </c>
      <c r="B41" s="1" t="s">
        <v>91</v>
      </c>
      <c r="C41" s="5" t="s">
        <v>382</v>
      </c>
      <c r="D41" s="5" t="s">
        <v>182</v>
      </c>
      <c r="E41" s="5" t="s">
        <v>151</v>
      </c>
      <c r="F41" s="5" t="s">
        <v>94</v>
      </c>
      <c r="G41" s="11">
        <v>8.6854800000000006E-3</v>
      </c>
      <c r="H41" s="10">
        <v>1.03628E-2</v>
      </c>
      <c r="I41" s="10">
        <v>8.7645399999999998E-2</v>
      </c>
      <c r="J41" s="10">
        <v>0.44446000000000002</v>
      </c>
      <c r="K41" s="10">
        <v>2.5579399999999999</v>
      </c>
      <c r="L41" s="10">
        <v>2.9581400000000002</v>
      </c>
      <c r="M41" s="10">
        <v>3.3420899999999998</v>
      </c>
    </row>
    <row r="42" spans="1:13" hidden="1" x14ac:dyDescent="0.15">
      <c r="A42" s="1" t="s">
        <v>24</v>
      </c>
      <c r="B42" s="1" t="s">
        <v>142</v>
      </c>
      <c r="C42" s="5" t="s">
        <v>3648</v>
      </c>
      <c r="D42" s="5" t="s">
        <v>3689</v>
      </c>
      <c r="E42" s="5" t="s">
        <v>177</v>
      </c>
      <c r="F42" s="5" t="s">
        <v>96</v>
      </c>
      <c r="G42" s="11">
        <v>29.8398</v>
      </c>
      <c r="H42" s="10">
        <v>104.279</v>
      </c>
      <c r="I42" s="10">
        <v>334.95499999999998</v>
      </c>
      <c r="J42" s="10">
        <v>548.09799999999996</v>
      </c>
      <c r="K42" s="10">
        <v>812.99699999999996</v>
      </c>
      <c r="L42" s="10">
        <v>838.38099999999997</v>
      </c>
      <c r="M42" s="10">
        <v>742.13300000000004</v>
      </c>
    </row>
    <row r="43" spans="1:13" hidden="1" x14ac:dyDescent="0.15">
      <c r="A43" s="1" t="s">
        <v>24</v>
      </c>
      <c r="B43" s="1" t="s">
        <v>21</v>
      </c>
      <c r="C43" s="5" t="s">
        <v>3648</v>
      </c>
      <c r="D43" s="5" t="s">
        <v>3689</v>
      </c>
      <c r="E43" s="5" t="s">
        <v>177</v>
      </c>
      <c r="F43" s="5" t="s">
        <v>96</v>
      </c>
      <c r="G43" s="11">
        <v>557.20100000000002</v>
      </c>
      <c r="H43" s="10">
        <v>1844.36</v>
      </c>
      <c r="I43" s="10">
        <v>4114.97</v>
      </c>
      <c r="J43" s="10">
        <v>5486.07</v>
      </c>
      <c r="K43" s="10">
        <v>4540.3999999999996</v>
      </c>
      <c r="L43" s="10">
        <v>3786.42</v>
      </c>
      <c r="M43" s="10">
        <v>2726.08</v>
      </c>
    </row>
    <row r="44" spans="1:13" x14ac:dyDescent="0.15">
      <c r="A44" s="1" t="s">
        <v>24</v>
      </c>
      <c r="B44" s="1" t="s">
        <v>21</v>
      </c>
      <c r="C44" s="5" t="s">
        <v>3648</v>
      </c>
      <c r="D44" s="5" t="s">
        <v>3689</v>
      </c>
      <c r="E44" s="5" t="s">
        <v>177</v>
      </c>
      <c r="F44" s="5" t="s">
        <v>94</v>
      </c>
      <c r="G44" s="11">
        <v>557.20100000000002</v>
      </c>
      <c r="H44" s="10">
        <v>935.66700000000003</v>
      </c>
      <c r="I44" s="10">
        <v>1590.25</v>
      </c>
      <c r="J44" s="10">
        <v>1781.78</v>
      </c>
      <c r="K44" s="10">
        <v>1690.57</v>
      </c>
      <c r="L44" s="10">
        <v>1491.75</v>
      </c>
      <c r="M44" s="10">
        <v>1077.4000000000001</v>
      </c>
    </row>
    <row r="45" spans="1:13" x14ac:dyDescent="0.15">
      <c r="A45" s="1" t="s">
        <v>24</v>
      </c>
      <c r="B45" s="1" t="s">
        <v>142</v>
      </c>
      <c r="C45" s="5" t="s">
        <v>3648</v>
      </c>
      <c r="D45" s="5" t="s">
        <v>3689</v>
      </c>
      <c r="E45" s="5" t="s">
        <v>177</v>
      </c>
      <c r="F45" s="5" t="s">
        <v>94</v>
      </c>
      <c r="G45" s="11">
        <v>29.8398</v>
      </c>
      <c r="H45" s="10">
        <v>51.730899999999998</v>
      </c>
      <c r="I45" s="10">
        <v>107.34099999999999</v>
      </c>
      <c r="J45" s="10">
        <v>190.947</v>
      </c>
      <c r="K45" s="10">
        <v>267.22000000000003</v>
      </c>
      <c r="L45" s="10">
        <v>272.46100000000001</v>
      </c>
      <c r="M45" s="10">
        <v>245.15199999999999</v>
      </c>
    </row>
    <row r="46" spans="1:13" hidden="1" x14ac:dyDescent="0.15">
      <c r="A46" s="1" t="s">
        <v>7</v>
      </c>
      <c r="B46" s="1" t="s">
        <v>91</v>
      </c>
      <c r="C46" s="5" t="s">
        <v>377</v>
      </c>
      <c r="D46" s="5" t="s">
        <v>378</v>
      </c>
      <c r="E46" s="5" t="s">
        <v>151</v>
      </c>
      <c r="F46" s="5" t="s">
        <v>96</v>
      </c>
      <c r="G46" s="11">
        <v>3.2570599999999998E-2</v>
      </c>
      <c r="H46" s="10">
        <v>6.2330200000000002E-2</v>
      </c>
      <c r="I46" s="10">
        <v>9.1648400000000005E-2</v>
      </c>
      <c r="J46" s="10">
        <v>0.10294200000000001</v>
      </c>
      <c r="K46" s="10">
        <v>0.154943</v>
      </c>
      <c r="L46" s="10">
        <v>0.113717</v>
      </c>
      <c r="M46" s="10">
        <v>0.114121</v>
      </c>
    </row>
    <row r="47" spans="1:13" x14ac:dyDescent="0.15">
      <c r="A47" s="1" t="s">
        <v>7</v>
      </c>
      <c r="B47" s="1" t="s">
        <v>91</v>
      </c>
      <c r="C47" s="5" t="s">
        <v>377</v>
      </c>
      <c r="D47" s="5" t="s">
        <v>378</v>
      </c>
      <c r="E47" s="5" t="s">
        <v>151</v>
      </c>
      <c r="F47" s="5" t="s">
        <v>94</v>
      </c>
      <c r="G47" s="11">
        <v>3.2570599999999998E-2</v>
      </c>
      <c r="H47" s="10">
        <v>3.75406E-2</v>
      </c>
      <c r="I47" s="10">
        <v>4.0462199999999997E-2</v>
      </c>
      <c r="J47" s="10">
        <v>4.5377800000000003E-2</v>
      </c>
      <c r="K47" s="10">
        <v>7.2903899999999994E-2</v>
      </c>
      <c r="L47" s="10">
        <v>7.8432399999999999E-2</v>
      </c>
      <c r="M47" s="10">
        <v>8.1339099999999998E-2</v>
      </c>
    </row>
    <row r="48" spans="1:13" hidden="1" x14ac:dyDescent="0.15">
      <c r="A48" s="1" t="s">
        <v>3651</v>
      </c>
      <c r="B48" s="1" t="s">
        <v>22</v>
      </c>
      <c r="C48" s="5" t="s">
        <v>3626</v>
      </c>
      <c r="D48" s="5" t="s">
        <v>3691</v>
      </c>
      <c r="E48" s="5" t="s">
        <v>3625</v>
      </c>
      <c r="F48" s="5" t="s">
        <v>96</v>
      </c>
      <c r="G48" s="10">
        <v>3.1381200000000001E-4</v>
      </c>
      <c r="H48" s="17">
        <v>4.1357599999999996E-3</v>
      </c>
      <c r="I48" s="17">
        <v>4.9337399999999998E-3</v>
      </c>
      <c r="J48" s="17">
        <v>5.36368E-3</v>
      </c>
      <c r="K48" s="17">
        <v>4.0745499999999997E-3</v>
      </c>
      <c r="L48" s="17">
        <v>2.3997100000000002E-3</v>
      </c>
      <c r="M48" s="17">
        <v>2.2614000000000002E-3</v>
      </c>
    </row>
    <row r="49" spans="1:13" x14ac:dyDescent="0.15">
      <c r="A49" s="1" t="s">
        <v>3651</v>
      </c>
      <c r="B49" s="1" t="s">
        <v>22</v>
      </c>
      <c r="C49" s="5" t="s">
        <v>3626</v>
      </c>
      <c r="D49" s="5" t="s">
        <v>3691</v>
      </c>
      <c r="E49" s="5" t="s">
        <v>3625</v>
      </c>
      <c r="F49" s="5" t="s">
        <v>94</v>
      </c>
      <c r="G49" s="10">
        <v>3.1381200000000001E-4</v>
      </c>
      <c r="H49" s="10">
        <v>2.8234899999999999E-4</v>
      </c>
      <c r="I49" s="10">
        <v>2.27078E-4</v>
      </c>
      <c r="J49" s="10">
        <v>1.9189700000000001E-4</v>
      </c>
      <c r="K49" s="10">
        <v>1.6641900000000001E-4</v>
      </c>
      <c r="L49" s="10">
        <v>1.5422299999999999E-4</v>
      </c>
      <c r="M49" s="10">
        <v>1.4765199999999999E-4</v>
      </c>
    </row>
    <row r="50" spans="1:13" hidden="1" x14ac:dyDescent="0.15">
      <c r="A50" s="1" t="s">
        <v>8</v>
      </c>
      <c r="B50" s="1" t="s">
        <v>91</v>
      </c>
      <c r="C50" s="5" t="s">
        <v>375</v>
      </c>
      <c r="D50" s="5" t="s">
        <v>153</v>
      </c>
      <c r="E50" s="5" t="s">
        <v>151</v>
      </c>
      <c r="F50" s="5" t="s">
        <v>96</v>
      </c>
      <c r="G50" s="10">
        <v>1.16354</v>
      </c>
      <c r="H50" s="10">
        <v>2.2190099999999999</v>
      </c>
      <c r="I50" s="10">
        <v>3.6145700000000001</v>
      </c>
      <c r="J50" s="10">
        <v>3.6999499999999999</v>
      </c>
      <c r="K50" s="10">
        <v>3.6299199999999998</v>
      </c>
      <c r="L50" s="10">
        <v>2.94998</v>
      </c>
      <c r="M50" s="10">
        <v>3.2981199999999999</v>
      </c>
    </row>
    <row r="51" spans="1:13" x14ac:dyDescent="0.15">
      <c r="A51" s="1" t="s">
        <v>8</v>
      </c>
      <c r="B51" s="1" t="s">
        <v>91</v>
      </c>
      <c r="C51" s="5" t="s">
        <v>375</v>
      </c>
      <c r="D51" s="5" t="s">
        <v>153</v>
      </c>
      <c r="E51" s="5" t="s">
        <v>151</v>
      </c>
      <c r="F51" s="5" t="s">
        <v>94</v>
      </c>
      <c r="G51" s="10">
        <v>1.16354</v>
      </c>
      <c r="H51" s="10">
        <v>1.3327</v>
      </c>
      <c r="I51" s="10">
        <v>1.5791999999999999</v>
      </c>
      <c r="J51" s="10">
        <v>1.6035200000000001</v>
      </c>
      <c r="K51" s="10">
        <v>1.67886</v>
      </c>
      <c r="L51" s="10">
        <v>1.9433199999999999</v>
      </c>
      <c r="M51" s="10">
        <v>2.1957300000000002</v>
      </c>
    </row>
    <row r="52" spans="1:13" hidden="1" x14ac:dyDescent="0.15">
      <c r="A52" s="1" t="s">
        <v>9</v>
      </c>
      <c r="B52" s="1" t="s">
        <v>142</v>
      </c>
      <c r="C52" s="5" t="s">
        <v>3695</v>
      </c>
      <c r="D52" s="5" t="s">
        <v>3690</v>
      </c>
      <c r="E52" s="5" t="s">
        <v>438</v>
      </c>
      <c r="F52" s="5" t="s">
        <v>96</v>
      </c>
      <c r="G52" s="11">
        <v>3.4353600000000002</v>
      </c>
      <c r="H52" s="10">
        <v>11.4178</v>
      </c>
      <c r="I52" s="10">
        <v>36.863599999999998</v>
      </c>
      <c r="J52" s="10">
        <v>58.323999999999998</v>
      </c>
      <c r="K52" s="10">
        <v>81.896299999999997</v>
      </c>
      <c r="L52" s="10">
        <v>84.971999999999994</v>
      </c>
      <c r="M52" s="10">
        <v>74.451800000000006</v>
      </c>
    </row>
    <row r="53" spans="1:13" hidden="1" x14ac:dyDescent="0.15">
      <c r="A53" s="1" t="s">
        <v>9</v>
      </c>
      <c r="B53" s="1" t="s">
        <v>21</v>
      </c>
      <c r="C53" s="5" t="s">
        <v>3695</v>
      </c>
      <c r="D53" s="5" t="s">
        <v>3690</v>
      </c>
      <c r="E53" s="5" t="s">
        <v>438</v>
      </c>
      <c r="F53" s="5" t="s">
        <v>96</v>
      </c>
      <c r="G53" s="11">
        <v>69.739000000000004</v>
      </c>
      <c r="H53" s="10">
        <v>242.703</v>
      </c>
      <c r="I53" s="10">
        <v>591.55600000000004</v>
      </c>
      <c r="J53" s="10">
        <v>985.43700000000001</v>
      </c>
      <c r="K53" s="10">
        <v>1105.55</v>
      </c>
      <c r="L53" s="10">
        <v>1172.97</v>
      </c>
      <c r="M53" s="10">
        <v>1104.01</v>
      </c>
    </row>
    <row r="54" spans="1:13" x14ac:dyDescent="0.15">
      <c r="A54" s="1" t="s">
        <v>9</v>
      </c>
      <c r="B54" s="1" t="s">
        <v>21</v>
      </c>
      <c r="C54" s="5" t="s">
        <v>3649</v>
      </c>
      <c r="D54" s="5" t="s">
        <v>3690</v>
      </c>
      <c r="E54" s="5" t="s">
        <v>438</v>
      </c>
      <c r="F54" s="5" t="s">
        <v>94</v>
      </c>
      <c r="G54" s="11">
        <v>69.739000000000004</v>
      </c>
      <c r="H54" s="10">
        <v>123.04</v>
      </c>
      <c r="I54" s="10">
        <v>228.01300000000001</v>
      </c>
      <c r="J54" s="10">
        <v>325.35399999999998</v>
      </c>
      <c r="K54" s="10">
        <v>433.20699999999999</v>
      </c>
      <c r="L54" s="10">
        <v>490.85700000000003</v>
      </c>
      <c r="M54" s="10">
        <v>465.84199999999998</v>
      </c>
    </row>
    <row r="55" spans="1:13" x14ac:dyDescent="0.15">
      <c r="A55" s="1" t="s">
        <v>9</v>
      </c>
      <c r="B55" s="1" t="s">
        <v>142</v>
      </c>
      <c r="C55" s="5" t="s">
        <v>3649</v>
      </c>
      <c r="D55" s="5" t="s">
        <v>3690</v>
      </c>
      <c r="E55" s="5" t="s">
        <v>438</v>
      </c>
      <c r="F55" s="5" t="s">
        <v>94</v>
      </c>
      <c r="G55" s="11">
        <v>3.4353600000000002</v>
      </c>
      <c r="H55" s="10">
        <v>5.6641500000000002</v>
      </c>
      <c r="I55" s="10">
        <v>11.8134</v>
      </c>
      <c r="J55" s="10">
        <v>20.318999999999999</v>
      </c>
      <c r="K55" s="10">
        <v>26.918099999999999</v>
      </c>
      <c r="L55" s="10">
        <v>27.614599999999999</v>
      </c>
      <c r="M55" s="10">
        <v>24.593900000000001</v>
      </c>
    </row>
    <row r="56" spans="1:13" hidden="1" x14ac:dyDescent="0.15">
      <c r="A56" s="1" t="s">
        <v>11</v>
      </c>
      <c r="B56" s="1" t="s">
        <v>142</v>
      </c>
      <c r="C56" s="5" t="s">
        <v>3650</v>
      </c>
      <c r="D56" s="5" t="s">
        <v>168</v>
      </c>
      <c r="E56" s="5" t="s">
        <v>151</v>
      </c>
      <c r="F56" s="5" t="s">
        <v>96</v>
      </c>
      <c r="G56" s="11">
        <v>3.2273100000000001</v>
      </c>
      <c r="H56" s="10">
        <v>6.1013900000000003</v>
      </c>
      <c r="I56" s="10">
        <v>15.978</v>
      </c>
      <c r="J56" s="10">
        <v>14.57</v>
      </c>
      <c r="K56" s="10">
        <v>9.7581399999999991</v>
      </c>
      <c r="L56" s="10">
        <v>1.1071899999999999</v>
      </c>
      <c r="M56" s="10">
        <v>0</v>
      </c>
    </row>
    <row r="57" spans="1:13" hidden="1" x14ac:dyDescent="0.15">
      <c r="A57" s="1" t="s">
        <v>11</v>
      </c>
      <c r="B57" s="1" t="s">
        <v>21</v>
      </c>
      <c r="C57" s="5" t="s">
        <v>3650</v>
      </c>
      <c r="D57" s="5" t="s">
        <v>168</v>
      </c>
      <c r="E57" s="5" t="s">
        <v>151</v>
      </c>
      <c r="F57" s="5" t="s">
        <v>96</v>
      </c>
      <c r="G57" s="11">
        <v>37.684800000000003</v>
      </c>
      <c r="H57" s="10">
        <v>56.451500000000003</v>
      </c>
      <c r="I57" s="10">
        <v>188.96600000000001</v>
      </c>
      <c r="J57" s="10">
        <v>408.1925</v>
      </c>
      <c r="K57" s="10">
        <v>563.06500000000005</v>
      </c>
      <c r="L57" s="10">
        <v>783.06</v>
      </c>
      <c r="M57" s="10">
        <v>963.36500000000001</v>
      </c>
    </row>
    <row r="58" spans="1:13" x14ac:dyDescent="0.15">
      <c r="A58" s="1" t="s">
        <v>11</v>
      </c>
      <c r="B58" s="1" t="s">
        <v>21</v>
      </c>
      <c r="C58" s="5" t="s">
        <v>3650</v>
      </c>
      <c r="D58" s="5" t="s">
        <v>168</v>
      </c>
      <c r="E58" s="5" t="s">
        <v>151</v>
      </c>
      <c r="F58" s="5" t="s">
        <v>94</v>
      </c>
      <c r="G58" s="11">
        <v>37.684800000000003</v>
      </c>
      <c r="H58" s="10">
        <v>28.94595</v>
      </c>
      <c r="I58" s="10">
        <v>76.1785</v>
      </c>
      <c r="J58" s="10">
        <v>149.029</v>
      </c>
      <c r="K58" s="10">
        <v>260.7355</v>
      </c>
      <c r="L58" s="10">
        <v>400.78949999999998</v>
      </c>
      <c r="M58" s="10">
        <v>496.97199999999998</v>
      </c>
    </row>
    <row r="59" spans="1:13" x14ac:dyDescent="0.15">
      <c r="A59" s="1" t="s">
        <v>11</v>
      </c>
      <c r="B59" s="1" t="s">
        <v>142</v>
      </c>
      <c r="C59" s="5" t="s">
        <v>3650</v>
      </c>
      <c r="D59" s="5" t="s">
        <v>168</v>
      </c>
      <c r="E59" s="5" t="s">
        <v>151</v>
      </c>
      <c r="F59" s="5" t="s">
        <v>94</v>
      </c>
      <c r="G59" s="11">
        <v>3.2273100000000001</v>
      </c>
      <c r="H59" s="10">
        <v>3.02678</v>
      </c>
      <c r="I59" s="10">
        <v>5.1203599999999998</v>
      </c>
      <c r="J59" s="10">
        <v>5.0758900000000002</v>
      </c>
      <c r="K59" s="10">
        <v>3.2073499999999999</v>
      </c>
      <c r="L59" s="10">
        <v>0.359821</v>
      </c>
      <c r="M59" s="10">
        <v>0</v>
      </c>
    </row>
    <row r="60" spans="1:13" hidden="1" x14ac:dyDescent="0.15">
      <c r="A60" s="1" t="s">
        <v>12</v>
      </c>
      <c r="B60" s="1" t="s">
        <v>91</v>
      </c>
      <c r="C60" s="5" t="s">
        <v>366</v>
      </c>
      <c r="D60" s="5" t="s">
        <v>367</v>
      </c>
      <c r="E60" s="5" t="s">
        <v>151</v>
      </c>
      <c r="F60" s="5" t="s">
        <v>96</v>
      </c>
      <c r="G60" s="11">
        <v>0.14333199999999999</v>
      </c>
      <c r="H60" s="10">
        <v>0.27743499999999999</v>
      </c>
      <c r="I60" s="10">
        <v>0.40671800000000002</v>
      </c>
      <c r="J60" s="10">
        <v>0.420076</v>
      </c>
      <c r="K60" s="10">
        <v>0.39804299999999998</v>
      </c>
      <c r="L60" s="10">
        <v>0.27806199999999998</v>
      </c>
      <c r="M60" s="10">
        <v>0.26272499999999999</v>
      </c>
    </row>
    <row r="61" spans="1:13" hidden="1" x14ac:dyDescent="0.15">
      <c r="A61" s="1" t="s">
        <v>12</v>
      </c>
      <c r="B61" s="1" t="s">
        <v>20</v>
      </c>
      <c r="C61" s="5" t="s">
        <v>366</v>
      </c>
      <c r="D61" s="5" t="s">
        <v>367</v>
      </c>
      <c r="E61" s="5" t="s">
        <v>151</v>
      </c>
      <c r="F61" s="5" t="s">
        <v>96</v>
      </c>
      <c r="G61" s="11">
        <v>10.530099999999999</v>
      </c>
      <c r="H61" s="10">
        <v>19.000499999999999</v>
      </c>
      <c r="I61" s="10">
        <v>40.720199999999998</v>
      </c>
      <c r="J61" s="10">
        <v>38.510100000000001</v>
      </c>
      <c r="K61" s="10">
        <v>31.369499999999999</v>
      </c>
      <c r="L61" s="10">
        <v>21.815899999999999</v>
      </c>
      <c r="M61" s="10">
        <v>32.3645</v>
      </c>
    </row>
    <row r="62" spans="1:13" x14ac:dyDescent="0.15">
      <c r="A62" s="1" t="s">
        <v>12</v>
      </c>
      <c r="B62" s="1" t="s">
        <v>91</v>
      </c>
      <c r="C62" s="5" t="s">
        <v>366</v>
      </c>
      <c r="D62" s="5" t="s">
        <v>367</v>
      </c>
      <c r="E62" s="5" t="s">
        <v>151</v>
      </c>
      <c r="F62" s="5" t="s">
        <v>94</v>
      </c>
      <c r="G62" s="11">
        <v>0.14333199999999999</v>
      </c>
      <c r="H62" s="10">
        <v>0.17585100000000001</v>
      </c>
      <c r="I62" s="10">
        <v>0.20899899999999999</v>
      </c>
      <c r="J62" s="10">
        <v>0.21915499999999999</v>
      </c>
      <c r="K62" s="10">
        <v>0.22742200000000001</v>
      </c>
      <c r="L62" s="10">
        <v>0.24241199999999999</v>
      </c>
      <c r="M62" s="10">
        <v>0.24534800000000001</v>
      </c>
    </row>
    <row r="63" spans="1:13" x14ac:dyDescent="0.15">
      <c r="A63" s="1" t="s">
        <v>12</v>
      </c>
      <c r="B63" s="1" t="s">
        <v>20</v>
      </c>
      <c r="C63" s="5" t="s">
        <v>366</v>
      </c>
      <c r="D63" s="5" t="s">
        <v>367</v>
      </c>
      <c r="E63" s="5" t="s">
        <v>151</v>
      </c>
      <c r="F63" s="5" t="s">
        <v>94</v>
      </c>
      <c r="G63" s="11">
        <v>10.530099999999999</v>
      </c>
      <c r="H63" s="10">
        <v>11.336499999999999</v>
      </c>
      <c r="I63" s="10">
        <v>15.182399999999999</v>
      </c>
      <c r="J63" s="10">
        <v>14.764699999999999</v>
      </c>
      <c r="K63" s="10">
        <v>13.756399999999999</v>
      </c>
      <c r="L63" s="10">
        <v>16.977900000000002</v>
      </c>
      <c r="M63" s="10">
        <v>18.803000000000001</v>
      </c>
    </row>
    <row r="64" spans="1:13" hidden="1" x14ac:dyDescent="0.15">
      <c r="A64" s="1" t="s">
        <v>137</v>
      </c>
      <c r="B64" s="1" t="s">
        <v>21</v>
      </c>
      <c r="C64" s="5" t="s">
        <v>357</v>
      </c>
      <c r="D64" s="5" t="s">
        <v>154</v>
      </c>
      <c r="E64" s="5" t="s">
        <v>151</v>
      </c>
      <c r="F64" s="5" t="s">
        <v>96</v>
      </c>
      <c r="G64" s="10">
        <v>3.9619399999999998</v>
      </c>
      <c r="H64" s="10">
        <v>12.9681</v>
      </c>
      <c r="I64" s="10">
        <v>26.305199999999999</v>
      </c>
      <c r="J64" s="10">
        <v>35.014499999999998</v>
      </c>
      <c r="K64" s="10">
        <v>33.930100000000003</v>
      </c>
      <c r="L64" s="10">
        <v>36.664099999999998</v>
      </c>
      <c r="M64" s="10">
        <v>37.463299999999997</v>
      </c>
    </row>
    <row r="65" spans="1:13" hidden="1" x14ac:dyDescent="0.15">
      <c r="A65" s="1" t="s">
        <v>137</v>
      </c>
      <c r="B65" s="1" t="s">
        <v>20</v>
      </c>
      <c r="C65" s="5" t="s">
        <v>357</v>
      </c>
      <c r="D65" s="5" t="s">
        <v>154</v>
      </c>
      <c r="E65" s="5" t="s">
        <v>151</v>
      </c>
      <c r="F65" s="5" t="s">
        <v>96</v>
      </c>
      <c r="G65" s="10">
        <v>5.806</v>
      </c>
      <c r="H65" s="10">
        <v>10.088699999999999</v>
      </c>
      <c r="I65" s="10">
        <v>23.768799999999999</v>
      </c>
      <c r="J65" s="10">
        <v>22.1797</v>
      </c>
      <c r="K65" s="10">
        <v>19.132300000000001</v>
      </c>
      <c r="L65" s="10">
        <v>12.229200000000001</v>
      </c>
      <c r="M65" s="10">
        <v>17.548500000000001</v>
      </c>
    </row>
    <row r="66" spans="1:13" x14ac:dyDescent="0.15">
      <c r="A66" s="1" t="s">
        <v>137</v>
      </c>
      <c r="B66" s="1" t="s">
        <v>20</v>
      </c>
      <c r="C66" s="5" t="s">
        <v>357</v>
      </c>
      <c r="D66" s="5" t="s">
        <v>154</v>
      </c>
      <c r="E66" s="5" t="s">
        <v>151</v>
      </c>
      <c r="F66" s="5" t="s">
        <v>94</v>
      </c>
      <c r="G66" s="10">
        <v>5.806</v>
      </c>
      <c r="H66" s="10">
        <v>6.2718499999999997</v>
      </c>
      <c r="I66" s="10">
        <v>10.2111</v>
      </c>
      <c r="J66" s="10">
        <v>9.1431199999999997</v>
      </c>
      <c r="K66" s="10">
        <v>8.0314300000000003</v>
      </c>
      <c r="L66" s="10">
        <v>9.7569199999999991</v>
      </c>
      <c r="M66" s="10">
        <v>11.3337</v>
      </c>
    </row>
    <row r="67" spans="1:13" x14ac:dyDescent="0.15">
      <c r="A67" s="1" t="s">
        <v>137</v>
      </c>
      <c r="B67" s="1" t="s">
        <v>21</v>
      </c>
      <c r="C67" s="5" t="s">
        <v>357</v>
      </c>
      <c r="D67" s="5" t="s">
        <v>154</v>
      </c>
      <c r="E67" s="5" t="s">
        <v>151</v>
      </c>
      <c r="F67" s="5" t="s">
        <v>94</v>
      </c>
      <c r="G67" s="10">
        <v>3.9619399999999998</v>
      </c>
      <c r="H67" s="10">
        <v>7.2540399999999998</v>
      </c>
      <c r="I67" s="10">
        <v>12.216200000000001</v>
      </c>
      <c r="J67" s="10">
        <v>15.1311</v>
      </c>
      <c r="K67" s="10">
        <v>18.849599999999999</v>
      </c>
      <c r="L67" s="10">
        <v>21.8002</v>
      </c>
      <c r="M67" s="10">
        <v>22.879100000000001</v>
      </c>
    </row>
    <row r="68" spans="1:13" hidden="1" x14ac:dyDescent="0.15">
      <c r="A68" s="1" t="s">
        <v>10</v>
      </c>
      <c r="B68" s="1" t="s">
        <v>142</v>
      </c>
      <c r="C68" s="5" t="s">
        <v>3685</v>
      </c>
      <c r="D68" s="5" t="s">
        <v>163</v>
      </c>
      <c r="E68" s="5" t="s">
        <v>438</v>
      </c>
      <c r="F68" s="5" t="s">
        <v>96</v>
      </c>
      <c r="G68" s="11">
        <v>8.9112399999999994</v>
      </c>
      <c r="H68" s="10">
        <v>17.5943</v>
      </c>
      <c r="I68" s="10">
        <v>60.389000000000003</v>
      </c>
      <c r="J68" s="10">
        <v>74.411600000000007</v>
      </c>
      <c r="K68" s="10">
        <v>64.607500000000002</v>
      </c>
      <c r="L68" s="10">
        <v>40.087800000000001</v>
      </c>
      <c r="M68" s="10">
        <v>0</v>
      </c>
    </row>
    <row r="69" spans="1:13" hidden="1" x14ac:dyDescent="0.15">
      <c r="A69" s="1" t="s">
        <v>10</v>
      </c>
      <c r="B69" s="1" t="s">
        <v>21</v>
      </c>
      <c r="C69" s="5" t="s">
        <v>3685</v>
      </c>
      <c r="D69" s="5" t="s">
        <v>163</v>
      </c>
      <c r="E69" s="5" t="s">
        <v>438</v>
      </c>
      <c r="F69" s="5" t="s">
        <v>96</v>
      </c>
      <c r="G69" s="11">
        <v>325.83100000000002</v>
      </c>
      <c r="H69" s="10">
        <v>1157.04</v>
      </c>
      <c r="I69" s="10">
        <v>2414.37</v>
      </c>
      <c r="J69" s="10">
        <v>3391.95</v>
      </c>
      <c r="K69" s="10">
        <v>3450.65</v>
      </c>
      <c r="L69" s="10">
        <v>3444.45</v>
      </c>
      <c r="M69" s="10">
        <v>3289.2</v>
      </c>
    </row>
    <row r="70" spans="1:13" hidden="1" x14ac:dyDescent="0.15">
      <c r="A70" s="1" t="s">
        <v>10</v>
      </c>
      <c r="B70" s="1" t="s">
        <v>22</v>
      </c>
      <c r="C70" s="5" t="s">
        <v>3685</v>
      </c>
      <c r="D70" s="5" t="s">
        <v>163</v>
      </c>
      <c r="E70" s="5" t="s">
        <v>438</v>
      </c>
      <c r="F70" s="5" t="s">
        <v>96</v>
      </c>
      <c r="G70" s="11">
        <v>1.7661100000000001</v>
      </c>
      <c r="H70" s="10">
        <v>35.5533</v>
      </c>
      <c r="I70" s="10">
        <v>115.07299999999999</v>
      </c>
      <c r="J70" s="10">
        <v>117.959</v>
      </c>
      <c r="K70" s="10">
        <v>92.645700000000005</v>
      </c>
      <c r="L70" s="10">
        <v>63.517899999999997</v>
      </c>
      <c r="M70" s="17">
        <v>86.755300000000005</v>
      </c>
    </row>
    <row r="71" spans="1:13" x14ac:dyDescent="0.15">
      <c r="A71" s="1" t="s">
        <v>10</v>
      </c>
      <c r="B71" s="1" t="s">
        <v>21</v>
      </c>
      <c r="C71" s="5" t="s">
        <v>3685</v>
      </c>
      <c r="D71" s="5" t="s">
        <v>163</v>
      </c>
      <c r="E71" s="5" t="s">
        <v>438</v>
      </c>
      <c r="F71" s="5" t="s">
        <v>94</v>
      </c>
      <c r="G71" s="11">
        <v>325.83100000000002</v>
      </c>
      <c r="H71" s="10">
        <v>613.86199999999997</v>
      </c>
      <c r="I71" s="10">
        <v>988.053</v>
      </c>
      <c r="J71" s="10">
        <v>1214.57</v>
      </c>
      <c r="K71" s="10">
        <v>1515.79</v>
      </c>
      <c r="L71" s="10">
        <v>1615.17</v>
      </c>
      <c r="M71" s="10">
        <v>1579.68</v>
      </c>
    </row>
    <row r="72" spans="1:13" x14ac:dyDescent="0.15">
      <c r="A72" s="1" t="s">
        <v>10</v>
      </c>
      <c r="B72" s="1" t="s">
        <v>142</v>
      </c>
      <c r="C72" s="5" t="s">
        <v>3685</v>
      </c>
      <c r="D72" s="5" t="s">
        <v>163</v>
      </c>
      <c r="E72" s="5" t="s">
        <v>438</v>
      </c>
      <c r="F72" s="5" t="s">
        <v>94</v>
      </c>
      <c r="G72" s="11">
        <v>8.9112399999999994</v>
      </c>
      <c r="H72" s="10">
        <v>8.7281700000000004</v>
      </c>
      <c r="I72" s="10">
        <v>19.352499999999999</v>
      </c>
      <c r="J72" s="10">
        <v>25.923500000000001</v>
      </c>
      <c r="K72" s="10">
        <v>21.235499999999998</v>
      </c>
      <c r="L72" s="10">
        <v>13.027900000000001</v>
      </c>
      <c r="M72" s="10">
        <v>0</v>
      </c>
    </row>
    <row r="73" spans="1:13" x14ac:dyDescent="0.15">
      <c r="A73" s="2" t="s">
        <v>10</v>
      </c>
      <c r="B73" s="2" t="s">
        <v>22</v>
      </c>
      <c r="C73" s="5" t="s">
        <v>3685</v>
      </c>
      <c r="D73" s="5" t="s">
        <v>163</v>
      </c>
      <c r="E73" s="5" t="s">
        <v>438</v>
      </c>
      <c r="F73" s="5" t="s">
        <v>94</v>
      </c>
      <c r="G73" s="11">
        <v>1.7661100000000001</v>
      </c>
      <c r="H73" s="10">
        <v>2.4272300000000002</v>
      </c>
      <c r="I73" s="10">
        <v>5.2962999999999996</v>
      </c>
      <c r="J73" s="10">
        <v>4.2202500000000001</v>
      </c>
      <c r="K73" s="10">
        <v>3.7839800000000001</v>
      </c>
      <c r="L73" s="10">
        <v>4.0821199999999997</v>
      </c>
      <c r="M73" s="10">
        <v>5.6644500000000004</v>
      </c>
    </row>
    <row r="74" spans="1:13" hidden="1" x14ac:dyDescent="0.15">
      <c r="A74" s="2" t="s">
        <v>3320</v>
      </c>
      <c r="B74" s="2" t="s">
        <v>22</v>
      </c>
      <c r="C74" s="5" t="s">
        <v>359</v>
      </c>
      <c r="D74" s="5" t="s">
        <v>360</v>
      </c>
      <c r="E74" s="5" t="s">
        <v>151</v>
      </c>
      <c r="F74" s="5" t="s">
        <v>96</v>
      </c>
      <c r="G74" s="10">
        <v>1.15664E-3</v>
      </c>
      <c r="H74" s="17">
        <v>2.5077599999999999E-2</v>
      </c>
      <c r="I74" s="17">
        <v>7.9083500000000001E-2</v>
      </c>
      <c r="J74" s="17">
        <v>0.16026000000000001</v>
      </c>
      <c r="K74" s="17">
        <v>0.19505900000000001</v>
      </c>
      <c r="L74" s="17">
        <v>0.18473600000000001</v>
      </c>
      <c r="M74" s="17">
        <v>0.138207</v>
      </c>
    </row>
    <row r="75" spans="1:13" x14ac:dyDescent="0.15">
      <c r="A75" s="2" t="s">
        <v>3320</v>
      </c>
      <c r="B75" s="2" t="s">
        <v>22</v>
      </c>
      <c r="C75" s="5" t="s">
        <v>359</v>
      </c>
      <c r="D75" s="5" t="s">
        <v>360</v>
      </c>
      <c r="E75" s="5" t="s">
        <v>151</v>
      </c>
      <c r="F75" s="5" t="s">
        <v>94</v>
      </c>
      <c r="G75" s="10">
        <v>1.15664E-3</v>
      </c>
      <c r="H75" s="10">
        <v>2.6667700000000002E-3</v>
      </c>
      <c r="I75" s="10">
        <v>6.2101700000000001E-3</v>
      </c>
      <c r="J75" s="10">
        <v>9.9485300000000006E-3</v>
      </c>
      <c r="K75" s="10">
        <v>1.36475E-2</v>
      </c>
      <c r="L75" s="10">
        <v>1.6497399999999999E-2</v>
      </c>
      <c r="M75" s="10">
        <v>2.0263799999999998E-2</v>
      </c>
    </row>
    <row r="76" spans="1:13" hidden="1" x14ac:dyDescent="0.15">
      <c r="A76" s="1" t="s">
        <v>139</v>
      </c>
      <c r="B76" s="1" t="s">
        <v>21</v>
      </c>
      <c r="C76" s="5" t="s">
        <v>353</v>
      </c>
      <c r="D76" s="5" t="s">
        <v>156</v>
      </c>
      <c r="E76" s="5" t="s">
        <v>151</v>
      </c>
      <c r="F76" s="5" t="s">
        <v>96</v>
      </c>
      <c r="G76" s="10">
        <v>0.59429200000000004</v>
      </c>
      <c r="H76" s="10">
        <v>1.9452100000000001</v>
      </c>
      <c r="I76" s="10">
        <v>3.94577</v>
      </c>
      <c r="J76" s="10">
        <v>5.2521699999999996</v>
      </c>
      <c r="K76" s="10">
        <v>5.0895099999999998</v>
      </c>
      <c r="L76" s="10">
        <v>5.4996200000000002</v>
      </c>
      <c r="M76" s="10">
        <v>5.6194899999999999</v>
      </c>
    </row>
    <row r="77" spans="1:13" hidden="1" x14ac:dyDescent="0.15">
      <c r="A77" s="1" t="s">
        <v>139</v>
      </c>
      <c r="B77" s="1" t="s">
        <v>20</v>
      </c>
      <c r="C77" s="5" t="s">
        <v>353</v>
      </c>
      <c r="D77" s="5" t="s">
        <v>156</v>
      </c>
      <c r="E77" s="5" t="s">
        <v>151</v>
      </c>
      <c r="F77" s="5" t="s">
        <v>96</v>
      </c>
      <c r="G77" s="10">
        <v>0.95223400000000002</v>
      </c>
      <c r="H77" s="10">
        <v>1.6780999999999999</v>
      </c>
      <c r="I77" s="10">
        <v>4.2235500000000004</v>
      </c>
      <c r="J77" s="10">
        <v>4.1084500000000004</v>
      </c>
      <c r="K77" s="10">
        <v>3.7923399999999998</v>
      </c>
      <c r="L77" s="10">
        <v>2.5423900000000001</v>
      </c>
      <c r="M77" s="10">
        <v>3.9191799999999999</v>
      </c>
    </row>
    <row r="78" spans="1:13" x14ac:dyDescent="0.15">
      <c r="A78" s="1" t="s">
        <v>139</v>
      </c>
      <c r="B78" s="1" t="s">
        <v>20</v>
      </c>
      <c r="C78" s="5" t="s">
        <v>353</v>
      </c>
      <c r="D78" s="5" t="s">
        <v>156</v>
      </c>
      <c r="E78" s="5" t="s">
        <v>151</v>
      </c>
      <c r="F78" s="5" t="s">
        <v>94</v>
      </c>
      <c r="G78" s="10">
        <v>0.95223400000000002</v>
      </c>
      <c r="H78" s="10">
        <v>1.0422100000000001</v>
      </c>
      <c r="I78" s="10">
        <v>1.80891</v>
      </c>
      <c r="J78" s="10">
        <v>1.6247100000000001</v>
      </c>
      <c r="K78" s="10">
        <v>1.43824</v>
      </c>
      <c r="L78" s="10">
        <v>1.79318</v>
      </c>
      <c r="M78" s="10">
        <v>2.17475</v>
      </c>
    </row>
    <row r="79" spans="1:13" x14ac:dyDescent="0.15">
      <c r="A79" s="1" t="s">
        <v>139</v>
      </c>
      <c r="B79" s="1" t="s">
        <v>21</v>
      </c>
      <c r="C79" s="5" t="s">
        <v>353</v>
      </c>
      <c r="D79" s="5" t="s">
        <v>156</v>
      </c>
      <c r="E79" s="5" t="s">
        <v>151</v>
      </c>
      <c r="F79" s="5" t="s">
        <v>94</v>
      </c>
      <c r="G79" s="10">
        <v>0.59429200000000004</v>
      </c>
      <c r="H79" s="10">
        <v>1.0881099999999999</v>
      </c>
      <c r="I79" s="10">
        <v>1.83243</v>
      </c>
      <c r="J79" s="10">
        <v>2.2696700000000001</v>
      </c>
      <c r="K79" s="10">
        <v>2.8274400000000002</v>
      </c>
      <c r="L79" s="10">
        <v>3.2700300000000002</v>
      </c>
      <c r="M79" s="10">
        <v>3.43187</v>
      </c>
    </row>
    <row r="80" spans="1:13" hidden="1" x14ac:dyDescent="0.15">
      <c r="A80" s="1" t="s">
        <v>14</v>
      </c>
      <c r="B80" s="1" t="s">
        <v>91</v>
      </c>
      <c r="C80" s="5" t="s">
        <v>349</v>
      </c>
      <c r="D80" s="5" t="s">
        <v>158</v>
      </c>
      <c r="E80" s="5" t="s">
        <v>151</v>
      </c>
      <c r="F80" s="5" t="s">
        <v>96</v>
      </c>
      <c r="G80" s="11">
        <v>7.5997999999999996E-2</v>
      </c>
      <c r="H80" s="10">
        <v>0.14210700000000001</v>
      </c>
      <c r="I80" s="10">
        <v>0.19408600000000001</v>
      </c>
      <c r="J80" s="10">
        <v>0.18233099999999999</v>
      </c>
      <c r="K80" s="10">
        <v>0.15106800000000001</v>
      </c>
      <c r="L80" s="10">
        <v>8.5780200000000001E-2</v>
      </c>
      <c r="M80" s="10">
        <v>5.5721100000000003E-2</v>
      </c>
    </row>
    <row r="81" spans="1:13" x14ac:dyDescent="0.15">
      <c r="A81" s="1" t="s">
        <v>14</v>
      </c>
      <c r="B81" s="1" t="s">
        <v>91</v>
      </c>
      <c r="C81" s="5" t="s">
        <v>349</v>
      </c>
      <c r="D81" s="5" t="s">
        <v>158</v>
      </c>
      <c r="E81" s="5" t="s">
        <v>151</v>
      </c>
      <c r="F81" s="5" t="s">
        <v>94</v>
      </c>
      <c r="G81" s="11">
        <v>7.5997999999999996E-2</v>
      </c>
      <c r="H81" s="10">
        <v>8.2872699999999994E-2</v>
      </c>
      <c r="I81" s="10">
        <v>7.6377799999999996E-2</v>
      </c>
      <c r="J81" s="10">
        <v>7.2959999999999997E-2</v>
      </c>
      <c r="K81" s="10">
        <v>6.7527199999999996E-2</v>
      </c>
      <c r="L81" s="10">
        <v>6.2273099999999998E-2</v>
      </c>
      <c r="M81" s="10">
        <v>5.2035699999999997E-2</v>
      </c>
    </row>
    <row r="82" spans="1:13" hidden="1" x14ac:dyDescent="0.15">
      <c r="A82" s="1" t="s">
        <v>25</v>
      </c>
      <c r="B82" s="1" t="s">
        <v>142</v>
      </c>
      <c r="C82" s="5" t="s">
        <v>251</v>
      </c>
      <c r="D82" s="5" t="s">
        <v>164</v>
      </c>
      <c r="E82" s="5" t="s">
        <v>151</v>
      </c>
      <c r="F82" s="5" t="s">
        <v>96</v>
      </c>
      <c r="G82" s="11">
        <v>6.9968500000000003E-2</v>
      </c>
      <c r="H82" s="10">
        <v>0.37285299999999999</v>
      </c>
      <c r="I82" s="10">
        <v>3.5339299999999998</v>
      </c>
      <c r="J82" s="10">
        <v>7.7398100000000003</v>
      </c>
      <c r="K82" s="10">
        <v>14.919</v>
      </c>
      <c r="L82" s="10">
        <v>19.687899999999999</v>
      </c>
      <c r="M82" s="10">
        <v>18.577500000000001</v>
      </c>
    </row>
    <row r="83" spans="1:13" hidden="1" x14ac:dyDescent="0.15">
      <c r="A83" s="1" t="s">
        <v>25</v>
      </c>
      <c r="B83" s="1" t="s">
        <v>21</v>
      </c>
      <c r="C83" s="5" t="s">
        <v>251</v>
      </c>
      <c r="D83" s="5" t="s">
        <v>164</v>
      </c>
      <c r="E83" s="5" t="s">
        <v>151</v>
      </c>
      <c r="F83" s="5" t="s">
        <v>96</v>
      </c>
      <c r="G83" s="11">
        <v>8.6998200000000008</v>
      </c>
      <c r="H83" s="10">
        <v>74.535200000000003</v>
      </c>
      <c r="I83" s="10">
        <v>328.74700000000001</v>
      </c>
      <c r="J83" s="10">
        <v>594.71100000000001</v>
      </c>
      <c r="K83" s="10">
        <v>755.77200000000005</v>
      </c>
      <c r="L83" s="10">
        <v>771.62900000000002</v>
      </c>
      <c r="M83" s="10">
        <v>795.03399999999999</v>
      </c>
    </row>
    <row r="84" spans="1:13" hidden="1" x14ac:dyDescent="0.15">
      <c r="A84" s="1" t="s">
        <v>25</v>
      </c>
      <c r="B84" s="1" t="s">
        <v>91</v>
      </c>
      <c r="C84" s="5" t="s">
        <v>251</v>
      </c>
      <c r="D84" s="5" t="s">
        <v>164</v>
      </c>
      <c r="E84" s="5" t="s">
        <v>151</v>
      </c>
      <c r="F84" s="5" t="s">
        <v>96</v>
      </c>
      <c r="G84" s="11">
        <v>756.327</v>
      </c>
      <c r="H84" s="10">
        <v>1394.58</v>
      </c>
      <c r="I84" s="10">
        <v>2141.3000000000002</v>
      </c>
      <c r="J84" s="10">
        <v>2049.79</v>
      </c>
      <c r="K84" s="10">
        <v>1863.99</v>
      </c>
      <c r="L84" s="10">
        <v>1387.86</v>
      </c>
      <c r="M84" s="10">
        <v>1405.65</v>
      </c>
    </row>
    <row r="85" spans="1:13" x14ac:dyDescent="0.15">
      <c r="A85" s="1" t="s">
        <v>25</v>
      </c>
      <c r="B85" s="1" t="s">
        <v>91</v>
      </c>
      <c r="C85" s="5" t="s">
        <v>251</v>
      </c>
      <c r="D85" s="5" t="s">
        <v>164</v>
      </c>
      <c r="E85" s="5" t="s">
        <v>151</v>
      </c>
      <c r="F85" s="5" t="s">
        <v>94</v>
      </c>
      <c r="G85" s="11">
        <v>756.327</v>
      </c>
      <c r="H85" s="10">
        <v>807.81399999999996</v>
      </c>
      <c r="I85" s="10">
        <v>843.16300000000001</v>
      </c>
      <c r="J85" s="10">
        <v>823.26800000000003</v>
      </c>
      <c r="K85" s="10">
        <v>828.00300000000004</v>
      </c>
      <c r="L85" s="10">
        <v>915.71400000000006</v>
      </c>
      <c r="M85" s="10">
        <v>986.83699999999999</v>
      </c>
    </row>
    <row r="86" spans="1:13" x14ac:dyDescent="0.15">
      <c r="A86" s="1" t="s">
        <v>25</v>
      </c>
      <c r="B86" s="1" t="s">
        <v>21</v>
      </c>
      <c r="C86" s="5" t="s">
        <v>251</v>
      </c>
      <c r="D86" s="5" t="s">
        <v>164</v>
      </c>
      <c r="E86" s="5" t="s">
        <v>151</v>
      </c>
      <c r="F86" s="5" t="s">
        <v>94</v>
      </c>
      <c r="G86" s="11">
        <v>8.6998200000000008</v>
      </c>
      <c r="H86" s="10">
        <v>40.497199999999999</v>
      </c>
      <c r="I86" s="10">
        <v>138.51599999999999</v>
      </c>
      <c r="J86" s="10">
        <v>224.22300000000001</v>
      </c>
      <c r="K86" s="10">
        <v>351.98700000000002</v>
      </c>
      <c r="L86" s="10">
        <v>374.07100000000003</v>
      </c>
      <c r="M86" s="10">
        <v>373.48500000000001</v>
      </c>
    </row>
    <row r="87" spans="1:13" x14ac:dyDescent="0.15">
      <c r="A87" s="1" t="s">
        <v>25</v>
      </c>
      <c r="B87" s="1" t="s">
        <v>142</v>
      </c>
      <c r="C87" s="5" t="s">
        <v>251</v>
      </c>
      <c r="D87" s="5" t="s">
        <v>164</v>
      </c>
      <c r="E87" s="5" t="s">
        <v>151</v>
      </c>
      <c r="F87" s="5" t="s">
        <v>94</v>
      </c>
      <c r="G87" s="11">
        <v>6.9968500000000003E-2</v>
      </c>
      <c r="H87" s="10">
        <v>0.18496499999999999</v>
      </c>
      <c r="I87" s="10">
        <v>1.1325000000000001</v>
      </c>
      <c r="J87" s="10">
        <v>2.6964000000000001</v>
      </c>
      <c r="K87" s="10">
        <v>4.9036400000000002</v>
      </c>
      <c r="L87" s="10">
        <v>6.3982599999999996</v>
      </c>
      <c r="M87" s="10">
        <v>6.1367900000000004</v>
      </c>
    </row>
    <row r="88" spans="1:13" hidden="1" x14ac:dyDescent="0.15">
      <c r="A88" s="1" t="s">
        <v>15</v>
      </c>
      <c r="B88" s="1" t="s">
        <v>91</v>
      </c>
      <c r="C88" s="5" t="s">
        <v>347</v>
      </c>
      <c r="D88" s="5" t="s">
        <v>173</v>
      </c>
      <c r="E88" s="5" t="s">
        <v>151</v>
      </c>
      <c r="F88" s="5" t="s">
        <v>96</v>
      </c>
      <c r="G88" s="10">
        <v>3.831</v>
      </c>
      <c r="H88" s="10">
        <v>6.6685400000000001</v>
      </c>
      <c r="I88" s="10">
        <v>9.0971399999999996</v>
      </c>
      <c r="J88" s="10">
        <v>7.4248000000000003</v>
      </c>
      <c r="K88" s="10">
        <v>5.36883</v>
      </c>
      <c r="L88" s="10">
        <v>2.7405400000000002</v>
      </c>
      <c r="M88" s="10">
        <v>1.1936100000000001</v>
      </c>
    </row>
    <row r="89" spans="1:13" x14ac:dyDescent="0.15">
      <c r="A89" s="1" t="s">
        <v>15</v>
      </c>
      <c r="B89" s="1" t="s">
        <v>91</v>
      </c>
      <c r="C89" s="5" t="s">
        <v>347</v>
      </c>
      <c r="D89" s="5" t="s">
        <v>173</v>
      </c>
      <c r="E89" s="5" t="s">
        <v>151</v>
      </c>
      <c r="F89" s="5" t="s">
        <v>94</v>
      </c>
      <c r="G89" s="10">
        <v>3.831</v>
      </c>
      <c r="H89" s="10">
        <v>4.0307500000000003</v>
      </c>
      <c r="I89" s="10">
        <v>4.0780900000000004</v>
      </c>
      <c r="J89" s="10">
        <v>3.4312100000000001</v>
      </c>
      <c r="K89" s="10">
        <v>2.8524500000000002</v>
      </c>
      <c r="L89" s="10">
        <v>2.4385599999999998</v>
      </c>
      <c r="M89" s="10">
        <v>1.78745</v>
      </c>
    </row>
    <row r="90" spans="1:13" hidden="1" x14ac:dyDescent="0.15">
      <c r="A90" s="1" t="s">
        <v>17</v>
      </c>
      <c r="B90" s="1" t="s">
        <v>91</v>
      </c>
      <c r="C90" s="5" t="s">
        <v>344</v>
      </c>
      <c r="D90" s="5" t="s">
        <v>345</v>
      </c>
      <c r="E90" s="5" t="s">
        <v>151</v>
      </c>
      <c r="F90" s="5" t="s">
        <v>96</v>
      </c>
      <c r="G90" s="10">
        <v>0.422543</v>
      </c>
      <c r="H90" s="10">
        <v>0.79027800000000004</v>
      </c>
      <c r="I90" s="10">
        <v>1.23963</v>
      </c>
      <c r="J90" s="10">
        <v>1.1452100000000001</v>
      </c>
      <c r="K90" s="10">
        <v>0.96920200000000001</v>
      </c>
      <c r="L90" s="10">
        <v>0.60133300000000001</v>
      </c>
      <c r="M90" s="10">
        <v>0.42811399999999999</v>
      </c>
    </row>
    <row r="91" spans="1:13" x14ac:dyDescent="0.15">
      <c r="A91" s="2" t="s">
        <v>17</v>
      </c>
      <c r="B91" s="2" t="s">
        <v>91</v>
      </c>
      <c r="C91" s="5" t="s">
        <v>344</v>
      </c>
      <c r="D91" s="5" t="s">
        <v>345</v>
      </c>
      <c r="E91" s="5" t="s">
        <v>151</v>
      </c>
      <c r="F91" s="5" t="s">
        <v>94</v>
      </c>
      <c r="G91" s="10">
        <v>0.422543</v>
      </c>
      <c r="H91" s="10">
        <v>0.424987</v>
      </c>
      <c r="I91" s="10">
        <v>0.37269200000000002</v>
      </c>
      <c r="J91" s="10">
        <v>0.36435200000000001</v>
      </c>
      <c r="K91" s="10">
        <v>0.36510700000000001</v>
      </c>
      <c r="L91" s="10">
        <v>0.381685</v>
      </c>
      <c r="M91" s="10">
        <v>0.38216299999999997</v>
      </c>
    </row>
    <row r="92" spans="1:13" hidden="1" x14ac:dyDescent="0.15">
      <c r="A92" s="2" t="s">
        <v>140</v>
      </c>
      <c r="B92" s="2" t="s">
        <v>21</v>
      </c>
      <c r="C92" s="5" t="s">
        <v>351</v>
      </c>
      <c r="D92" s="5" t="s">
        <v>157</v>
      </c>
      <c r="E92" s="5" t="s">
        <v>151</v>
      </c>
      <c r="F92" s="5" t="s">
        <v>96</v>
      </c>
      <c r="G92" s="10">
        <v>8.0606300000000006E-2</v>
      </c>
      <c r="H92" s="10">
        <v>0.26501200000000003</v>
      </c>
      <c r="I92" s="10">
        <v>0.54269699999999998</v>
      </c>
      <c r="J92" s="10">
        <v>0.72385600000000005</v>
      </c>
      <c r="K92" s="10">
        <v>0.70105499999999998</v>
      </c>
      <c r="L92" s="10">
        <v>0.75729999999999997</v>
      </c>
      <c r="M92" s="10">
        <v>0.77360099999999998</v>
      </c>
    </row>
    <row r="93" spans="1:13" hidden="1" x14ac:dyDescent="0.15">
      <c r="A93" s="2" t="s">
        <v>140</v>
      </c>
      <c r="B93" s="2" t="s">
        <v>20</v>
      </c>
      <c r="C93" s="5" t="s">
        <v>351</v>
      </c>
      <c r="D93" s="5" t="s">
        <v>157</v>
      </c>
      <c r="E93" s="5" t="s">
        <v>151</v>
      </c>
      <c r="F93" s="5" t="s">
        <v>96</v>
      </c>
      <c r="G93" s="10">
        <v>0.215006</v>
      </c>
      <c r="H93" s="10">
        <v>0.38337599999999999</v>
      </c>
      <c r="I93" s="10">
        <v>0.955287</v>
      </c>
      <c r="J93" s="10">
        <v>0.94287399999999999</v>
      </c>
      <c r="K93" s="10">
        <v>0.87358199999999997</v>
      </c>
      <c r="L93" s="10">
        <v>0.60124100000000003</v>
      </c>
      <c r="M93" s="10">
        <v>0.94411</v>
      </c>
    </row>
    <row r="94" spans="1:13" x14ac:dyDescent="0.15">
      <c r="A94" s="1" t="s">
        <v>140</v>
      </c>
      <c r="B94" s="1" t="s">
        <v>20</v>
      </c>
      <c r="C94" s="5" t="s">
        <v>351</v>
      </c>
      <c r="D94" s="5" t="s">
        <v>157</v>
      </c>
      <c r="E94" s="5" t="s">
        <v>151</v>
      </c>
      <c r="F94" s="5" t="s">
        <v>94</v>
      </c>
      <c r="G94" s="10">
        <v>0.215006</v>
      </c>
      <c r="H94" s="10">
        <v>0.23651</v>
      </c>
      <c r="I94" s="10">
        <v>0.40149899999999999</v>
      </c>
      <c r="J94" s="10">
        <v>0.37059799999999998</v>
      </c>
      <c r="K94" s="10">
        <v>0.336117</v>
      </c>
      <c r="L94" s="10">
        <v>0.42655599999999999</v>
      </c>
      <c r="M94" s="10">
        <v>0.521262</v>
      </c>
    </row>
    <row r="95" spans="1:13" x14ac:dyDescent="0.15">
      <c r="A95" s="1" t="s">
        <v>140</v>
      </c>
      <c r="B95" s="1" t="s">
        <v>21</v>
      </c>
      <c r="C95" s="5" t="s">
        <v>351</v>
      </c>
      <c r="D95" s="5" t="s">
        <v>157</v>
      </c>
      <c r="E95" s="5" t="s">
        <v>151</v>
      </c>
      <c r="F95" s="5" t="s">
        <v>94</v>
      </c>
      <c r="G95" s="10">
        <v>8.0606300000000006E-2</v>
      </c>
      <c r="H95" s="10">
        <v>0.14840300000000001</v>
      </c>
      <c r="I95" s="10">
        <v>0.25240699999999999</v>
      </c>
      <c r="J95" s="10">
        <v>0.31359700000000001</v>
      </c>
      <c r="K95" s="10">
        <v>0.390735</v>
      </c>
      <c r="L95" s="10">
        <v>0.45189699999999999</v>
      </c>
      <c r="M95" s="10">
        <v>0.474163</v>
      </c>
    </row>
    <row r="96" spans="1:13" hidden="1" x14ac:dyDescent="0.15">
      <c r="A96" s="1" t="s">
        <v>26</v>
      </c>
      <c r="B96" s="1" t="s">
        <v>91</v>
      </c>
      <c r="C96" s="5" t="s">
        <v>3652</v>
      </c>
      <c r="D96" s="5" t="s">
        <v>882</v>
      </c>
      <c r="E96" s="5" t="s">
        <v>151</v>
      </c>
      <c r="F96" s="5" t="s">
        <v>96</v>
      </c>
      <c r="G96" s="10">
        <v>1.2021900000000001</v>
      </c>
      <c r="H96" s="10">
        <v>2.2983699999999998</v>
      </c>
      <c r="I96" s="10">
        <v>3.7630699999999999</v>
      </c>
      <c r="J96" s="10">
        <v>3.8679000000000001</v>
      </c>
      <c r="K96" s="10">
        <v>3.81332</v>
      </c>
      <c r="L96" s="10">
        <v>3.09707</v>
      </c>
      <c r="M96" s="10">
        <v>3.4635099999999999</v>
      </c>
    </row>
    <row r="97" spans="1:13" x14ac:dyDescent="0.15">
      <c r="A97" s="1" t="s">
        <v>26</v>
      </c>
      <c r="B97" s="1" t="s">
        <v>91</v>
      </c>
      <c r="C97" s="5" t="s">
        <v>3652</v>
      </c>
      <c r="D97" s="5" t="s">
        <v>882</v>
      </c>
      <c r="E97" s="5" t="s">
        <v>151</v>
      </c>
      <c r="F97" s="5" t="s">
        <v>94</v>
      </c>
      <c r="G97" s="10">
        <v>1.2021900000000001</v>
      </c>
      <c r="H97" s="10">
        <v>1.3798299999999999</v>
      </c>
      <c r="I97" s="10">
        <v>1.64219</v>
      </c>
      <c r="J97" s="10">
        <v>1.67438</v>
      </c>
      <c r="K97" s="10">
        <v>1.76203</v>
      </c>
      <c r="L97" s="10">
        <v>2.0390799999999998</v>
      </c>
      <c r="M97" s="10">
        <v>2.3054000000000001</v>
      </c>
    </row>
    <row r="98" spans="1:13" hidden="1" x14ac:dyDescent="0.15">
      <c r="A98" s="1" t="s">
        <v>27</v>
      </c>
      <c r="B98" s="1" t="s">
        <v>142</v>
      </c>
      <c r="C98" s="5" t="s">
        <v>3653</v>
      </c>
      <c r="D98" s="5" t="s">
        <v>3692</v>
      </c>
      <c r="E98" s="5" t="s">
        <v>3627</v>
      </c>
      <c r="F98" s="5" t="s">
        <v>96</v>
      </c>
      <c r="G98" s="10">
        <v>0</v>
      </c>
      <c r="H98" s="10">
        <v>0</v>
      </c>
      <c r="I98" s="10">
        <v>47.984299999999998</v>
      </c>
      <c r="J98" s="10">
        <v>213.64599999999999</v>
      </c>
      <c r="K98" s="10">
        <v>671.17499999999995</v>
      </c>
      <c r="L98" s="10">
        <v>747.37699999999995</v>
      </c>
      <c r="M98" s="10">
        <v>705.22699999999998</v>
      </c>
    </row>
    <row r="99" spans="1:13" x14ac:dyDescent="0.15">
      <c r="A99" s="1" t="s">
        <v>27</v>
      </c>
      <c r="B99" s="1" t="s">
        <v>142</v>
      </c>
      <c r="C99" s="5" t="s">
        <v>3653</v>
      </c>
      <c r="D99" s="5" t="s">
        <v>3692</v>
      </c>
      <c r="E99" s="5" t="s">
        <v>3627</v>
      </c>
      <c r="F99" s="5" t="s">
        <v>94</v>
      </c>
      <c r="G99" s="10">
        <v>0</v>
      </c>
      <c r="H99" s="10">
        <v>0</v>
      </c>
      <c r="I99" s="10">
        <v>15.3772</v>
      </c>
      <c r="J99" s="10">
        <v>74.430099999999996</v>
      </c>
      <c r="K99" s="10">
        <v>220.60499999999999</v>
      </c>
      <c r="L99" s="10">
        <v>242.886</v>
      </c>
      <c r="M99" s="10">
        <v>232.96</v>
      </c>
    </row>
    <row r="100" spans="1:13" hidden="1" x14ac:dyDescent="0.15">
      <c r="A100" s="1" t="s">
        <v>18</v>
      </c>
      <c r="B100" s="1" t="s">
        <v>91</v>
      </c>
      <c r="C100" s="5" t="s">
        <v>342</v>
      </c>
      <c r="D100" s="5" t="s">
        <v>159</v>
      </c>
      <c r="E100" s="5" t="s">
        <v>151</v>
      </c>
      <c r="F100" s="5" t="s">
        <v>96</v>
      </c>
      <c r="G100" s="10">
        <v>6.0594599999999996</v>
      </c>
      <c r="H100" s="11">
        <v>11.5845</v>
      </c>
      <c r="I100" s="10">
        <v>18.967099999999999</v>
      </c>
      <c r="J100" s="10">
        <v>19.4955</v>
      </c>
      <c r="K100" s="10">
        <v>19.220400000000001</v>
      </c>
      <c r="L100" s="10">
        <v>15.610300000000001</v>
      </c>
      <c r="M100" s="10">
        <v>17.4572</v>
      </c>
    </row>
    <row r="101" spans="1:13" hidden="1" x14ac:dyDescent="0.15">
      <c r="A101" s="1" t="s">
        <v>18</v>
      </c>
      <c r="B101" s="1" t="s">
        <v>20</v>
      </c>
      <c r="C101" s="5" t="s">
        <v>342</v>
      </c>
      <c r="D101" s="5" t="s">
        <v>159</v>
      </c>
      <c r="E101" s="5" t="s">
        <v>151</v>
      </c>
      <c r="F101" s="5" t="s">
        <v>96</v>
      </c>
      <c r="G101" s="10">
        <v>561.02599999999995</v>
      </c>
      <c r="H101" s="11">
        <v>1012.79</v>
      </c>
      <c r="I101" s="10">
        <v>2156.63</v>
      </c>
      <c r="J101" s="10">
        <v>2029.87</v>
      </c>
      <c r="K101" s="10">
        <v>1639.86</v>
      </c>
      <c r="L101" s="10">
        <v>1142.29</v>
      </c>
      <c r="M101" s="10">
        <v>1692.2</v>
      </c>
    </row>
    <row r="102" spans="1:13" x14ac:dyDescent="0.15">
      <c r="A102" s="1" t="s">
        <v>18</v>
      </c>
      <c r="B102" s="1" t="s">
        <v>91</v>
      </c>
      <c r="C102" s="5" t="s">
        <v>342</v>
      </c>
      <c r="D102" s="5" t="s">
        <v>159</v>
      </c>
      <c r="E102" s="5" t="s">
        <v>151</v>
      </c>
      <c r="F102" s="5" t="s">
        <v>94</v>
      </c>
      <c r="G102" s="10">
        <v>6.0594599999999996</v>
      </c>
      <c r="H102" s="11">
        <v>6.9548300000000003</v>
      </c>
      <c r="I102" s="10">
        <v>8.2772100000000002</v>
      </c>
      <c r="J102" s="10">
        <v>8.4394500000000008</v>
      </c>
      <c r="K102" s="10">
        <v>8.8811999999999998</v>
      </c>
      <c r="L102" s="10">
        <v>10.277699999999999</v>
      </c>
      <c r="M102" s="10">
        <v>11.62</v>
      </c>
    </row>
    <row r="103" spans="1:13" x14ac:dyDescent="0.15">
      <c r="A103" s="2" t="s">
        <v>18</v>
      </c>
      <c r="B103" s="1" t="s">
        <v>20</v>
      </c>
      <c r="C103" s="5" t="s">
        <v>342</v>
      </c>
      <c r="D103" s="5" t="s">
        <v>159</v>
      </c>
      <c r="E103" s="5" t="s">
        <v>151</v>
      </c>
      <c r="F103" s="5" t="s">
        <v>94</v>
      </c>
      <c r="G103" s="10">
        <v>561.02599999999995</v>
      </c>
      <c r="H103" s="11">
        <v>603.42399999999998</v>
      </c>
      <c r="I103" s="10">
        <v>799.38599999999997</v>
      </c>
      <c r="J103" s="10">
        <v>777.39700000000005</v>
      </c>
      <c r="K103" s="10">
        <v>723.09400000000005</v>
      </c>
      <c r="L103" s="10">
        <v>892.28399999999999</v>
      </c>
      <c r="M103" s="10">
        <v>985.18299999999999</v>
      </c>
    </row>
    <row r="104" spans="1:13" hidden="1" x14ac:dyDescent="0.15">
      <c r="A104" s="2" t="s">
        <v>28</v>
      </c>
      <c r="B104" s="1" t="s">
        <v>22</v>
      </c>
      <c r="C104" s="5" t="s">
        <v>340</v>
      </c>
      <c r="D104" s="5" t="s">
        <v>160</v>
      </c>
      <c r="E104" s="5" t="s">
        <v>151</v>
      </c>
      <c r="F104" s="5" t="s">
        <v>96</v>
      </c>
      <c r="G104" s="10">
        <v>0.239703</v>
      </c>
      <c r="H104" s="11">
        <v>4.8254400000000004</v>
      </c>
      <c r="I104" s="10">
        <v>15.6182</v>
      </c>
      <c r="J104" s="10">
        <v>16.046399999999998</v>
      </c>
      <c r="K104" s="10">
        <v>12.6297</v>
      </c>
      <c r="L104" s="10">
        <v>8.6758199999999999</v>
      </c>
      <c r="M104" s="17">
        <v>11.870699999999999</v>
      </c>
    </row>
    <row r="105" spans="1:13" x14ac:dyDescent="0.15">
      <c r="A105" s="2" t="s">
        <v>28</v>
      </c>
      <c r="B105" s="1" t="s">
        <v>22</v>
      </c>
      <c r="C105" s="5" t="s">
        <v>340</v>
      </c>
      <c r="D105" s="5" t="s">
        <v>160</v>
      </c>
      <c r="E105" s="5" t="s">
        <v>151</v>
      </c>
      <c r="F105" s="5" t="s">
        <v>94</v>
      </c>
      <c r="G105" s="10">
        <v>0.239703</v>
      </c>
      <c r="H105" s="10">
        <v>0.329434</v>
      </c>
      <c r="I105" s="10">
        <v>0.71883600000000003</v>
      </c>
      <c r="J105" s="10">
        <v>0.57409399999999999</v>
      </c>
      <c r="K105" s="10">
        <v>0.51584099999999999</v>
      </c>
      <c r="L105" s="10">
        <v>0.55757100000000004</v>
      </c>
      <c r="M105" s="10">
        <v>0.775065</v>
      </c>
    </row>
    <row r="113" spans="7:13" x14ac:dyDescent="0.15">
      <c r="G113" s="10"/>
      <c r="H113" s="10"/>
      <c r="I113" s="10"/>
      <c r="J113" s="10"/>
      <c r="K113" s="10"/>
      <c r="L113" s="10"/>
      <c r="M113" s="10"/>
    </row>
  </sheetData>
  <phoneticPr fontId="5" type="noConversion"/>
  <pageMargins left="0.7" right="0.7" top="0.75" bottom="0.75" header="0.3" footer="0.3"/>
  <pageSetup paperSize="9"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A09FF-CCE3-6745-A7E0-AB19809453F4}">
  <dimension ref="A1:J141"/>
  <sheetViews>
    <sheetView workbookViewId="0">
      <pane xSplit="2" ySplit="1" topLeftCell="C2" activePane="bottomRight" state="frozen"/>
      <selection pane="topRight" activeCell="C1" sqref="C1"/>
      <selection pane="bottomLeft" activeCell="A2" sqref="A2"/>
      <selection pane="bottomRight" activeCell="I6" sqref="I6"/>
    </sheetView>
  </sheetViews>
  <sheetFormatPr baseColWidth="10" defaultRowHeight="13" x14ac:dyDescent="0.15"/>
  <cols>
    <col min="1" max="1" width="46.6640625" customWidth="1"/>
    <col min="2" max="2" width="9.6640625" customWidth="1"/>
    <col min="3" max="3" width="8" customWidth="1"/>
    <col min="4" max="4" width="11" customWidth="1"/>
    <col min="5" max="5" width="13.83203125" customWidth="1"/>
    <col min="6" max="6" width="14" customWidth="1"/>
    <col min="7" max="7" width="13.83203125" customWidth="1"/>
    <col min="8" max="8" width="13.33203125" customWidth="1"/>
    <col min="9" max="9" width="13.5" customWidth="1"/>
    <col min="10" max="10" width="12.33203125" customWidth="1"/>
  </cols>
  <sheetData>
    <row r="1" spans="1:10" s="18" customFormat="1" ht="28" x14ac:dyDescent="0.15">
      <c r="C1" s="15" t="s">
        <v>162</v>
      </c>
      <c r="D1" s="18" t="s">
        <v>208</v>
      </c>
      <c r="E1" s="18" t="s">
        <v>212</v>
      </c>
      <c r="F1" s="18" t="s">
        <v>225</v>
      </c>
      <c r="G1" s="18" t="s">
        <v>227</v>
      </c>
      <c r="H1" s="18" t="s">
        <v>227</v>
      </c>
      <c r="I1" s="18" t="s">
        <v>200</v>
      </c>
      <c r="J1" s="18" t="s">
        <v>200</v>
      </c>
    </row>
    <row r="2" spans="1:10" x14ac:dyDescent="0.15">
      <c r="A2" s="4" t="s">
        <v>204</v>
      </c>
      <c r="B2" s="4" t="s">
        <v>151</v>
      </c>
      <c r="C2" s="4" t="s">
        <v>195</v>
      </c>
      <c r="D2">
        <v>1</v>
      </c>
      <c r="E2" s="5" t="s">
        <v>223</v>
      </c>
    </row>
    <row r="3" spans="1:10" x14ac:dyDescent="0.15">
      <c r="A3" s="5" t="s">
        <v>205</v>
      </c>
      <c r="B3" s="5" t="s">
        <v>213</v>
      </c>
      <c r="C3" s="5" t="s">
        <v>195</v>
      </c>
      <c r="D3" s="5"/>
      <c r="E3">
        <v>1</v>
      </c>
      <c r="F3" t="s">
        <v>223</v>
      </c>
    </row>
    <row r="4" spans="1:10" x14ac:dyDescent="0.15">
      <c r="A4" s="5" t="s">
        <v>206</v>
      </c>
      <c r="B4" s="5" t="s">
        <v>213</v>
      </c>
      <c r="C4" s="5" t="s">
        <v>195</v>
      </c>
      <c r="D4" s="5"/>
      <c r="F4">
        <v>1</v>
      </c>
      <c r="G4" s="5" t="s">
        <v>223</v>
      </c>
      <c r="H4" s="5" t="s">
        <v>223</v>
      </c>
    </row>
    <row r="5" spans="1:10" x14ac:dyDescent="0.15">
      <c r="A5" t="s">
        <v>201</v>
      </c>
      <c r="B5" s="5" t="s">
        <v>213</v>
      </c>
      <c r="C5" s="5" t="s">
        <v>195</v>
      </c>
      <c r="D5" s="5"/>
      <c r="G5">
        <v>1</v>
      </c>
      <c r="I5" s="5" t="s">
        <v>211</v>
      </c>
    </row>
    <row r="6" spans="1:10" x14ac:dyDescent="0.15">
      <c r="A6" s="4" t="s">
        <v>207</v>
      </c>
      <c r="B6" s="5" t="s">
        <v>213</v>
      </c>
      <c r="C6" s="5" t="s">
        <v>195</v>
      </c>
      <c r="D6" s="5"/>
      <c r="H6">
        <v>1</v>
      </c>
      <c r="I6" s="5" t="s">
        <v>211</v>
      </c>
    </row>
    <row r="7" spans="1:10" x14ac:dyDescent="0.15">
      <c r="A7" t="s">
        <v>199</v>
      </c>
      <c r="B7" s="5" t="s">
        <v>213</v>
      </c>
      <c r="C7" s="5" t="s">
        <v>195</v>
      </c>
      <c r="D7" s="5"/>
      <c r="I7">
        <v>1</v>
      </c>
      <c r="J7" s="5" t="s">
        <v>211</v>
      </c>
    </row>
    <row r="8" spans="1:10" x14ac:dyDescent="0.15">
      <c r="A8" s="5" t="s">
        <v>326</v>
      </c>
      <c r="B8" s="5" t="s">
        <v>151</v>
      </c>
      <c r="C8" s="5" t="s">
        <v>195</v>
      </c>
      <c r="D8" s="5"/>
      <c r="J8">
        <v>1</v>
      </c>
    </row>
    <row r="9" spans="1:10" x14ac:dyDescent="0.15">
      <c r="A9" s="5" t="s">
        <v>221</v>
      </c>
      <c r="B9" t="s">
        <v>151</v>
      </c>
      <c r="C9" s="5" t="s">
        <v>195</v>
      </c>
      <c r="D9" s="5" t="s">
        <v>223</v>
      </c>
      <c r="G9" s="5" t="s">
        <v>223</v>
      </c>
      <c r="H9" s="5" t="s">
        <v>223</v>
      </c>
    </row>
    <row r="10" spans="1:10" x14ac:dyDescent="0.15">
      <c r="A10" t="s">
        <v>219</v>
      </c>
      <c r="B10" t="s">
        <v>151</v>
      </c>
      <c r="C10" s="5" t="s">
        <v>162</v>
      </c>
      <c r="D10" s="22" t="s">
        <v>223</v>
      </c>
    </row>
    <row r="11" spans="1:10" x14ac:dyDescent="0.15">
      <c r="A11" t="s">
        <v>220</v>
      </c>
      <c r="B11" t="s">
        <v>151</v>
      </c>
      <c r="C11" s="5" t="s">
        <v>222</v>
      </c>
      <c r="D11" s="5" t="s">
        <v>223</v>
      </c>
    </row>
    <row r="12" spans="1:10" x14ac:dyDescent="0.15">
      <c r="A12" t="s">
        <v>216</v>
      </c>
      <c r="B12" t="s">
        <v>151</v>
      </c>
      <c r="C12" s="5" t="s">
        <v>195</v>
      </c>
      <c r="E12" s="5" t="s">
        <v>223</v>
      </c>
      <c r="F12" s="19"/>
    </row>
    <row r="13" spans="1:10" x14ac:dyDescent="0.15">
      <c r="A13" t="s">
        <v>215</v>
      </c>
      <c r="B13" s="5" t="s">
        <v>151</v>
      </c>
      <c r="C13" s="5" t="s">
        <v>195</v>
      </c>
      <c r="E13" s="5" t="s">
        <v>223</v>
      </c>
    </row>
    <row r="14" spans="1:10" x14ac:dyDescent="0.15">
      <c r="A14" t="s">
        <v>217</v>
      </c>
      <c r="B14" s="5" t="s">
        <v>151</v>
      </c>
      <c r="C14" s="5" t="s">
        <v>195</v>
      </c>
      <c r="E14" s="5" t="s">
        <v>223</v>
      </c>
    </row>
    <row r="15" spans="1:10" x14ac:dyDescent="0.15">
      <c r="A15" t="s">
        <v>218</v>
      </c>
      <c r="B15" s="5" t="s">
        <v>151</v>
      </c>
      <c r="C15" s="5" t="s">
        <v>195</v>
      </c>
      <c r="E15" s="5" t="s">
        <v>223</v>
      </c>
    </row>
    <row r="16" spans="1:10" x14ac:dyDescent="0.15">
      <c r="A16" t="s">
        <v>226</v>
      </c>
      <c r="B16" s="5" t="s">
        <v>151</v>
      </c>
      <c r="C16" s="5" t="s">
        <v>162</v>
      </c>
      <c r="E16" s="5"/>
      <c r="F16" s="22" t="s">
        <v>223</v>
      </c>
    </row>
    <row r="17" spans="1:9" x14ac:dyDescent="0.15">
      <c r="A17" t="s">
        <v>228</v>
      </c>
      <c r="B17" s="5" t="s">
        <v>151</v>
      </c>
      <c r="C17" s="5" t="s">
        <v>162</v>
      </c>
      <c r="E17" s="5"/>
      <c r="F17" s="13"/>
      <c r="G17" s="22" t="s">
        <v>223</v>
      </c>
      <c r="H17" s="22" t="s">
        <v>223</v>
      </c>
    </row>
    <row r="18" spans="1:9" x14ac:dyDescent="0.15">
      <c r="A18" t="s">
        <v>229</v>
      </c>
      <c r="B18" s="5" t="s">
        <v>151</v>
      </c>
      <c r="C18" s="5" t="s">
        <v>195</v>
      </c>
      <c r="E18" s="5"/>
      <c r="F18" s="13"/>
      <c r="G18" s="5" t="s">
        <v>223</v>
      </c>
      <c r="H18" s="5" t="s">
        <v>223</v>
      </c>
    </row>
    <row r="19" spans="1:9" x14ac:dyDescent="0.15">
      <c r="A19" t="s">
        <v>230</v>
      </c>
      <c r="B19" s="5" t="s">
        <v>151</v>
      </c>
      <c r="C19" s="5" t="s">
        <v>195</v>
      </c>
      <c r="E19" s="5"/>
      <c r="F19" s="13"/>
      <c r="G19" s="5" t="s">
        <v>223</v>
      </c>
    </row>
    <row r="20" spans="1:9" x14ac:dyDescent="0.15">
      <c r="A20" s="5" t="s">
        <v>243</v>
      </c>
      <c r="B20" s="5" t="s">
        <v>151</v>
      </c>
      <c r="C20" s="5" t="s">
        <v>195</v>
      </c>
      <c r="E20" s="5"/>
      <c r="F20" s="13"/>
      <c r="G20" s="5"/>
      <c r="H20" s="5" t="s">
        <v>223</v>
      </c>
    </row>
    <row r="21" spans="1:9" x14ac:dyDescent="0.15">
      <c r="A21" t="s">
        <v>231</v>
      </c>
      <c r="B21" s="5" t="s">
        <v>151</v>
      </c>
      <c r="C21" s="5" t="s">
        <v>195</v>
      </c>
      <c r="E21" s="5"/>
      <c r="F21" s="13"/>
      <c r="G21" s="5" t="s">
        <v>223</v>
      </c>
      <c r="H21" s="5" t="s">
        <v>223</v>
      </c>
    </row>
    <row r="22" spans="1:9" x14ac:dyDescent="0.15">
      <c r="A22" t="s">
        <v>232</v>
      </c>
      <c r="B22" s="5" t="s">
        <v>151</v>
      </c>
      <c r="C22" s="5" t="s">
        <v>195</v>
      </c>
      <c r="E22" s="5"/>
      <c r="F22" s="13"/>
      <c r="G22" s="5" t="s">
        <v>223</v>
      </c>
      <c r="H22" s="5" t="s">
        <v>223</v>
      </c>
    </row>
    <row r="23" spans="1:9" x14ac:dyDescent="0.15">
      <c r="A23" t="s">
        <v>233</v>
      </c>
      <c r="B23" s="5" t="s">
        <v>151</v>
      </c>
      <c r="C23" s="5" t="s">
        <v>195</v>
      </c>
      <c r="E23" s="5"/>
      <c r="F23" s="13"/>
      <c r="G23" s="5" t="s">
        <v>223</v>
      </c>
      <c r="H23" s="5" t="s">
        <v>223</v>
      </c>
    </row>
    <row r="24" spans="1:9" x14ac:dyDescent="0.15">
      <c r="A24" t="s">
        <v>234</v>
      </c>
      <c r="B24" s="5" t="s">
        <v>151</v>
      </c>
      <c r="C24" s="5" t="s">
        <v>195</v>
      </c>
      <c r="E24" s="5"/>
      <c r="F24" s="13"/>
      <c r="G24" s="5" t="s">
        <v>223</v>
      </c>
      <c r="H24" s="5" t="s">
        <v>223</v>
      </c>
      <c r="I24" s="5" t="s">
        <v>223</v>
      </c>
    </row>
    <row r="25" spans="1:9" x14ac:dyDescent="0.15">
      <c r="A25" t="s">
        <v>235</v>
      </c>
      <c r="B25" s="5" t="s">
        <v>151</v>
      </c>
      <c r="C25" s="5" t="s">
        <v>195</v>
      </c>
      <c r="E25" s="5"/>
      <c r="F25" s="13"/>
      <c r="G25" s="5" t="s">
        <v>223</v>
      </c>
      <c r="H25" s="5" t="s">
        <v>223</v>
      </c>
      <c r="I25" s="5" t="s">
        <v>223</v>
      </c>
    </row>
    <row r="26" spans="1:9" x14ac:dyDescent="0.15">
      <c r="A26" t="s">
        <v>236</v>
      </c>
      <c r="B26" s="5" t="s">
        <v>213</v>
      </c>
      <c r="C26" s="5" t="s">
        <v>195</v>
      </c>
      <c r="E26" s="5"/>
      <c r="F26" s="13"/>
      <c r="G26" s="5" t="s">
        <v>223</v>
      </c>
      <c r="H26" s="5" t="s">
        <v>223</v>
      </c>
    </row>
    <row r="27" spans="1:9" x14ac:dyDescent="0.15">
      <c r="A27" t="s">
        <v>237</v>
      </c>
      <c r="B27" s="5" t="s">
        <v>151</v>
      </c>
      <c r="C27" s="5" t="s">
        <v>195</v>
      </c>
      <c r="E27" s="5"/>
      <c r="F27" s="13"/>
      <c r="G27" s="5" t="s">
        <v>223</v>
      </c>
      <c r="H27" s="5" t="s">
        <v>223</v>
      </c>
    </row>
    <row r="28" spans="1:9" x14ac:dyDescent="0.15">
      <c r="A28" t="s">
        <v>238</v>
      </c>
      <c r="B28" s="5" t="s">
        <v>151</v>
      </c>
      <c r="C28" s="5" t="s">
        <v>195</v>
      </c>
      <c r="E28" s="5"/>
      <c r="F28" s="13"/>
      <c r="G28" s="5" t="s">
        <v>223</v>
      </c>
      <c r="H28" s="5" t="s">
        <v>223</v>
      </c>
      <c r="I28" s="5" t="s">
        <v>223</v>
      </c>
    </row>
    <row r="29" spans="1:9" x14ac:dyDescent="0.15">
      <c r="A29" t="s">
        <v>239</v>
      </c>
      <c r="B29" s="5" t="s">
        <v>151</v>
      </c>
      <c r="C29" s="5" t="s">
        <v>195</v>
      </c>
      <c r="E29" s="5"/>
      <c r="F29" s="13"/>
      <c r="G29" s="5" t="s">
        <v>223</v>
      </c>
      <c r="H29" s="5" t="s">
        <v>223</v>
      </c>
    </row>
    <row r="30" spans="1:9" x14ac:dyDescent="0.15">
      <c r="A30" t="s">
        <v>240</v>
      </c>
      <c r="B30" s="5" t="s">
        <v>213</v>
      </c>
      <c r="C30" s="5" t="s">
        <v>195</v>
      </c>
      <c r="E30" s="5"/>
      <c r="F30" s="13"/>
      <c r="G30" s="5" t="s">
        <v>223</v>
      </c>
      <c r="H30" s="5" t="s">
        <v>223</v>
      </c>
    </row>
    <row r="31" spans="1:9" x14ac:dyDescent="0.15">
      <c r="A31" t="s">
        <v>241</v>
      </c>
      <c r="B31" s="5" t="s">
        <v>213</v>
      </c>
      <c r="C31" s="5" t="s">
        <v>195</v>
      </c>
      <c r="E31" s="5"/>
      <c r="F31" s="13"/>
      <c r="G31" s="5" t="s">
        <v>223</v>
      </c>
      <c r="H31" s="5" t="s">
        <v>223</v>
      </c>
    </row>
    <row r="32" spans="1:9" x14ac:dyDescent="0.15">
      <c r="A32" t="s">
        <v>244</v>
      </c>
      <c r="B32" s="5" t="s">
        <v>151</v>
      </c>
      <c r="C32" s="5" t="s">
        <v>162</v>
      </c>
      <c r="E32" s="5"/>
      <c r="F32" s="13"/>
      <c r="G32" s="5"/>
      <c r="H32" s="5"/>
      <c r="I32" s="22" t="s">
        <v>223</v>
      </c>
    </row>
    <row r="33" spans="1:9" x14ac:dyDescent="0.15">
      <c r="A33" t="s">
        <v>245</v>
      </c>
      <c r="B33" s="5" t="s">
        <v>213</v>
      </c>
      <c r="C33" s="5" t="s">
        <v>195</v>
      </c>
      <c r="E33" s="5"/>
      <c r="F33" s="13"/>
      <c r="G33" s="5"/>
      <c r="H33" s="5"/>
      <c r="I33" s="5" t="s">
        <v>223</v>
      </c>
    </row>
    <row r="34" spans="1:9" x14ac:dyDescent="0.15">
      <c r="A34" t="s">
        <v>246</v>
      </c>
      <c r="B34" s="5" t="s">
        <v>213</v>
      </c>
      <c r="C34" s="5" t="s">
        <v>195</v>
      </c>
      <c r="E34" s="5"/>
      <c r="F34" s="13"/>
      <c r="G34" s="5"/>
      <c r="H34" s="5"/>
      <c r="I34" s="5" t="s">
        <v>223</v>
      </c>
    </row>
    <row r="35" spans="1:9" x14ac:dyDescent="0.15">
      <c r="A35" t="s">
        <v>247</v>
      </c>
      <c r="B35" s="5" t="s">
        <v>213</v>
      </c>
      <c r="C35" s="5" t="s">
        <v>195</v>
      </c>
      <c r="E35" s="5"/>
      <c r="F35" s="13"/>
      <c r="G35" s="5"/>
      <c r="H35" s="5"/>
      <c r="I35" s="5" t="s">
        <v>223</v>
      </c>
    </row>
    <row r="36" spans="1:9" x14ac:dyDescent="0.15">
      <c r="A36" t="s">
        <v>248</v>
      </c>
      <c r="B36" s="5" t="s">
        <v>151</v>
      </c>
      <c r="C36" s="5" t="s">
        <v>195</v>
      </c>
      <c r="E36" s="5"/>
      <c r="F36" s="13"/>
      <c r="G36" s="5"/>
      <c r="H36" s="5"/>
      <c r="I36" s="5" t="s">
        <v>223</v>
      </c>
    </row>
    <row r="37" spans="1:9" x14ac:dyDescent="0.15">
      <c r="A37" t="s">
        <v>249</v>
      </c>
      <c r="B37" s="5" t="s">
        <v>213</v>
      </c>
      <c r="C37" s="5" t="s">
        <v>195</v>
      </c>
      <c r="E37" s="5"/>
      <c r="F37" s="13"/>
      <c r="I37" s="5" t="s">
        <v>223</v>
      </c>
    </row>
    <row r="38" spans="1:9" x14ac:dyDescent="0.15">
      <c r="A38" s="5" t="s">
        <v>250</v>
      </c>
      <c r="B38" s="5" t="s">
        <v>151</v>
      </c>
      <c r="C38" s="5" t="s">
        <v>195</v>
      </c>
      <c r="E38" s="5"/>
      <c r="F38" s="13"/>
      <c r="I38" s="5" t="s">
        <v>223</v>
      </c>
    </row>
    <row r="39" spans="1:9" x14ac:dyDescent="0.15">
      <c r="A39" t="s">
        <v>251</v>
      </c>
      <c r="B39" s="5" t="s">
        <v>151</v>
      </c>
      <c r="C39" s="5" t="s">
        <v>195</v>
      </c>
      <c r="E39" s="5"/>
      <c r="F39" s="13"/>
      <c r="I39" s="5" t="s">
        <v>223</v>
      </c>
    </row>
    <row r="40" spans="1:9" x14ac:dyDescent="0.15">
      <c r="A40" t="s">
        <v>252</v>
      </c>
      <c r="B40" s="5" t="s">
        <v>151</v>
      </c>
      <c r="C40" s="5" t="s">
        <v>195</v>
      </c>
      <c r="E40" s="5"/>
      <c r="F40" s="13"/>
      <c r="I40" s="5" t="s">
        <v>223</v>
      </c>
    </row>
    <row r="41" spans="1:9" x14ac:dyDescent="0.15">
      <c r="A41" t="s">
        <v>210</v>
      </c>
      <c r="B41" s="5" t="s">
        <v>213</v>
      </c>
      <c r="C41" s="5" t="s">
        <v>195</v>
      </c>
      <c r="D41" s="5" t="s">
        <v>211</v>
      </c>
      <c r="E41" s="5"/>
      <c r="G41" s="5" t="s">
        <v>223</v>
      </c>
      <c r="H41" s="5" t="s">
        <v>223</v>
      </c>
      <c r="I41" s="5" t="s">
        <v>223</v>
      </c>
    </row>
    <row r="42" spans="1:9" x14ac:dyDescent="0.15">
      <c r="A42" s="5" t="s">
        <v>224</v>
      </c>
      <c r="B42" s="5" t="s">
        <v>213</v>
      </c>
      <c r="C42" s="5" t="s">
        <v>195</v>
      </c>
      <c r="D42" s="5"/>
      <c r="E42" s="5" t="s">
        <v>211</v>
      </c>
      <c r="G42" s="5" t="s">
        <v>223</v>
      </c>
      <c r="H42" s="5" t="s">
        <v>223</v>
      </c>
      <c r="I42" s="5" t="s">
        <v>223</v>
      </c>
    </row>
    <row r="43" spans="1:9" x14ac:dyDescent="0.15">
      <c r="A43" t="s">
        <v>203</v>
      </c>
      <c r="B43" s="5" t="s">
        <v>174</v>
      </c>
      <c r="C43" s="5" t="s">
        <v>197</v>
      </c>
      <c r="D43" s="24" t="s">
        <v>211</v>
      </c>
    </row>
    <row r="44" spans="1:9" x14ac:dyDescent="0.15">
      <c r="A44" t="s">
        <v>209</v>
      </c>
      <c r="B44" s="5" t="s">
        <v>174</v>
      </c>
      <c r="C44" s="5" t="s">
        <v>197</v>
      </c>
      <c r="D44" s="24" t="s">
        <v>211</v>
      </c>
    </row>
    <row r="45" spans="1:9" x14ac:dyDescent="0.15">
      <c r="A45" t="s">
        <v>203</v>
      </c>
      <c r="B45" s="5" t="s">
        <v>213</v>
      </c>
      <c r="C45" s="5" t="s">
        <v>197</v>
      </c>
      <c r="E45" s="5" t="s">
        <v>211</v>
      </c>
      <c r="I45" s="5" t="s">
        <v>211</v>
      </c>
    </row>
    <row r="46" spans="1:9" x14ac:dyDescent="0.15">
      <c r="A46" t="s">
        <v>209</v>
      </c>
      <c r="B46" s="5" t="s">
        <v>213</v>
      </c>
      <c r="C46" s="5" t="s">
        <v>197</v>
      </c>
      <c r="E46" s="5" t="s">
        <v>211</v>
      </c>
      <c r="I46" s="5" t="s">
        <v>211</v>
      </c>
    </row>
    <row r="47" spans="1:9" x14ac:dyDescent="0.15">
      <c r="A47" t="s">
        <v>214</v>
      </c>
      <c r="B47" s="5" t="s">
        <v>213</v>
      </c>
      <c r="C47" s="5" t="s">
        <v>197</v>
      </c>
      <c r="D47" s="16"/>
      <c r="E47" s="5" t="s">
        <v>211</v>
      </c>
      <c r="F47" s="5" t="s">
        <v>211</v>
      </c>
      <c r="I47" s="5"/>
    </row>
    <row r="48" spans="1:9" x14ac:dyDescent="0.15">
      <c r="A48" t="s">
        <v>193</v>
      </c>
      <c r="B48" s="5" t="s">
        <v>213</v>
      </c>
      <c r="C48" s="5" t="s">
        <v>197</v>
      </c>
      <c r="E48" s="5" t="s">
        <v>211</v>
      </c>
      <c r="F48" s="5" t="s">
        <v>211</v>
      </c>
      <c r="I48" s="5" t="s">
        <v>211</v>
      </c>
    </row>
    <row r="49" spans="1:9" x14ac:dyDescent="0.15">
      <c r="A49" t="s">
        <v>192</v>
      </c>
      <c r="B49" s="5" t="s">
        <v>151</v>
      </c>
      <c r="C49" s="5" t="s">
        <v>196</v>
      </c>
      <c r="D49" s="24" t="s">
        <v>211</v>
      </c>
    </row>
    <row r="50" spans="1:9" x14ac:dyDescent="0.15">
      <c r="A50" s="5" t="s">
        <v>194</v>
      </c>
      <c r="B50" s="5" t="s">
        <v>213</v>
      </c>
      <c r="C50" s="5" t="s">
        <v>196</v>
      </c>
      <c r="E50" s="5" t="s">
        <v>211</v>
      </c>
      <c r="F50" s="5" t="s">
        <v>211</v>
      </c>
      <c r="G50" s="5"/>
      <c r="H50" s="5"/>
    </row>
    <row r="51" spans="1:9" x14ac:dyDescent="0.15">
      <c r="A51" t="s">
        <v>202</v>
      </c>
      <c r="B51" s="5" t="s">
        <v>213</v>
      </c>
      <c r="C51" s="5" t="s">
        <v>196</v>
      </c>
      <c r="G51" s="5" t="s">
        <v>211</v>
      </c>
      <c r="H51" s="5" t="s">
        <v>211</v>
      </c>
      <c r="I51" s="5" t="s">
        <v>211</v>
      </c>
    </row>
    <row r="52" spans="1:9" x14ac:dyDescent="0.15">
      <c r="A52" t="s">
        <v>169</v>
      </c>
      <c r="B52" s="5" t="s">
        <v>213</v>
      </c>
      <c r="C52" s="5" t="s">
        <v>195</v>
      </c>
    </row>
    <row r="53" spans="1:9" x14ac:dyDescent="0.15">
      <c r="A53" t="s">
        <v>170</v>
      </c>
      <c r="B53" s="5" t="s">
        <v>213</v>
      </c>
      <c r="C53" s="5" t="s">
        <v>195</v>
      </c>
    </row>
    <row r="56" spans="1:9" x14ac:dyDescent="0.15">
      <c r="A56" s="5"/>
    </row>
    <row r="65" spans="5:5" x14ac:dyDescent="0.15">
      <c r="E65" s="13"/>
    </row>
    <row r="66" spans="5:5" x14ac:dyDescent="0.15">
      <c r="E66" s="13"/>
    </row>
    <row r="74" spans="5:5" x14ac:dyDescent="0.15">
      <c r="E74" s="13"/>
    </row>
    <row r="75" spans="5:5" x14ac:dyDescent="0.15">
      <c r="E75" s="13"/>
    </row>
    <row r="78" spans="5:5" x14ac:dyDescent="0.15">
      <c r="E78" s="13"/>
    </row>
    <row r="79" spans="5:5" x14ac:dyDescent="0.15">
      <c r="E79" s="13"/>
    </row>
    <row r="80" spans="5:5" x14ac:dyDescent="0.15">
      <c r="E80" s="13"/>
    </row>
    <row r="92" spans="5:5" x14ac:dyDescent="0.15">
      <c r="E92" s="13"/>
    </row>
    <row r="93" spans="5:5" x14ac:dyDescent="0.15">
      <c r="E93" s="13"/>
    </row>
    <row r="96" spans="5:5" x14ac:dyDescent="0.15">
      <c r="E96" s="13"/>
    </row>
    <row r="97" spans="5:5" x14ac:dyDescent="0.15">
      <c r="E97" s="13"/>
    </row>
    <row r="98" spans="5:5" x14ac:dyDescent="0.15">
      <c r="E98" s="13"/>
    </row>
    <row r="101" spans="5:5" x14ac:dyDescent="0.15">
      <c r="E101" s="13"/>
    </row>
    <row r="102" spans="5:5" x14ac:dyDescent="0.15">
      <c r="E102" s="13"/>
    </row>
    <row r="107" spans="5:5" x14ac:dyDescent="0.15">
      <c r="E107" s="13"/>
    </row>
    <row r="113" spans="5:5" x14ac:dyDescent="0.15">
      <c r="E113" s="13"/>
    </row>
    <row r="117" spans="5:5" x14ac:dyDescent="0.15">
      <c r="E117" s="13"/>
    </row>
    <row r="119" spans="5:5" x14ac:dyDescent="0.15">
      <c r="E119" s="13"/>
    </row>
    <row r="125" spans="5:5" x14ac:dyDescent="0.15">
      <c r="E125" s="13"/>
    </row>
    <row r="131" spans="5:5" x14ac:dyDescent="0.15">
      <c r="E131" s="13"/>
    </row>
    <row r="134" spans="5:5" x14ac:dyDescent="0.15">
      <c r="E134" s="13"/>
    </row>
    <row r="137" spans="5:5" x14ac:dyDescent="0.15">
      <c r="E137" s="13"/>
    </row>
    <row r="141" spans="5:5" x14ac:dyDescent="0.15">
      <c r="E141" s="13"/>
    </row>
  </sheetData>
  <autoFilter ref="A1:A51" xr:uid="{F17A09FF-CCE3-6745-A7E0-AB19809453F4}"/>
  <phoneticPr fontId="5" type="noConversion"/>
  <conditionalFormatting sqref="L26:R39 L47:R53 K41:K47 D21:F30 G21:G36 D62:R88 E61:R61 E45:R46 D31:J39 H26:J30 D54:R60 D52:J53 F51:J51 D47:J50 H21:R25 D40:R44 D2:R20">
    <cfRule type="containsText" dxfId="54" priority="3" operator="containsText" text="x">
      <formula>NOT(ISERROR(SEARCH("x",D2)))</formula>
    </cfRule>
  </conditionalFormatting>
  <conditionalFormatting sqref="L26:T39 L47:T53 K41:K47 D21:F30 G21:G36 D62:T96 E61:T61 E45:T46 D31:J39 H26:J30 D54:T60 D52:J53 F51:J51 D47:J50 H21:T25 D40:T44 D2:T20">
    <cfRule type="cellIs" dxfId="53" priority="2" operator="equal">
      <formula>1</formula>
    </cfRule>
  </conditionalFormatting>
  <conditionalFormatting sqref="L26:U39 L41:U53 K41:K47 D21:F30 G21:G36 D31:J39 H26:J30 D54:U85 D52:J53 F51:J51 D40:U40 D41:J50 H21:U25 D2:U20">
    <cfRule type="cellIs" dxfId="52" priority="1" operator="equal">
      <formula>"y"</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C5E28-8E45-5647-8922-E01CD1C207D6}">
  <dimension ref="A1:Q60"/>
  <sheetViews>
    <sheetView workbookViewId="0">
      <pane xSplit="2" ySplit="1" topLeftCell="C2" activePane="bottomRight" state="frozen"/>
      <selection pane="topRight" activeCell="C1" sqref="C1"/>
      <selection pane="bottomLeft" activeCell="A2" sqref="A2"/>
      <selection pane="bottomRight" activeCell="H2" sqref="H2"/>
    </sheetView>
  </sheetViews>
  <sheetFormatPr baseColWidth="10" defaultRowHeight="13" x14ac:dyDescent="0.15"/>
  <cols>
    <col min="1" max="1" width="59" customWidth="1"/>
    <col min="4" max="5" width="17.83203125" customWidth="1"/>
    <col min="6" max="6" width="10.83203125" customWidth="1"/>
    <col min="7" max="7" width="10.6640625" customWidth="1"/>
    <col min="8" max="8" width="10.5" customWidth="1"/>
  </cols>
  <sheetData>
    <row r="1" spans="1:17" s="18" customFormat="1" ht="28" x14ac:dyDescent="0.15">
      <c r="C1" s="15" t="s">
        <v>162</v>
      </c>
      <c r="D1" s="18" t="s">
        <v>172</v>
      </c>
      <c r="E1" s="18" t="s">
        <v>172</v>
      </c>
      <c r="F1" s="18" t="s">
        <v>150</v>
      </c>
      <c r="G1" s="18" t="s">
        <v>150</v>
      </c>
      <c r="H1" s="18" t="s">
        <v>166</v>
      </c>
      <c r="I1" s="18" t="s">
        <v>166</v>
      </c>
      <c r="J1" s="18" t="s">
        <v>150</v>
      </c>
      <c r="K1" s="18" t="s">
        <v>150</v>
      </c>
      <c r="L1" s="15"/>
    </row>
    <row r="2" spans="1:17" x14ac:dyDescent="0.15">
      <c r="A2" t="s">
        <v>66</v>
      </c>
      <c r="B2" s="5" t="s">
        <v>213</v>
      </c>
      <c r="C2" s="5" t="s">
        <v>195</v>
      </c>
      <c r="D2">
        <v>1</v>
      </c>
      <c r="H2" t="s">
        <v>211</v>
      </c>
      <c r="I2" s="5" t="s">
        <v>211</v>
      </c>
    </row>
    <row r="3" spans="1:17" x14ac:dyDescent="0.15">
      <c r="A3" t="s">
        <v>66</v>
      </c>
      <c r="B3" s="5" t="s">
        <v>278</v>
      </c>
      <c r="C3" s="5" t="s">
        <v>195</v>
      </c>
      <c r="E3">
        <v>1</v>
      </c>
      <c r="H3" s="5" t="s">
        <v>211</v>
      </c>
      <c r="I3" s="5" t="s">
        <v>211</v>
      </c>
    </row>
    <row r="4" spans="1:17" x14ac:dyDescent="0.15">
      <c r="A4" t="s">
        <v>178</v>
      </c>
      <c r="B4" s="5" t="s">
        <v>213</v>
      </c>
      <c r="C4" s="5" t="s">
        <v>195</v>
      </c>
      <c r="F4">
        <v>1</v>
      </c>
    </row>
    <row r="5" spans="1:17" x14ac:dyDescent="0.15">
      <c r="A5" t="s">
        <v>178</v>
      </c>
      <c r="B5" s="5" t="s">
        <v>278</v>
      </c>
      <c r="C5" s="5" t="s">
        <v>195</v>
      </c>
      <c r="G5">
        <v>1</v>
      </c>
    </row>
    <row r="6" spans="1:17" x14ac:dyDescent="0.15">
      <c r="A6" t="s">
        <v>69</v>
      </c>
      <c r="B6" s="5" t="s">
        <v>213</v>
      </c>
      <c r="C6" s="5" t="s">
        <v>195</v>
      </c>
      <c r="H6">
        <v>1</v>
      </c>
      <c r="J6" s="5" t="s">
        <v>211</v>
      </c>
      <c r="K6" s="5" t="s">
        <v>211</v>
      </c>
    </row>
    <row r="7" spans="1:17" x14ac:dyDescent="0.15">
      <c r="A7" t="s">
        <v>69</v>
      </c>
      <c r="B7" s="5" t="s">
        <v>278</v>
      </c>
      <c r="C7" s="5" t="s">
        <v>195</v>
      </c>
      <c r="I7">
        <v>1</v>
      </c>
      <c r="J7" s="5" t="s">
        <v>211</v>
      </c>
      <c r="K7" s="5" t="s">
        <v>211</v>
      </c>
    </row>
    <row r="8" spans="1:17" x14ac:dyDescent="0.15">
      <c r="A8" t="s">
        <v>181</v>
      </c>
      <c r="B8" s="5" t="s">
        <v>213</v>
      </c>
      <c r="C8" s="5" t="s">
        <v>195</v>
      </c>
      <c r="J8">
        <v>1</v>
      </c>
    </row>
    <row r="9" spans="1:17" x14ac:dyDescent="0.15">
      <c r="A9" t="s">
        <v>181</v>
      </c>
      <c r="B9" s="5" t="s">
        <v>278</v>
      </c>
      <c r="C9" s="5"/>
      <c r="K9">
        <v>1</v>
      </c>
    </row>
    <row r="10" spans="1:17" x14ac:dyDescent="0.15">
      <c r="A10" t="s">
        <v>216</v>
      </c>
      <c r="B10" t="s">
        <v>151</v>
      </c>
      <c r="C10" s="5" t="s">
        <v>162</v>
      </c>
      <c r="D10" s="13">
        <v>-3.8506798788085099E-10</v>
      </c>
      <c r="E10" s="13">
        <v>-3.8506798788085099E-10</v>
      </c>
    </row>
    <row r="11" spans="1:17" x14ac:dyDescent="0.15">
      <c r="A11" t="s">
        <v>265</v>
      </c>
      <c r="B11" t="s">
        <v>151</v>
      </c>
      <c r="C11" s="5" t="s">
        <v>162</v>
      </c>
      <c r="D11" s="5" t="s">
        <v>211</v>
      </c>
      <c r="E11" s="5" t="s">
        <v>211</v>
      </c>
      <c r="F11" s="5" t="s">
        <v>242</v>
      </c>
      <c r="G11" s="5" t="s">
        <v>242</v>
      </c>
    </row>
    <row r="12" spans="1:17" x14ac:dyDescent="0.15">
      <c r="A12" t="s">
        <v>266</v>
      </c>
      <c r="B12" t="s">
        <v>151</v>
      </c>
      <c r="C12" s="5" t="s">
        <v>162</v>
      </c>
      <c r="D12" s="5" t="s">
        <v>211</v>
      </c>
      <c r="E12" s="5" t="s">
        <v>211</v>
      </c>
      <c r="Q12" s="38"/>
    </row>
    <row r="13" spans="1:17" x14ac:dyDescent="0.15">
      <c r="A13" t="s">
        <v>275</v>
      </c>
      <c r="B13" t="s">
        <v>151</v>
      </c>
      <c r="C13" s="5" t="s">
        <v>162</v>
      </c>
      <c r="D13" s="5"/>
      <c r="E13" s="5"/>
      <c r="F13" s="13">
        <v>-3.8835282902713401E-10</v>
      </c>
      <c r="G13" s="13">
        <v>-3.8835282902713401E-10</v>
      </c>
      <c r="J13" s="13">
        <v>-2.7931569577380898E-10</v>
      </c>
      <c r="K13" s="13">
        <v>-2.7931569577380898E-10</v>
      </c>
      <c r="Q13" s="38"/>
    </row>
    <row r="14" spans="1:17" x14ac:dyDescent="0.15">
      <c r="A14" t="s">
        <v>281</v>
      </c>
      <c r="B14" t="s">
        <v>151</v>
      </c>
      <c r="C14" s="5" t="s">
        <v>162</v>
      </c>
      <c r="D14" s="5"/>
      <c r="E14" s="5"/>
      <c r="F14" s="13"/>
      <c r="G14" s="13"/>
      <c r="H14" s="5" t="s">
        <v>223</v>
      </c>
      <c r="I14" s="5" t="s">
        <v>223</v>
      </c>
      <c r="Q14" s="38"/>
    </row>
    <row r="15" spans="1:17" x14ac:dyDescent="0.15">
      <c r="A15" t="s">
        <v>253</v>
      </c>
      <c r="B15" s="5" t="s">
        <v>213</v>
      </c>
      <c r="C15" s="5" t="s">
        <v>195</v>
      </c>
      <c r="D15" s="5" t="s">
        <v>223</v>
      </c>
      <c r="E15" s="5"/>
      <c r="Q15" s="38"/>
    </row>
    <row r="16" spans="1:17" x14ac:dyDescent="0.15">
      <c r="A16" t="s">
        <v>253</v>
      </c>
      <c r="B16" s="5" t="s">
        <v>278</v>
      </c>
      <c r="C16" s="5" t="s">
        <v>195</v>
      </c>
      <c r="D16" s="5"/>
      <c r="E16" s="5" t="s">
        <v>223</v>
      </c>
      <c r="Q16" s="38"/>
    </row>
    <row r="17" spans="1:17" x14ac:dyDescent="0.15">
      <c r="A17" t="s">
        <v>221</v>
      </c>
      <c r="B17" t="s">
        <v>151</v>
      </c>
      <c r="C17" s="5" t="s">
        <v>195</v>
      </c>
      <c r="D17" s="5" t="s">
        <v>223</v>
      </c>
      <c r="E17" s="5" t="s">
        <v>223</v>
      </c>
      <c r="F17" s="21">
        <v>-0.26893433410129097</v>
      </c>
      <c r="G17" s="21">
        <v>-0.26893433410129097</v>
      </c>
      <c r="Q17" s="38"/>
    </row>
    <row r="18" spans="1:17" x14ac:dyDescent="0.15">
      <c r="A18" t="s">
        <v>254</v>
      </c>
      <c r="B18" t="s">
        <v>151</v>
      </c>
      <c r="C18" s="5" t="s">
        <v>195</v>
      </c>
      <c r="D18" s="5" t="s">
        <v>223</v>
      </c>
      <c r="E18" s="5" t="s">
        <v>223</v>
      </c>
      <c r="Q18" s="38"/>
    </row>
    <row r="19" spans="1:17" x14ac:dyDescent="0.15">
      <c r="A19" t="s">
        <v>255</v>
      </c>
      <c r="B19" t="s">
        <v>151</v>
      </c>
      <c r="C19" s="5" t="s">
        <v>195</v>
      </c>
      <c r="D19" s="5" t="s">
        <v>223</v>
      </c>
      <c r="E19" s="5" t="s">
        <v>223</v>
      </c>
      <c r="Q19" s="38"/>
    </row>
    <row r="20" spans="1:17" x14ac:dyDescent="0.15">
      <c r="A20" t="s">
        <v>256</v>
      </c>
      <c r="B20" t="s">
        <v>151</v>
      </c>
      <c r="C20" s="5" t="s">
        <v>195</v>
      </c>
      <c r="D20" s="5" t="s">
        <v>223</v>
      </c>
      <c r="E20" s="5" t="s">
        <v>223</v>
      </c>
      <c r="Q20" s="38"/>
    </row>
    <row r="21" spans="1:17" x14ac:dyDescent="0.15">
      <c r="A21" t="s">
        <v>257</v>
      </c>
      <c r="B21" t="s">
        <v>151</v>
      </c>
      <c r="C21" s="5" t="s">
        <v>273</v>
      </c>
      <c r="D21" s="5" t="s">
        <v>223</v>
      </c>
      <c r="E21" s="5" t="s">
        <v>223</v>
      </c>
      <c r="F21" s="13">
        <v>-2.03885235239245E-5</v>
      </c>
      <c r="G21" s="13">
        <v>-2.03885235239245E-5</v>
      </c>
      <c r="J21" s="13">
        <v>-1.4664074028125E-5</v>
      </c>
      <c r="K21" s="13">
        <v>-1.4664074028125E-5</v>
      </c>
      <c r="Q21" s="38"/>
    </row>
    <row r="22" spans="1:17" x14ac:dyDescent="0.15">
      <c r="A22" t="s">
        <v>258</v>
      </c>
      <c r="B22" t="s">
        <v>151</v>
      </c>
      <c r="C22" s="5" t="s">
        <v>195</v>
      </c>
      <c r="D22" s="5" t="s">
        <v>223</v>
      </c>
      <c r="E22" s="5" t="s">
        <v>223</v>
      </c>
      <c r="Q22" s="38"/>
    </row>
    <row r="23" spans="1:17" x14ac:dyDescent="0.15">
      <c r="A23" t="s">
        <v>261</v>
      </c>
      <c r="B23" t="s">
        <v>151</v>
      </c>
      <c r="C23" s="5" t="s">
        <v>195</v>
      </c>
      <c r="D23" s="5" t="s">
        <v>223</v>
      </c>
      <c r="E23" s="5" t="s">
        <v>223</v>
      </c>
      <c r="Q23" s="38"/>
    </row>
    <row r="24" spans="1:17" x14ac:dyDescent="0.15">
      <c r="A24" t="s">
        <v>263</v>
      </c>
      <c r="B24" t="s">
        <v>151</v>
      </c>
      <c r="C24" s="5" t="s">
        <v>195</v>
      </c>
      <c r="D24" s="5" t="s">
        <v>223</v>
      </c>
      <c r="E24" s="5" t="s">
        <v>223</v>
      </c>
      <c r="Q24" s="38"/>
    </row>
    <row r="25" spans="1:17" x14ac:dyDescent="0.15">
      <c r="A25" t="s">
        <v>264</v>
      </c>
      <c r="B25" s="5" t="s">
        <v>213</v>
      </c>
      <c r="C25" s="5" t="s">
        <v>195</v>
      </c>
      <c r="D25" s="5" t="s">
        <v>223</v>
      </c>
      <c r="E25" s="5"/>
      <c r="H25" s="5" t="s">
        <v>223</v>
      </c>
      <c r="Q25" s="38"/>
    </row>
    <row r="26" spans="1:17" x14ac:dyDescent="0.15">
      <c r="A26" t="s">
        <v>264</v>
      </c>
      <c r="B26" s="5" t="s">
        <v>278</v>
      </c>
      <c r="C26" s="5" t="s">
        <v>195</v>
      </c>
      <c r="D26" s="5"/>
      <c r="E26" s="5" t="s">
        <v>223</v>
      </c>
      <c r="I26" s="5" t="s">
        <v>223</v>
      </c>
      <c r="Q26" s="38"/>
    </row>
    <row r="27" spans="1:17" x14ac:dyDescent="0.15">
      <c r="A27" t="s">
        <v>268</v>
      </c>
      <c r="B27" t="s">
        <v>151</v>
      </c>
      <c r="C27" s="5" t="s">
        <v>195</v>
      </c>
      <c r="D27" s="5" t="s">
        <v>223</v>
      </c>
      <c r="E27" s="5"/>
      <c r="Q27" s="38"/>
    </row>
    <row r="28" spans="1:17" x14ac:dyDescent="0.15">
      <c r="A28" t="s">
        <v>269</v>
      </c>
      <c r="B28" s="5" t="s">
        <v>213</v>
      </c>
      <c r="C28" s="5" t="s">
        <v>195</v>
      </c>
      <c r="D28" s="5" t="s">
        <v>223</v>
      </c>
      <c r="E28" s="5"/>
      <c r="Q28" s="38"/>
    </row>
    <row r="29" spans="1:17" x14ac:dyDescent="0.15">
      <c r="A29" t="s">
        <v>269</v>
      </c>
      <c r="B29" s="5" t="s">
        <v>278</v>
      </c>
      <c r="C29" s="5" t="s">
        <v>195</v>
      </c>
      <c r="D29" s="5"/>
      <c r="E29" s="5" t="s">
        <v>223</v>
      </c>
      <c r="Q29" s="38"/>
    </row>
    <row r="30" spans="1:17" x14ac:dyDescent="0.15">
      <c r="A30" t="s">
        <v>270</v>
      </c>
      <c r="B30" t="s">
        <v>151</v>
      </c>
      <c r="C30" s="5" t="s">
        <v>195</v>
      </c>
      <c r="D30" s="5" t="s">
        <v>223</v>
      </c>
      <c r="E30" s="5"/>
      <c r="F30" s="17">
        <v>-0.185438475860456</v>
      </c>
      <c r="G30" s="17">
        <v>-0.185438475860456</v>
      </c>
      <c r="Q30" s="38"/>
    </row>
    <row r="31" spans="1:17" x14ac:dyDescent="0.15">
      <c r="A31" t="s">
        <v>272</v>
      </c>
      <c r="B31" t="s">
        <v>151</v>
      </c>
      <c r="C31" s="5" t="s">
        <v>195</v>
      </c>
      <c r="D31" s="5" t="s">
        <v>223</v>
      </c>
      <c r="E31" s="5"/>
    </row>
    <row r="32" spans="1:17" x14ac:dyDescent="0.15">
      <c r="A32" t="s">
        <v>274</v>
      </c>
      <c r="B32" s="5" t="s">
        <v>213</v>
      </c>
      <c r="C32" s="5" t="s">
        <v>195</v>
      </c>
      <c r="F32" s="5" t="s">
        <v>223</v>
      </c>
      <c r="G32" s="5"/>
      <c r="Q32" s="39"/>
    </row>
    <row r="33" spans="1:17" x14ac:dyDescent="0.15">
      <c r="A33" t="s">
        <v>274</v>
      </c>
      <c r="B33" s="5" t="s">
        <v>278</v>
      </c>
      <c r="C33" s="5" t="s">
        <v>195</v>
      </c>
      <c r="F33" s="5"/>
      <c r="G33" s="5" t="s">
        <v>223</v>
      </c>
      <c r="Q33" s="39"/>
    </row>
    <row r="34" spans="1:17" x14ac:dyDescent="0.15">
      <c r="A34" t="s">
        <v>276</v>
      </c>
      <c r="B34" t="s">
        <v>151</v>
      </c>
      <c r="C34" s="5" t="s">
        <v>195</v>
      </c>
      <c r="H34" s="5" t="s">
        <v>223</v>
      </c>
      <c r="I34" s="5" t="s">
        <v>223</v>
      </c>
    </row>
    <row r="35" spans="1:17" x14ac:dyDescent="0.15">
      <c r="A35" t="s">
        <v>282</v>
      </c>
      <c r="B35" s="5" t="s">
        <v>213</v>
      </c>
      <c r="C35" s="5" t="s">
        <v>195</v>
      </c>
      <c r="H35" s="5" t="s">
        <v>223</v>
      </c>
    </row>
    <row r="36" spans="1:17" x14ac:dyDescent="0.15">
      <c r="A36" t="s">
        <v>282</v>
      </c>
      <c r="B36" s="5" t="s">
        <v>278</v>
      </c>
      <c r="C36" s="5" t="s">
        <v>195</v>
      </c>
      <c r="I36" s="5" t="s">
        <v>223</v>
      </c>
    </row>
    <row r="37" spans="1:17" x14ac:dyDescent="0.15">
      <c r="A37" t="s">
        <v>283</v>
      </c>
      <c r="B37" t="s">
        <v>151</v>
      </c>
      <c r="C37" s="5" t="s">
        <v>195</v>
      </c>
      <c r="H37" s="5" t="s">
        <v>223</v>
      </c>
      <c r="I37" s="5" t="s">
        <v>223</v>
      </c>
    </row>
    <row r="38" spans="1:17" x14ac:dyDescent="0.15">
      <c r="A38" t="s">
        <v>286</v>
      </c>
      <c r="B38" s="5" t="s">
        <v>151</v>
      </c>
      <c r="C38" s="5" t="s">
        <v>195</v>
      </c>
      <c r="J38" s="17">
        <v>-4.9536602487733001E-3</v>
      </c>
      <c r="K38" s="17">
        <v>-4.9536602487733001E-3</v>
      </c>
    </row>
    <row r="39" spans="1:17" x14ac:dyDescent="0.15">
      <c r="A39" t="s">
        <v>287</v>
      </c>
      <c r="B39" t="s">
        <v>151</v>
      </c>
      <c r="C39" s="5" t="s">
        <v>195</v>
      </c>
      <c r="J39" s="17">
        <v>-6.0084894236031999E-3</v>
      </c>
      <c r="K39" s="17">
        <v>-6.0084894236031999E-3</v>
      </c>
    </row>
    <row r="40" spans="1:17" x14ac:dyDescent="0.15">
      <c r="A40" t="s">
        <v>271</v>
      </c>
      <c r="B40" s="5" t="s">
        <v>213</v>
      </c>
      <c r="C40" s="5" t="s">
        <v>195</v>
      </c>
      <c r="D40" s="5" t="s">
        <v>211</v>
      </c>
      <c r="E40" s="5"/>
      <c r="F40" s="5" t="s">
        <v>211</v>
      </c>
      <c r="G40" s="5"/>
    </row>
    <row r="41" spans="1:17" x14ac:dyDescent="0.15">
      <c r="A41" t="s">
        <v>271</v>
      </c>
      <c r="B41" s="5" t="s">
        <v>278</v>
      </c>
      <c r="C41" s="5" t="s">
        <v>195</v>
      </c>
      <c r="D41" s="5"/>
      <c r="E41" s="5" t="s">
        <v>211</v>
      </c>
      <c r="F41" s="5"/>
      <c r="G41" s="5" t="s">
        <v>211</v>
      </c>
    </row>
    <row r="42" spans="1:17" x14ac:dyDescent="0.15">
      <c r="A42" t="s">
        <v>267</v>
      </c>
      <c r="B42" t="s">
        <v>151</v>
      </c>
      <c r="C42" s="5" t="s">
        <v>195</v>
      </c>
      <c r="D42" s="5" t="s">
        <v>242</v>
      </c>
      <c r="E42" s="5" t="s">
        <v>242</v>
      </c>
    </row>
    <row r="43" spans="1:17" x14ac:dyDescent="0.15">
      <c r="A43" t="s">
        <v>277</v>
      </c>
      <c r="B43" s="5" t="s">
        <v>213</v>
      </c>
      <c r="C43" s="5" t="s">
        <v>195</v>
      </c>
      <c r="H43" t="s">
        <v>223</v>
      </c>
    </row>
    <row r="44" spans="1:17" x14ac:dyDescent="0.15">
      <c r="A44" t="s">
        <v>277</v>
      </c>
      <c r="B44" s="5" t="s">
        <v>278</v>
      </c>
      <c r="C44" s="5" t="s">
        <v>195</v>
      </c>
      <c r="I44" s="5" t="s">
        <v>223</v>
      </c>
    </row>
    <row r="45" spans="1:17" x14ac:dyDescent="0.15">
      <c r="A45" t="s">
        <v>279</v>
      </c>
      <c r="B45" t="s">
        <v>151</v>
      </c>
      <c r="C45" s="5" t="s">
        <v>195</v>
      </c>
      <c r="D45" s="5"/>
      <c r="E45" s="5"/>
      <c r="H45" s="5" t="s">
        <v>211</v>
      </c>
      <c r="I45" s="5" t="s">
        <v>211</v>
      </c>
    </row>
    <row r="46" spans="1:17" x14ac:dyDescent="0.15">
      <c r="A46" t="s">
        <v>284</v>
      </c>
      <c r="B46" s="5" t="s">
        <v>213</v>
      </c>
      <c r="C46" s="5" t="s">
        <v>285</v>
      </c>
      <c r="D46" s="5"/>
      <c r="E46" s="5"/>
      <c r="H46" s="5" t="s">
        <v>211</v>
      </c>
    </row>
    <row r="47" spans="1:17" x14ac:dyDescent="0.15">
      <c r="A47" t="s">
        <v>284</v>
      </c>
      <c r="B47" s="5" t="s">
        <v>278</v>
      </c>
      <c r="C47" s="5" t="s">
        <v>285</v>
      </c>
      <c r="D47" s="5"/>
      <c r="E47" s="5"/>
      <c r="H47" s="5"/>
      <c r="I47" s="5" t="s">
        <v>211</v>
      </c>
    </row>
    <row r="48" spans="1:17" x14ac:dyDescent="0.15">
      <c r="A48" t="s">
        <v>193</v>
      </c>
      <c r="B48" s="5" t="s">
        <v>213</v>
      </c>
      <c r="C48" s="5" t="s">
        <v>197</v>
      </c>
      <c r="D48" s="5"/>
      <c r="E48" s="5"/>
      <c r="H48" s="5" t="s">
        <v>211</v>
      </c>
    </row>
    <row r="49" spans="1:11" x14ac:dyDescent="0.15">
      <c r="A49" t="s">
        <v>193</v>
      </c>
      <c r="B49" s="5" t="s">
        <v>278</v>
      </c>
      <c r="C49" s="5" t="s">
        <v>197</v>
      </c>
      <c r="D49" s="5"/>
      <c r="E49" s="5"/>
      <c r="H49" s="5"/>
      <c r="I49" t="s">
        <v>211</v>
      </c>
    </row>
    <row r="50" spans="1:11" x14ac:dyDescent="0.15">
      <c r="A50" t="s">
        <v>280</v>
      </c>
      <c r="B50" s="5" t="s">
        <v>213</v>
      </c>
      <c r="C50" s="5" t="s">
        <v>197</v>
      </c>
      <c r="D50" s="5"/>
      <c r="E50" s="5"/>
      <c r="H50" s="5" t="s">
        <v>211</v>
      </c>
    </row>
    <row r="51" spans="1:11" x14ac:dyDescent="0.15">
      <c r="A51" t="s">
        <v>280</v>
      </c>
      <c r="B51" s="5" t="s">
        <v>278</v>
      </c>
      <c r="C51" s="5" t="s">
        <v>197</v>
      </c>
      <c r="D51" s="5"/>
      <c r="E51" s="5"/>
      <c r="H51" s="5"/>
      <c r="I51" s="5" t="s">
        <v>211</v>
      </c>
    </row>
    <row r="52" spans="1:11" x14ac:dyDescent="0.15">
      <c r="A52" t="s">
        <v>259</v>
      </c>
      <c r="B52" s="5" t="s">
        <v>213</v>
      </c>
      <c r="C52" s="5" t="s">
        <v>195</v>
      </c>
      <c r="D52" s="5" t="s">
        <v>211</v>
      </c>
      <c r="E52" s="5"/>
    </row>
    <row r="53" spans="1:11" x14ac:dyDescent="0.15">
      <c r="A53" t="s">
        <v>259</v>
      </c>
      <c r="B53" s="5" t="s">
        <v>278</v>
      </c>
      <c r="C53" s="5" t="s">
        <v>195</v>
      </c>
      <c r="D53" s="5"/>
      <c r="E53" s="5" t="s">
        <v>211</v>
      </c>
    </row>
    <row r="54" spans="1:11" x14ac:dyDescent="0.15">
      <c r="A54" t="s">
        <v>260</v>
      </c>
      <c r="B54" t="s">
        <v>151</v>
      </c>
      <c r="C54" s="5" t="s">
        <v>197</v>
      </c>
      <c r="D54" s="5" t="s">
        <v>242</v>
      </c>
      <c r="E54" s="5" t="s">
        <v>242</v>
      </c>
      <c r="F54" s="5" t="s">
        <v>242</v>
      </c>
      <c r="G54" s="5" t="s">
        <v>242</v>
      </c>
      <c r="J54" t="s">
        <v>242</v>
      </c>
      <c r="K54" t="s">
        <v>242</v>
      </c>
    </row>
    <row r="55" spans="1:11" x14ac:dyDescent="0.15">
      <c r="A55" t="s">
        <v>262</v>
      </c>
      <c r="B55" s="5" t="s">
        <v>213</v>
      </c>
      <c r="C55" s="5" t="s">
        <v>196</v>
      </c>
      <c r="D55" s="5" t="s">
        <v>211</v>
      </c>
      <c r="E55" s="5"/>
      <c r="F55" s="5" t="s">
        <v>211</v>
      </c>
      <c r="H55" s="5" t="s">
        <v>211</v>
      </c>
      <c r="J55" s="5" t="s">
        <v>211</v>
      </c>
    </row>
    <row r="56" spans="1:11" x14ac:dyDescent="0.15">
      <c r="A56" t="s">
        <v>262</v>
      </c>
      <c r="B56" s="5" t="s">
        <v>278</v>
      </c>
      <c r="C56" s="5" t="s">
        <v>196</v>
      </c>
      <c r="D56" s="5"/>
      <c r="E56" s="5" t="s">
        <v>211</v>
      </c>
      <c r="F56" s="5"/>
      <c r="G56" s="5" t="s">
        <v>211</v>
      </c>
      <c r="I56" s="5" t="s">
        <v>211</v>
      </c>
      <c r="K56" s="5" t="s">
        <v>211</v>
      </c>
    </row>
    <row r="57" spans="1:11" x14ac:dyDescent="0.15">
      <c r="A57" t="s">
        <v>194</v>
      </c>
      <c r="B57" s="5" t="s">
        <v>213</v>
      </c>
      <c r="C57" s="5" t="s">
        <v>196</v>
      </c>
      <c r="D57" s="5" t="s">
        <v>211</v>
      </c>
      <c r="E57" s="5"/>
      <c r="F57" s="5" t="s">
        <v>211</v>
      </c>
    </row>
    <row r="58" spans="1:11" x14ac:dyDescent="0.15">
      <c r="A58" t="s">
        <v>194</v>
      </c>
      <c r="B58" s="5" t="s">
        <v>278</v>
      </c>
      <c r="C58" s="5" t="s">
        <v>196</v>
      </c>
      <c r="E58" t="s">
        <v>211</v>
      </c>
      <c r="G58" s="5" t="s">
        <v>211</v>
      </c>
    </row>
    <row r="59" spans="1:11" x14ac:dyDescent="0.15">
      <c r="A59" t="s">
        <v>180</v>
      </c>
      <c r="B59" s="5" t="s">
        <v>213</v>
      </c>
      <c r="C59" s="5" t="s">
        <v>195</v>
      </c>
    </row>
    <row r="60" spans="1:11" x14ac:dyDescent="0.15">
      <c r="A60" t="s">
        <v>180</v>
      </c>
      <c r="B60" s="5" t="s">
        <v>278</v>
      </c>
      <c r="C60" s="5" t="s">
        <v>195</v>
      </c>
    </row>
  </sheetData>
  <phoneticPr fontId="5" type="noConversion"/>
  <conditionalFormatting sqref="D55:F55 H55:Q55 D56:Q56 D57:F57 H57:Q57 D58:Q116 D2:Q31 D40:Q54">
    <cfRule type="cellIs" dxfId="51" priority="4" operator="equal">
      <formula>1</formula>
    </cfRule>
    <cfRule type="cellIs" dxfId="50" priority="5" operator="equal">
      <formula>"y"</formula>
    </cfRule>
    <cfRule type="cellIs" dxfId="49" priority="6" operator="equal">
      <formula>"x"</formula>
    </cfRule>
  </conditionalFormatting>
  <conditionalFormatting sqref="D2:Z302">
    <cfRule type="cellIs" dxfId="48" priority="3" operator="equal">
      <formula>"y"</formula>
    </cfRule>
  </conditionalFormatting>
  <conditionalFormatting sqref="D55:F55 H55:S55 D56:S56 D57:F57 H57:S57 D58:S78 D1:S36 D40:S54">
    <cfRule type="cellIs" dxfId="47" priority="2" operator="equal">
      <formula>"z"</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1518-9113-E24D-BA8D-D6AE9738F168}">
  <dimension ref="A1:H95"/>
  <sheetViews>
    <sheetView zoomScale="110" workbookViewId="0">
      <selection activeCell="E13" sqref="E13"/>
    </sheetView>
  </sheetViews>
  <sheetFormatPr baseColWidth="10" defaultRowHeight="13" x14ac:dyDescent="0.15"/>
  <cols>
    <col min="1" max="1" width="14" customWidth="1"/>
    <col min="2" max="2" width="13.6640625" customWidth="1"/>
    <col min="4" max="4" width="17.1640625" customWidth="1"/>
  </cols>
  <sheetData>
    <row r="1" spans="1:2" x14ac:dyDescent="0.15">
      <c r="A1" s="5" t="s">
        <v>148</v>
      </c>
      <c r="B1" s="5" t="s">
        <v>3701</v>
      </c>
    </row>
    <row r="2" spans="1:2" x14ac:dyDescent="0.15">
      <c r="A2" s="5" t="s">
        <v>979</v>
      </c>
      <c r="B2" s="5" t="s">
        <v>888</v>
      </c>
    </row>
    <row r="3" spans="1:2" x14ac:dyDescent="0.15">
      <c r="A3" s="5" t="s">
        <v>80</v>
      </c>
      <c r="B3" s="5" t="s">
        <v>892</v>
      </c>
    </row>
    <row r="4" spans="1:2" x14ac:dyDescent="0.15">
      <c r="A4" s="5" t="s">
        <v>1497</v>
      </c>
      <c r="B4" s="4" t="s">
        <v>890</v>
      </c>
    </row>
    <row r="5" spans="1:2" x14ac:dyDescent="0.15">
      <c r="A5" s="5" t="s">
        <v>29</v>
      </c>
      <c r="B5" s="5" t="s">
        <v>883</v>
      </c>
    </row>
    <row r="6" spans="1:2" x14ac:dyDescent="0.15">
      <c r="A6" s="5" t="s">
        <v>329</v>
      </c>
      <c r="B6" s="5" t="s">
        <v>890</v>
      </c>
    </row>
    <row r="7" spans="1:2" x14ac:dyDescent="0.15">
      <c r="A7" s="5" t="s">
        <v>322</v>
      </c>
      <c r="B7" s="4" t="s">
        <v>887</v>
      </c>
    </row>
    <row r="8" spans="1:2" x14ac:dyDescent="0.15">
      <c r="A8" s="5" t="s">
        <v>70</v>
      </c>
      <c r="B8" s="5" t="s">
        <v>892</v>
      </c>
    </row>
    <row r="9" spans="1:2" x14ac:dyDescent="0.15">
      <c r="A9" s="5" t="s">
        <v>859</v>
      </c>
      <c r="B9" s="5" t="s">
        <v>891</v>
      </c>
    </row>
    <row r="10" spans="1:2" x14ac:dyDescent="0.15">
      <c r="A10" s="5" t="s">
        <v>3632</v>
      </c>
      <c r="B10" s="5" t="s">
        <v>888</v>
      </c>
    </row>
    <row r="11" spans="1:2" x14ac:dyDescent="0.15">
      <c r="A11" s="5" t="s">
        <v>73</v>
      </c>
      <c r="B11" s="5" t="s">
        <v>892</v>
      </c>
    </row>
    <row r="12" spans="1:2" x14ac:dyDescent="0.15">
      <c r="A12" s="5" t="s">
        <v>860</v>
      </c>
      <c r="B12" s="5" t="s">
        <v>885</v>
      </c>
    </row>
    <row r="13" spans="1:2" x14ac:dyDescent="0.15">
      <c r="A13" s="5" t="s">
        <v>1150</v>
      </c>
      <c r="B13" s="5" t="s">
        <v>891</v>
      </c>
    </row>
    <row r="14" spans="1:2" x14ac:dyDescent="0.15">
      <c r="A14" s="5" t="s">
        <v>919</v>
      </c>
      <c r="B14" s="5" t="s">
        <v>891</v>
      </c>
    </row>
    <row r="15" spans="1:2" x14ac:dyDescent="0.15">
      <c r="A15" s="5" t="s">
        <v>30</v>
      </c>
      <c r="B15" s="5" t="s">
        <v>883</v>
      </c>
    </row>
    <row r="16" spans="1:2" x14ac:dyDescent="0.15">
      <c r="A16" s="5" t="s">
        <v>31</v>
      </c>
      <c r="B16" s="5" t="s">
        <v>892</v>
      </c>
    </row>
    <row r="17" spans="1:8" x14ac:dyDescent="0.15">
      <c r="A17" s="5" t="s">
        <v>32</v>
      </c>
      <c r="B17" s="5" t="s">
        <v>884</v>
      </c>
    </row>
    <row r="18" spans="1:8" x14ac:dyDescent="0.15">
      <c r="A18" s="5" t="s">
        <v>928</v>
      </c>
      <c r="B18" s="5" t="s">
        <v>892</v>
      </c>
    </row>
    <row r="19" spans="1:8" x14ac:dyDescent="0.15">
      <c r="A19" s="5" t="s">
        <v>33</v>
      </c>
      <c r="B19" s="4" t="s">
        <v>891</v>
      </c>
    </row>
    <row r="20" spans="1:8" x14ac:dyDescent="0.15">
      <c r="A20" t="s">
        <v>1220</v>
      </c>
      <c r="B20" s="4" t="s">
        <v>891</v>
      </c>
    </row>
    <row r="21" spans="1:8" x14ac:dyDescent="0.15">
      <c r="A21" t="s">
        <v>76</v>
      </c>
      <c r="B21" s="4" t="s">
        <v>892</v>
      </c>
    </row>
    <row r="22" spans="1:8" x14ac:dyDescent="0.15">
      <c r="A22" s="5" t="s">
        <v>1498</v>
      </c>
      <c r="B22" s="4" t="s">
        <v>885</v>
      </c>
    </row>
    <row r="23" spans="1:8" x14ac:dyDescent="0.15">
      <c r="A23" s="5" t="s">
        <v>861</v>
      </c>
      <c r="B23" s="4" t="s">
        <v>892</v>
      </c>
    </row>
    <row r="24" spans="1:8" x14ac:dyDescent="0.15">
      <c r="A24" s="5" t="s">
        <v>862</v>
      </c>
      <c r="B24" s="4" t="s">
        <v>892</v>
      </c>
    </row>
    <row r="25" spans="1:8" x14ac:dyDescent="0.15">
      <c r="A25" s="5" t="s">
        <v>2328</v>
      </c>
      <c r="B25" s="4" t="s">
        <v>887</v>
      </c>
    </row>
    <row r="26" spans="1:8" x14ac:dyDescent="0.15">
      <c r="A26" s="5" t="s">
        <v>863</v>
      </c>
      <c r="B26" s="4" t="s">
        <v>891</v>
      </c>
    </row>
    <row r="27" spans="1:8" x14ac:dyDescent="0.15">
      <c r="A27" s="5" t="s">
        <v>1230</v>
      </c>
      <c r="B27" s="4" t="s">
        <v>891</v>
      </c>
    </row>
    <row r="28" spans="1:8" x14ac:dyDescent="0.15">
      <c r="A28" t="s">
        <v>864</v>
      </c>
      <c r="B28" s="4" t="s">
        <v>889</v>
      </c>
    </row>
    <row r="29" spans="1:8" x14ac:dyDescent="0.15">
      <c r="A29" t="s">
        <v>865</v>
      </c>
      <c r="B29" s="4" t="s">
        <v>885</v>
      </c>
      <c r="H29" s="13"/>
    </row>
    <row r="30" spans="1:8" x14ac:dyDescent="0.15">
      <c r="A30" s="5" t="s">
        <v>2386</v>
      </c>
      <c r="B30" s="4" t="s">
        <v>885</v>
      </c>
      <c r="H30" s="13"/>
    </row>
    <row r="31" spans="1:8" x14ac:dyDescent="0.15">
      <c r="A31" s="5" t="s">
        <v>34</v>
      </c>
      <c r="B31" s="4" t="s">
        <v>885</v>
      </c>
      <c r="H31" s="13"/>
    </row>
    <row r="32" spans="1:8" x14ac:dyDescent="0.15">
      <c r="A32" s="5" t="s">
        <v>84</v>
      </c>
      <c r="B32" s="4" t="s">
        <v>890</v>
      </c>
      <c r="H32" s="13"/>
    </row>
    <row r="33" spans="1:8" x14ac:dyDescent="0.15">
      <c r="A33" s="5" t="s">
        <v>85</v>
      </c>
      <c r="B33" s="4" t="s">
        <v>891</v>
      </c>
      <c r="H33" s="13"/>
    </row>
    <row r="34" spans="1:8" x14ac:dyDescent="0.15">
      <c r="A34" t="s">
        <v>866</v>
      </c>
      <c r="B34" s="4" t="s">
        <v>885</v>
      </c>
      <c r="H34" s="13"/>
    </row>
    <row r="35" spans="1:8" x14ac:dyDescent="0.15">
      <c r="A35" s="5" t="s">
        <v>1279</v>
      </c>
      <c r="B35" s="4" t="s">
        <v>892</v>
      </c>
      <c r="H35" s="13"/>
    </row>
    <row r="36" spans="1:8" x14ac:dyDescent="0.15">
      <c r="A36" t="s">
        <v>316</v>
      </c>
      <c r="B36" s="4" t="s">
        <v>891</v>
      </c>
      <c r="H36" s="13"/>
    </row>
    <row r="37" spans="1:8" x14ac:dyDescent="0.15">
      <c r="A37" s="5" t="s">
        <v>323</v>
      </c>
      <c r="B37" s="4" t="s">
        <v>888</v>
      </c>
      <c r="H37" s="13"/>
    </row>
    <row r="38" spans="1:8" x14ac:dyDescent="0.15">
      <c r="A38" s="5" t="s">
        <v>71</v>
      </c>
      <c r="B38" s="4" t="s">
        <v>886</v>
      </c>
      <c r="H38" s="13"/>
    </row>
    <row r="39" spans="1:8" x14ac:dyDescent="0.15">
      <c r="A39" t="s">
        <v>35</v>
      </c>
      <c r="B39" s="4" t="s">
        <v>889</v>
      </c>
      <c r="H39" s="13"/>
    </row>
    <row r="40" spans="1:8" x14ac:dyDescent="0.15">
      <c r="A40" s="5" t="s">
        <v>1499</v>
      </c>
      <c r="B40" s="4" t="s">
        <v>887</v>
      </c>
      <c r="H40" s="13"/>
    </row>
    <row r="41" spans="1:8" x14ac:dyDescent="0.15">
      <c r="A41" s="5" t="s">
        <v>36</v>
      </c>
      <c r="B41" s="4" t="s">
        <v>3628</v>
      </c>
      <c r="H41" s="13"/>
    </row>
    <row r="42" spans="1:8" x14ac:dyDescent="0.15">
      <c r="A42" t="s">
        <v>37</v>
      </c>
      <c r="B42" s="4" t="s">
        <v>890</v>
      </c>
      <c r="H42" s="13"/>
    </row>
    <row r="43" spans="1:8" x14ac:dyDescent="0.15">
      <c r="A43" s="5" t="s">
        <v>3614</v>
      </c>
      <c r="B43" s="4" t="s">
        <v>889</v>
      </c>
      <c r="H43" s="13"/>
    </row>
    <row r="44" spans="1:8" x14ac:dyDescent="0.15">
      <c r="A44" s="5" t="s">
        <v>3615</v>
      </c>
      <c r="B44" s="4" t="s">
        <v>889</v>
      </c>
      <c r="H44" s="13"/>
    </row>
    <row r="45" spans="1:8" x14ac:dyDescent="0.15">
      <c r="A45" s="5" t="s">
        <v>1303</v>
      </c>
      <c r="B45" s="4" t="s">
        <v>888</v>
      </c>
      <c r="H45" s="13"/>
    </row>
    <row r="46" spans="1:8" x14ac:dyDescent="0.15">
      <c r="A46" t="s">
        <v>867</v>
      </c>
      <c r="B46" s="4" t="s">
        <v>890</v>
      </c>
      <c r="H46" s="13"/>
    </row>
    <row r="47" spans="1:8" x14ac:dyDescent="0.15">
      <c r="A47" t="s">
        <v>868</v>
      </c>
      <c r="B47" s="4" t="s">
        <v>889</v>
      </c>
      <c r="H47" s="13"/>
    </row>
    <row r="48" spans="1:8" x14ac:dyDescent="0.15">
      <c r="A48" s="5" t="s">
        <v>869</v>
      </c>
      <c r="B48" s="4" t="s">
        <v>888</v>
      </c>
    </row>
    <row r="49" spans="1:2" x14ac:dyDescent="0.15">
      <c r="A49" s="5" t="s">
        <v>77</v>
      </c>
      <c r="B49" s="4" t="s">
        <v>891</v>
      </c>
    </row>
    <row r="50" spans="1:2" x14ac:dyDescent="0.15">
      <c r="A50" s="5" t="s">
        <v>1307</v>
      </c>
      <c r="B50" s="4" t="s">
        <v>891</v>
      </c>
    </row>
    <row r="51" spans="1:2" x14ac:dyDescent="0.15">
      <c r="A51" s="5" t="s">
        <v>86</v>
      </c>
      <c r="B51" s="4" t="s">
        <v>889</v>
      </c>
    </row>
    <row r="52" spans="1:2" x14ac:dyDescent="0.15">
      <c r="A52" t="s">
        <v>870</v>
      </c>
      <c r="B52" s="4" t="s">
        <v>891</v>
      </c>
    </row>
    <row r="53" spans="1:2" x14ac:dyDescent="0.15">
      <c r="A53" t="s">
        <v>38</v>
      </c>
      <c r="B53" s="4" t="s">
        <v>892</v>
      </c>
    </row>
    <row r="54" spans="1:2" x14ac:dyDescent="0.15">
      <c r="A54" t="s">
        <v>328</v>
      </c>
      <c r="B54" s="4" t="s">
        <v>889</v>
      </c>
    </row>
    <row r="55" spans="1:2" x14ac:dyDescent="0.15">
      <c r="A55" s="5" t="s">
        <v>2612</v>
      </c>
      <c r="B55" s="4" t="s">
        <v>888</v>
      </c>
    </row>
    <row r="56" spans="1:2" x14ac:dyDescent="0.15">
      <c r="A56" s="5" t="s">
        <v>78</v>
      </c>
      <c r="B56" s="4" t="s">
        <v>887</v>
      </c>
    </row>
    <row r="57" spans="1:2" x14ac:dyDescent="0.15">
      <c r="A57" s="5" t="s">
        <v>2622</v>
      </c>
      <c r="B57" s="4" t="s">
        <v>891</v>
      </c>
    </row>
    <row r="58" spans="1:2" x14ac:dyDescent="0.15">
      <c r="A58" s="5" t="s">
        <v>1309</v>
      </c>
      <c r="B58" s="4" t="s">
        <v>889</v>
      </c>
    </row>
    <row r="59" spans="1:2" x14ac:dyDescent="0.15">
      <c r="A59" t="s">
        <v>871</v>
      </c>
      <c r="B59" s="4" t="s">
        <v>891</v>
      </c>
    </row>
    <row r="60" spans="1:2" x14ac:dyDescent="0.15">
      <c r="A60" s="5" t="s">
        <v>3575</v>
      </c>
      <c r="B60" s="4" t="s">
        <v>885</v>
      </c>
    </row>
    <row r="61" spans="1:2" x14ac:dyDescent="0.15">
      <c r="A61" t="s">
        <v>74</v>
      </c>
      <c r="B61" s="4" t="s">
        <v>889</v>
      </c>
    </row>
    <row r="62" spans="1:2" x14ac:dyDescent="0.15">
      <c r="A62" s="5" t="s">
        <v>3576</v>
      </c>
      <c r="B62" s="4" t="s">
        <v>883</v>
      </c>
    </row>
    <row r="63" spans="1:2" x14ac:dyDescent="0.15">
      <c r="A63" s="5" t="s">
        <v>324</v>
      </c>
      <c r="B63" s="4" t="s">
        <v>885</v>
      </c>
    </row>
    <row r="64" spans="1:2" x14ac:dyDescent="0.15">
      <c r="A64" s="5" t="s">
        <v>1320</v>
      </c>
      <c r="B64" s="4" t="s">
        <v>887</v>
      </c>
    </row>
    <row r="65" spans="1:2" x14ac:dyDescent="0.15">
      <c r="A65" t="s">
        <v>872</v>
      </c>
      <c r="B65" s="4" t="s">
        <v>892</v>
      </c>
    </row>
    <row r="66" spans="1:2" x14ac:dyDescent="0.15">
      <c r="A66" t="s">
        <v>873</v>
      </c>
      <c r="B66" s="4" t="s">
        <v>889</v>
      </c>
    </row>
    <row r="67" spans="1:2" x14ac:dyDescent="0.15">
      <c r="A67" s="5" t="s">
        <v>1500</v>
      </c>
      <c r="B67" s="4" t="s">
        <v>889</v>
      </c>
    </row>
    <row r="68" spans="1:2" x14ac:dyDescent="0.15">
      <c r="A68" s="5" t="s">
        <v>39</v>
      </c>
      <c r="B68" s="4" t="s">
        <v>892</v>
      </c>
    </row>
    <row r="69" spans="1:2" x14ac:dyDescent="0.15">
      <c r="A69" t="s">
        <v>75</v>
      </c>
      <c r="B69" s="4" t="s">
        <v>889</v>
      </c>
    </row>
    <row r="70" spans="1:2" x14ac:dyDescent="0.15">
      <c r="A70" t="s">
        <v>40</v>
      </c>
      <c r="B70" s="4" t="s">
        <v>885</v>
      </c>
    </row>
    <row r="71" spans="1:2" x14ac:dyDescent="0.15">
      <c r="A71" t="s">
        <v>81</v>
      </c>
      <c r="B71" s="4" t="s">
        <v>885</v>
      </c>
    </row>
    <row r="72" spans="1:2" x14ac:dyDescent="0.15">
      <c r="A72" s="5" t="s">
        <v>1355</v>
      </c>
      <c r="B72" s="4" t="s">
        <v>892</v>
      </c>
    </row>
    <row r="73" spans="1:2" x14ac:dyDescent="0.15">
      <c r="A73" s="5" t="s">
        <v>3577</v>
      </c>
      <c r="B73" s="4" t="s">
        <v>887</v>
      </c>
    </row>
    <row r="74" spans="1:2" x14ac:dyDescent="0.15">
      <c r="A74" t="s">
        <v>874</v>
      </c>
      <c r="B74" s="4" t="s">
        <v>885</v>
      </c>
    </row>
    <row r="75" spans="1:2" x14ac:dyDescent="0.15">
      <c r="A75" t="s">
        <v>41</v>
      </c>
      <c r="B75" s="4" t="s">
        <v>890</v>
      </c>
    </row>
    <row r="76" spans="1:2" x14ac:dyDescent="0.15">
      <c r="A76" s="5" t="s">
        <v>319</v>
      </c>
      <c r="B76" s="4" t="s">
        <v>887</v>
      </c>
    </row>
    <row r="77" spans="1:2" x14ac:dyDescent="0.15">
      <c r="A77" s="5" t="s">
        <v>1402</v>
      </c>
      <c r="B77" s="4" t="s">
        <v>888</v>
      </c>
    </row>
    <row r="78" spans="1:2" x14ac:dyDescent="0.15">
      <c r="A78" s="5" t="s">
        <v>2958</v>
      </c>
      <c r="B78" s="4" t="s">
        <v>885</v>
      </c>
    </row>
    <row r="79" spans="1:2" x14ac:dyDescent="0.15">
      <c r="A79" s="5" t="s">
        <v>3578</v>
      </c>
      <c r="B79" s="4" t="s">
        <v>885</v>
      </c>
    </row>
    <row r="80" spans="1:2" x14ac:dyDescent="0.15">
      <c r="A80" t="s">
        <v>1407</v>
      </c>
      <c r="B80" s="4" t="s">
        <v>889</v>
      </c>
    </row>
    <row r="81" spans="1:2" x14ac:dyDescent="0.15">
      <c r="A81" t="s">
        <v>87</v>
      </c>
      <c r="B81" s="4" t="s">
        <v>891</v>
      </c>
    </row>
    <row r="82" spans="1:2" x14ac:dyDescent="0.15">
      <c r="A82" t="s">
        <v>320</v>
      </c>
      <c r="B82" s="4" t="s">
        <v>885</v>
      </c>
    </row>
    <row r="83" spans="1:2" x14ac:dyDescent="0.15">
      <c r="A83" t="s">
        <v>72</v>
      </c>
      <c r="B83" s="4" t="s">
        <v>885</v>
      </c>
    </row>
    <row r="84" spans="1:2" x14ac:dyDescent="0.15">
      <c r="A84" s="5" t="s">
        <v>3579</v>
      </c>
      <c r="B84" s="4" t="s">
        <v>890</v>
      </c>
    </row>
    <row r="85" spans="1:2" x14ac:dyDescent="0.15">
      <c r="A85" t="s">
        <v>875</v>
      </c>
      <c r="B85" s="4" t="s">
        <v>891</v>
      </c>
    </row>
    <row r="86" spans="1:2" x14ac:dyDescent="0.15">
      <c r="A86" s="5" t="s">
        <v>1462</v>
      </c>
      <c r="B86" s="4" t="s">
        <v>891</v>
      </c>
    </row>
    <row r="87" spans="1:2" x14ac:dyDescent="0.15">
      <c r="A87" s="3" t="s">
        <v>79</v>
      </c>
      <c r="B87" s="4" t="s">
        <v>888</v>
      </c>
    </row>
    <row r="88" spans="1:2" x14ac:dyDescent="0.15">
      <c r="A88" s="4" t="s">
        <v>3580</v>
      </c>
      <c r="B88" s="4" t="s">
        <v>887</v>
      </c>
    </row>
    <row r="89" spans="1:2" x14ac:dyDescent="0.15">
      <c r="A89" s="4" t="s">
        <v>3581</v>
      </c>
      <c r="B89" s="4" t="s">
        <v>885</v>
      </c>
    </row>
    <row r="90" spans="1:2" x14ac:dyDescent="0.15">
      <c r="A90" s="5" t="s">
        <v>437</v>
      </c>
      <c r="B90" s="4" t="s">
        <v>437</v>
      </c>
    </row>
    <row r="91" spans="1:2" x14ac:dyDescent="0.15">
      <c r="A91" s="5" t="s">
        <v>1501</v>
      </c>
      <c r="B91" s="4" t="s">
        <v>890</v>
      </c>
    </row>
    <row r="92" spans="1:2" x14ac:dyDescent="0.15">
      <c r="A92" s="5" t="s">
        <v>1491</v>
      </c>
      <c r="B92" s="4" t="s">
        <v>892</v>
      </c>
    </row>
    <row r="93" spans="1:2" x14ac:dyDescent="0.15">
      <c r="A93" s="3" t="s">
        <v>321</v>
      </c>
      <c r="B93" s="4" t="s">
        <v>889</v>
      </c>
    </row>
    <row r="94" spans="1:2" x14ac:dyDescent="0.15">
      <c r="A94" t="s">
        <v>42</v>
      </c>
      <c r="B94" s="4" t="s">
        <v>891</v>
      </c>
    </row>
    <row r="95" spans="1:2" x14ac:dyDescent="0.15">
      <c r="A95" t="s">
        <v>82</v>
      </c>
      <c r="B95" s="4" t="s">
        <v>891</v>
      </c>
    </row>
  </sheetData>
  <phoneticPr fontId="5" type="noConversion"/>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F0E63-BB9C-1C43-AA97-3F6EF0FC7F61}">
  <dimension ref="A1:AL117"/>
  <sheetViews>
    <sheetView zoomScale="110" zoomScaleNormal="75" workbookViewId="0">
      <pane xSplit="4" topLeftCell="E1" activePane="topRight" state="frozen"/>
      <selection pane="topRight" activeCell="F63" sqref="F63"/>
    </sheetView>
  </sheetViews>
  <sheetFormatPr baseColWidth="10" defaultRowHeight="13" x14ac:dyDescent="0.15"/>
  <cols>
    <col min="1" max="1" width="8.83203125" customWidth="1"/>
    <col min="3" max="3" width="8" customWidth="1"/>
    <col min="4" max="4" width="26.1640625" customWidth="1"/>
    <col min="5" max="5" width="6.33203125" customWidth="1"/>
    <col min="6" max="6" width="13" customWidth="1"/>
    <col min="7" max="7" width="15" customWidth="1"/>
    <col min="8" max="8" width="12" customWidth="1"/>
    <col min="11" max="11" width="10.83203125" style="14" customWidth="1"/>
    <col min="14" max="14" width="10.83203125" style="14"/>
    <col min="17" max="17" width="10.83203125" style="14"/>
    <col min="20" max="20" width="10.83203125" style="14"/>
    <col min="23" max="23" width="9.6640625" style="14" customWidth="1"/>
    <col min="24" max="24" width="10.1640625" customWidth="1"/>
    <col min="26" max="26" width="10.83203125" style="14"/>
  </cols>
  <sheetData>
    <row r="1" spans="1:26" s="14" customFormat="1" x14ac:dyDescent="0.15">
      <c r="A1" s="14" t="s">
        <v>3611</v>
      </c>
      <c r="B1" s="14" t="s">
        <v>337</v>
      </c>
      <c r="C1" s="14" t="s">
        <v>336</v>
      </c>
      <c r="D1" s="73" t="s">
        <v>3643</v>
      </c>
      <c r="E1" s="14" t="s">
        <v>162</v>
      </c>
      <c r="F1" s="14" t="s">
        <v>333</v>
      </c>
      <c r="G1" s="14" t="s">
        <v>3670</v>
      </c>
      <c r="H1" s="14">
        <v>2022</v>
      </c>
      <c r="K1" s="14">
        <v>2025</v>
      </c>
      <c r="N1" s="14">
        <v>2030</v>
      </c>
      <c r="Q1" s="14">
        <v>2035</v>
      </c>
      <c r="T1" s="14">
        <v>2040</v>
      </c>
      <c r="W1" s="14">
        <v>2045</v>
      </c>
      <c r="Z1" s="14">
        <v>2050</v>
      </c>
    </row>
    <row r="2" spans="1:26" s="3" customFormat="1" x14ac:dyDescent="0.15">
      <c r="A2" s="3" t="s">
        <v>3612</v>
      </c>
      <c r="B2" s="4" t="s">
        <v>884</v>
      </c>
      <c r="C2" s="4" t="s">
        <v>96</v>
      </c>
      <c r="D2" s="3" t="s">
        <v>420</v>
      </c>
      <c r="E2" s="4" t="s">
        <v>45</v>
      </c>
      <c r="F2" s="4" t="s">
        <v>3671</v>
      </c>
      <c r="G2" s="102" t="s">
        <v>3681</v>
      </c>
      <c r="H2" s="58">
        <f>SUM(data_alu_remind!C47:C72)</f>
        <v>0.1980727334611731</v>
      </c>
      <c r="I2" s="40"/>
      <c r="J2" s="40"/>
      <c r="K2" s="40">
        <f>SUM(data_alu_remind!F47:F72)</f>
        <v>0.23529780498702857</v>
      </c>
      <c r="L2" s="40"/>
      <c r="M2" s="40"/>
      <c r="N2" s="40">
        <f>SUM(data_alu_remind!I47:I72)</f>
        <v>0.1970685853095771</v>
      </c>
      <c r="O2" s="40"/>
      <c r="P2" s="40"/>
      <c r="Q2" s="40">
        <f>SUM(data_alu_remind!L47:L72)</f>
        <v>0.16152237527107752</v>
      </c>
      <c r="R2" s="40"/>
      <c r="S2" s="40"/>
      <c r="T2" s="40">
        <f>SUM(data_alu_remind!O47:O72)</f>
        <v>0.15060222463537187</v>
      </c>
      <c r="U2" s="40"/>
      <c r="V2" s="40"/>
      <c r="W2" s="40">
        <f>SUM(data_alu_remind!R47:R72)</f>
        <v>0.14822000250557987</v>
      </c>
      <c r="X2" s="40"/>
      <c r="Y2" s="40"/>
      <c r="Z2" s="40">
        <f>SUM(data_alu_remind!U47:U72)</f>
        <v>0.14894121535345603</v>
      </c>
    </row>
    <row r="3" spans="1:26" x14ac:dyDescent="0.15">
      <c r="A3" t="s">
        <v>3612</v>
      </c>
      <c r="B3" s="5" t="s">
        <v>884</v>
      </c>
      <c r="C3" s="5" t="s">
        <v>96</v>
      </c>
      <c r="D3" t="s">
        <v>421</v>
      </c>
      <c r="E3" s="5" t="s">
        <v>45</v>
      </c>
      <c r="F3" s="4" t="s">
        <v>3671</v>
      </c>
      <c r="G3" s="102"/>
      <c r="H3" s="59">
        <f>SUM(data_alu_remind!C4:C11)+SUM(data_alu_remind!C16:C46)+data_alu_remind!C73+data_alu_remind!C213</f>
        <v>0.48845766953481073</v>
      </c>
      <c r="I3" s="27"/>
      <c r="J3" s="27"/>
      <c r="K3" s="27">
        <f>SUM(data_alu_remind!F4:F11)+SUM(data_alu_remind!F16:F46)+data_alu_remind!F73+data_alu_remind!F213</f>
        <v>0.25744500216352706</v>
      </c>
      <c r="L3" s="27"/>
      <c r="M3" s="27"/>
      <c r="N3" s="27">
        <f>SUM(data_alu_remind!I4:I11)+SUM(data_alu_remind!I16:I46)+data_alu_remind!I73+data_alu_remind!I213</f>
        <v>2.7192989539871138E-2</v>
      </c>
      <c r="O3" s="27"/>
      <c r="P3" s="27"/>
      <c r="Q3" s="27">
        <f>SUM(data_alu_remind!L4:L11)+SUM(data_alu_remind!L16:L46)+data_alu_remind!L73+data_alu_remind!L213</f>
        <v>3.7661144540019524E-5</v>
      </c>
      <c r="R3" s="27"/>
      <c r="S3" s="27"/>
      <c r="T3" s="27">
        <f>SUM(data_alu_remind!O4:O11)+SUM(data_alu_remind!O16:O46)+data_alu_remind!O73+data_alu_remind!O213</f>
        <v>2.9859243826100267E-5</v>
      </c>
      <c r="U3" s="27"/>
      <c r="V3" s="27"/>
      <c r="W3" s="27">
        <f>SUM(data_alu_remind!R4:R11)+SUM(data_alu_remind!R16:R46)+data_alu_remind!R73+data_alu_remind!R213</f>
        <v>2.3001659860060505E-5</v>
      </c>
      <c r="X3" s="27"/>
      <c r="Y3" s="27"/>
      <c r="Z3" s="27">
        <f>SUM(data_alu_remind!U4:U11)+SUM(data_alu_remind!U16:U46)+data_alu_remind!U73+data_alu_remind!U213</f>
        <v>1.5617288153321811E-5</v>
      </c>
    </row>
    <row r="4" spans="1:26" x14ac:dyDescent="0.15">
      <c r="A4" t="s">
        <v>3612</v>
      </c>
      <c r="B4" s="5" t="s">
        <v>884</v>
      </c>
      <c r="C4" s="5" t="s">
        <v>96</v>
      </c>
      <c r="D4" t="s">
        <v>422</v>
      </c>
      <c r="E4" s="5" t="s">
        <v>45</v>
      </c>
      <c r="F4" s="4" t="s">
        <v>3671</v>
      </c>
      <c r="G4" s="102"/>
      <c r="H4" s="59">
        <f>SUM(data_alu_remind!C111:C141)</f>
        <v>4.8270390335506778E-3</v>
      </c>
      <c r="I4" s="27"/>
      <c r="J4" s="27"/>
      <c r="K4" s="27">
        <f>SUM(data_alu_remind!F111:F141)</f>
        <v>3.7705974857300283E-3</v>
      </c>
      <c r="L4" s="27"/>
      <c r="M4" s="27"/>
      <c r="N4" s="27">
        <f>SUM(data_alu_remind!I111:I141)</f>
        <v>1.1568948790432788E-3</v>
      </c>
      <c r="O4" s="27"/>
      <c r="P4" s="27"/>
      <c r="Q4" s="27">
        <f>SUM(data_alu_remind!L111:L141)</f>
        <v>1.9178176723132529E-8</v>
      </c>
      <c r="R4" s="27"/>
      <c r="S4" s="27"/>
      <c r="T4" s="27">
        <f>SUM(data_alu_remind!O111:O141)</f>
        <v>1.7735091737233819E-8</v>
      </c>
      <c r="U4" s="27"/>
      <c r="V4" s="27"/>
      <c r="W4" s="27">
        <f>SUM(data_alu_remind!R111:R141)</f>
        <v>1.7448632550776035E-8</v>
      </c>
      <c r="X4" s="27"/>
      <c r="Y4" s="27"/>
      <c r="Z4" s="27">
        <f>SUM(data_alu_remind!U111:U141)</f>
        <v>1.7587036208695758E-8</v>
      </c>
    </row>
    <row r="5" spans="1:26" x14ac:dyDescent="0.15">
      <c r="A5" t="s">
        <v>3612</v>
      </c>
      <c r="B5" s="5" t="s">
        <v>884</v>
      </c>
      <c r="C5" s="5" t="s">
        <v>96</v>
      </c>
      <c r="D5" t="s">
        <v>423</v>
      </c>
      <c r="E5" s="5" t="s">
        <v>45</v>
      </c>
      <c r="F5" s="4" t="s">
        <v>3671</v>
      </c>
      <c r="G5" s="102"/>
      <c r="H5" s="59">
        <f>data_alu_remind!C12+SUM(data_alu_remind!C74:C104)+data_alu_remind!C214</f>
        <v>4.1249060812205307E-2</v>
      </c>
      <c r="I5" s="27"/>
      <c r="J5" s="27"/>
      <c r="K5" s="27">
        <f>data_alu_remind!F12+SUM(data_alu_remind!F74:F104)+data_alu_remind!F214</f>
        <v>5.5379539244667708E-2</v>
      </c>
      <c r="L5" s="27"/>
      <c r="M5" s="27"/>
      <c r="N5" s="27">
        <f>data_alu_remind!I12+SUM(data_alu_remind!I74:I104)+data_alu_remind!I214</f>
        <v>5.3049433105436243E-2</v>
      </c>
      <c r="O5" s="27"/>
      <c r="P5" s="27"/>
      <c r="Q5" s="27">
        <f>data_alu_remind!L12+SUM(data_alu_remind!L74:L104)+data_alu_remind!L214</f>
        <v>2.6130860308723351E-2</v>
      </c>
      <c r="R5" s="27"/>
      <c r="S5" s="27"/>
      <c r="T5" s="27">
        <f>data_alu_remind!O12+SUM(data_alu_remind!O74:O104)+data_alu_remind!O214</f>
        <v>1.1029786084355786E-2</v>
      </c>
      <c r="U5" s="27"/>
      <c r="V5" s="27"/>
      <c r="W5" s="27">
        <f>data_alu_remind!R12+SUM(data_alu_remind!R74:R104)+data_alu_remind!R214</f>
        <v>3.8190607252348314E-3</v>
      </c>
      <c r="X5" s="27"/>
      <c r="Y5" s="27"/>
      <c r="Z5" s="27">
        <f>data_alu_remind!U12+SUM(data_alu_remind!U74:U104)+data_alu_remind!U214</f>
        <v>9.5062107629100196E-4</v>
      </c>
    </row>
    <row r="6" spans="1:26" x14ac:dyDescent="0.15">
      <c r="A6" t="s">
        <v>3612</v>
      </c>
      <c r="B6" s="5" t="s">
        <v>884</v>
      </c>
      <c r="C6" s="5" t="s">
        <v>96</v>
      </c>
      <c r="D6" t="s">
        <v>424</v>
      </c>
      <c r="E6" s="5" t="s">
        <v>45</v>
      </c>
      <c r="F6" s="4" t="s">
        <v>3671</v>
      </c>
      <c r="G6" s="102"/>
      <c r="H6" s="59">
        <f>SUM(data_alu_remind!C105:C110)</f>
        <v>7.267854130878415E-2</v>
      </c>
      <c r="I6" s="27"/>
      <c r="J6" s="27"/>
      <c r="K6" s="27">
        <f>SUM(data_alu_remind!F105:F110)</f>
        <v>9.1476883712492407E-2</v>
      </c>
      <c r="L6" s="27"/>
      <c r="M6" s="27"/>
      <c r="N6" s="27">
        <f>SUM(data_alu_remind!I105:I110)</f>
        <v>0.10521444965635172</v>
      </c>
      <c r="O6" s="27"/>
      <c r="P6" s="27"/>
      <c r="Q6" s="27">
        <f>SUM(data_alu_remind!L105:L110)</f>
        <v>0.10707391579276344</v>
      </c>
      <c r="R6" s="27"/>
      <c r="S6" s="27"/>
      <c r="T6" s="27">
        <f>SUM(data_alu_remind!O105:O110)</f>
        <v>0.11276481653797987</v>
      </c>
      <c r="U6" s="27"/>
      <c r="V6" s="27"/>
      <c r="W6" s="27">
        <f>SUM(data_alu_remind!R105:R110)</f>
        <v>0.11750107419779918</v>
      </c>
      <c r="X6" s="27"/>
      <c r="Y6" s="27"/>
      <c r="Z6" s="27">
        <f>SUM(data_alu_remind!U105:U110)</f>
        <v>0.11985902627483383</v>
      </c>
    </row>
    <row r="7" spans="1:26" x14ac:dyDescent="0.15">
      <c r="A7" t="s">
        <v>3612</v>
      </c>
      <c r="B7" s="5" t="s">
        <v>884</v>
      </c>
      <c r="C7" s="5" t="s">
        <v>96</v>
      </c>
      <c r="D7" s="5" t="s">
        <v>20</v>
      </c>
      <c r="E7" s="5" t="s">
        <v>45</v>
      </c>
      <c r="F7" s="4" t="s">
        <v>3671</v>
      </c>
      <c r="G7" s="102"/>
      <c r="H7" s="59">
        <f>SUM(data_alu_remind!C145:C212)</f>
        <v>8.6259372226162825E-2</v>
      </c>
      <c r="I7" s="27"/>
      <c r="J7" s="27"/>
      <c r="K7" s="27">
        <f>SUM(data_alu_remind!F145:F212)</f>
        <v>0.1471303112260661</v>
      </c>
      <c r="L7" s="27"/>
      <c r="M7" s="27"/>
      <c r="N7" s="27">
        <f>SUM(data_alu_remind!I145:I212)</f>
        <v>0.22486629225091384</v>
      </c>
      <c r="O7" s="27"/>
      <c r="P7" s="27"/>
      <c r="Q7" s="27">
        <f>SUM(data_alu_remind!L145:L212)</f>
        <v>0.26551523546602163</v>
      </c>
      <c r="R7" s="27"/>
      <c r="S7" s="27"/>
      <c r="T7" s="27">
        <f>SUM(data_alu_remind!O145:O212)</f>
        <v>0.28136526403291795</v>
      </c>
      <c r="U7" s="27"/>
      <c r="V7" s="27"/>
      <c r="W7" s="27">
        <f>SUM(data_alu_remind!R145:R212)</f>
        <v>0.28423444662319419</v>
      </c>
      <c r="X7" s="27"/>
      <c r="Y7" s="27"/>
      <c r="Z7" s="27">
        <f>SUM(data_alu_remind!U145:U212)</f>
        <v>0.28616819392855458</v>
      </c>
    </row>
    <row r="8" spans="1:26" x14ac:dyDescent="0.15">
      <c r="A8" t="s">
        <v>3612</v>
      </c>
      <c r="B8" s="5" t="s">
        <v>884</v>
      </c>
      <c r="C8" s="5" t="s">
        <v>96</v>
      </c>
      <c r="D8" s="5" t="s">
        <v>3610</v>
      </c>
      <c r="E8" s="5" t="s">
        <v>45</v>
      </c>
      <c r="F8" s="4" t="s">
        <v>3671</v>
      </c>
      <c r="G8" s="102"/>
      <c r="H8" s="59">
        <f>SUM(data_alu_remind!C142:C144)</f>
        <v>9.6519222348309466E-2</v>
      </c>
      <c r="I8" s="27"/>
      <c r="J8" s="27"/>
      <c r="K8" s="27">
        <f>SUM(data_alu_remind!F142:F144)</f>
        <v>0.19758009534600349</v>
      </c>
      <c r="L8" s="27"/>
      <c r="M8" s="27"/>
      <c r="N8" s="27">
        <f>SUM(data_alu_remind!I142:I144)</f>
        <v>0.38210193262806802</v>
      </c>
      <c r="O8" s="27"/>
      <c r="P8" s="27"/>
      <c r="Q8" s="27">
        <f>SUM(data_alu_remind!L142:L144)</f>
        <v>0.43089148692505852</v>
      </c>
      <c r="R8" s="27"/>
      <c r="S8" s="27"/>
      <c r="T8" s="27">
        <f>SUM(data_alu_remind!O142:O144)</f>
        <v>0.43542041126963832</v>
      </c>
      <c r="U8" s="27"/>
      <c r="V8" s="27"/>
      <c r="W8" s="27">
        <f>SUM(data_alu_remind!R142:R144)</f>
        <v>0.43568905263916757</v>
      </c>
      <c r="X8" s="27"/>
      <c r="Y8" s="27"/>
      <c r="Z8" s="27">
        <f>SUM(data_alu_remind!U142:U144)</f>
        <v>0.4319393657908086</v>
      </c>
    </row>
    <row r="9" spans="1:26" s="3" customFormat="1" x14ac:dyDescent="0.15">
      <c r="A9" s="3" t="s">
        <v>3612</v>
      </c>
      <c r="B9" s="4" t="s">
        <v>884</v>
      </c>
      <c r="C9" s="4" t="s">
        <v>96</v>
      </c>
      <c r="D9" s="4" t="s">
        <v>22</v>
      </c>
      <c r="E9" s="4" t="s">
        <v>45</v>
      </c>
      <c r="F9" s="4" t="s">
        <v>3671</v>
      </c>
      <c r="G9" s="102"/>
      <c r="H9" s="58">
        <f>data_alu_remind!C15</f>
        <v>0</v>
      </c>
      <c r="I9" s="40"/>
      <c r="J9" s="40"/>
      <c r="K9" s="40">
        <f>data_alu_remind!F15</f>
        <v>0</v>
      </c>
      <c r="L9" s="40"/>
      <c r="M9" s="40"/>
      <c r="N9" s="40">
        <f>data_alu_remind!I15</f>
        <v>1.4993414727324101E-8</v>
      </c>
      <c r="O9" s="40"/>
      <c r="P9" s="40"/>
      <c r="Q9" s="40">
        <f>data_alu_remind!L15</f>
        <v>1.6239960185529701E-3</v>
      </c>
      <c r="R9" s="40"/>
      <c r="S9" s="40"/>
      <c r="T9" s="40">
        <f>data_alu_remind!O15</f>
        <v>2.57217355992623E-3</v>
      </c>
      <c r="U9" s="40"/>
      <c r="V9" s="40"/>
      <c r="W9" s="40">
        <f>data_alu_remind!R15</f>
        <v>5.1100327017690999E-3</v>
      </c>
      <c r="X9" s="40"/>
      <c r="Y9" s="40"/>
      <c r="Z9" s="40">
        <f>data_alu_remind!U15</f>
        <v>7.7145468378058196E-3</v>
      </c>
    </row>
    <row r="10" spans="1:26" s="3" customFormat="1" x14ac:dyDescent="0.15">
      <c r="A10" s="3" t="s">
        <v>3612</v>
      </c>
      <c r="B10" s="4" t="s">
        <v>884</v>
      </c>
      <c r="C10" s="4" t="s">
        <v>96</v>
      </c>
      <c r="D10" s="4" t="s">
        <v>3512</v>
      </c>
      <c r="E10" s="4" t="s">
        <v>45</v>
      </c>
      <c r="F10" s="4" t="s">
        <v>3671</v>
      </c>
      <c r="G10" s="102"/>
      <c r="H10" s="58">
        <f>data_alu_remind!C2+data_alu_remind!C3+data_alu_remind!C215</f>
        <v>1.1894343853171556E-2</v>
      </c>
      <c r="I10" s="40"/>
      <c r="J10" s="40"/>
      <c r="K10" s="40">
        <f>data_alu_remind!F2+data_alu_remind!F3+data_alu_remind!F215</f>
        <v>1.1850314612077273E-2</v>
      </c>
      <c r="L10" s="40"/>
      <c r="M10" s="40"/>
      <c r="N10" s="40">
        <f>data_alu_remind!I2+data_alu_remind!I3+data_alu_remind!I215</f>
        <v>9.2594471489582525E-3</v>
      </c>
      <c r="O10" s="40"/>
      <c r="P10" s="40"/>
      <c r="Q10" s="40">
        <f>data_alu_remind!L2+data_alu_remind!L3+data_alu_remind!L215</f>
        <v>7.13253173237302E-3</v>
      </c>
      <c r="R10" s="40"/>
      <c r="S10" s="40"/>
      <c r="T10" s="40">
        <f>data_alu_remind!O2+data_alu_remind!O3+data_alu_remind!O215</f>
        <v>6.1489403068757369E-3</v>
      </c>
      <c r="U10" s="40"/>
      <c r="V10" s="40"/>
      <c r="W10" s="40">
        <f>data_alu_remind!R2+data_alu_remind!R3+data_alu_remind!R215</f>
        <v>5.3378791266961989E-3</v>
      </c>
      <c r="X10" s="40"/>
      <c r="Y10" s="40"/>
      <c r="Z10" s="40">
        <f>data_alu_remind!U2+data_alu_remind!U3+data_alu_remind!U215</f>
        <v>4.3484760426424863E-3</v>
      </c>
    </row>
    <row r="11" spans="1:26" s="3" customFormat="1" x14ac:dyDescent="0.15">
      <c r="A11" s="3" t="s">
        <v>3612</v>
      </c>
      <c r="B11" s="4" t="s">
        <v>884</v>
      </c>
      <c r="C11" s="4" t="s">
        <v>96</v>
      </c>
      <c r="D11" s="4" t="s">
        <v>3511</v>
      </c>
      <c r="E11" s="4" t="s">
        <v>45</v>
      </c>
      <c r="F11" s="4" t="s">
        <v>3671</v>
      </c>
      <c r="G11" s="102"/>
      <c r="H11" s="58">
        <f>data_alu_remind!C13+data_alu_remind!C14</f>
        <v>4.2017421830123601E-5</v>
      </c>
      <c r="I11" s="40"/>
      <c r="J11" s="40"/>
      <c r="K11" s="40">
        <f>data_alu_remind!F13+data_alu_remind!F14</f>
        <v>6.9451222405597597E-5</v>
      </c>
      <c r="L11" s="40"/>
      <c r="M11" s="40"/>
      <c r="N11" s="40">
        <f>data_alu_remind!I13+data_alu_remind!I14</f>
        <v>8.9960488363945E-5</v>
      </c>
      <c r="O11" s="40"/>
      <c r="P11" s="40"/>
      <c r="Q11" s="40">
        <f>data_alu_remind!L13+data_alu_remind!L14</f>
        <v>7.1918162711683399E-5</v>
      </c>
      <c r="R11" s="40"/>
      <c r="S11" s="40"/>
      <c r="T11" s="40">
        <f>data_alu_remind!O13+data_alu_remind!O14</f>
        <v>6.6506594014626797E-5</v>
      </c>
      <c r="U11" s="40"/>
      <c r="V11" s="40"/>
      <c r="W11" s="40">
        <f>data_alu_remind!R13+data_alu_remind!R14</f>
        <v>6.5432372065410199E-5</v>
      </c>
      <c r="X11" s="40"/>
      <c r="Y11" s="40"/>
      <c r="Z11" s="40">
        <f>data_alu_remind!U13+data_alu_remind!U14</f>
        <v>6.29198204161352E-5</v>
      </c>
    </row>
    <row r="12" spans="1:26" s="3" customFormat="1" x14ac:dyDescent="0.15">
      <c r="B12" s="4"/>
      <c r="C12" s="4"/>
      <c r="D12" s="4"/>
      <c r="E12" s="4"/>
      <c r="F12" s="4"/>
      <c r="G12" s="4"/>
      <c r="H12" s="40"/>
      <c r="I12" s="40"/>
      <c r="J12" s="40"/>
      <c r="K12" s="40"/>
      <c r="L12" s="40"/>
      <c r="M12" s="40"/>
      <c r="N12" s="40"/>
      <c r="O12" s="40"/>
      <c r="P12" s="40"/>
      <c r="Q12" s="40"/>
      <c r="R12" s="40"/>
      <c r="S12" s="40"/>
      <c r="T12" s="40"/>
      <c r="U12" s="40"/>
      <c r="V12" s="40"/>
      <c r="W12" s="40"/>
      <c r="X12" s="40"/>
      <c r="Y12" s="40"/>
      <c r="Z12" s="40"/>
    </row>
    <row r="13" spans="1:26" s="41" customFormat="1" ht="13" customHeight="1" x14ac:dyDescent="0.15">
      <c r="A13" s="41" t="s">
        <v>3612</v>
      </c>
      <c r="B13" s="41" t="s">
        <v>884</v>
      </c>
      <c r="C13" s="41" t="s">
        <v>96</v>
      </c>
      <c r="D13" s="41" t="s">
        <v>420</v>
      </c>
      <c r="E13" s="41" t="s">
        <v>45</v>
      </c>
      <c r="F13" s="4" t="s">
        <v>3671</v>
      </c>
      <c r="G13" s="101" t="s">
        <v>3655</v>
      </c>
      <c r="H13" s="52">
        <f t="shared" ref="H13:H20" si="0">H2/(H$2+H$3+H$4+H$5+H$6+H$7+H$8+H$9)</f>
        <v>0.20046556284245767</v>
      </c>
      <c r="I13" s="52"/>
      <c r="J13" s="52"/>
      <c r="K13" s="52">
        <f t="shared" ref="K13:K20" si="1">K2/(K$2+K$3+K$4+K$5+K$6+K$7+K$8+K$9)</f>
        <v>0.23813633432891171</v>
      </c>
      <c r="L13" s="52"/>
      <c r="M13" s="52"/>
      <c r="N13" s="52">
        <f t="shared" ref="N13:N20" si="2">N2/(N$2+N$3+N$4+N$5+N$6+N$7+N$8+N$9)</f>
        <v>0.19892844846493618</v>
      </c>
      <c r="O13" s="52"/>
      <c r="P13" s="52"/>
      <c r="Q13" s="52">
        <f t="shared" ref="Q13:Q20" si="3">Q2/(Q$2+Q$3+Q$4+Q$5+Q$6+Q$7+Q$8+Q$9)</f>
        <v>0.16269449964195404</v>
      </c>
      <c r="R13" s="52"/>
      <c r="S13" s="52"/>
      <c r="T13" s="52">
        <f t="shared" ref="T13:T20" si="4">T2/(T$2+T$3+T$4+T$5+T$6+T$7+T$8+T$9)</f>
        <v>0.15154413918562151</v>
      </c>
      <c r="U13" s="52"/>
      <c r="V13" s="52"/>
      <c r="W13" s="52">
        <f t="shared" ref="W13:W20" si="5">W2/(W$2+W$3+W$4+W$5+W$6+W$7+W$8+W$9)</f>
        <v>0.14902523225663794</v>
      </c>
      <c r="X13" s="52"/>
      <c r="Y13" s="52"/>
      <c r="Z13" s="52">
        <f t="shared" ref="Z13:Z20" si="6">Z2/(Z$2+Z$3+Z$4+Z$5+Z$6+Z$7+Z$8+Z$9)</f>
        <v>0.14960116531523671</v>
      </c>
    </row>
    <row r="14" spans="1:26" s="41" customFormat="1" x14ac:dyDescent="0.15">
      <c r="A14" s="41" t="s">
        <v>3612</v>
      </c>
      <c r="B14" s="41" t="s">
        <v>884</v>
      </c>
      <c r="C14" s="41" t="s">
        <v>96</v>
      </c>
      <c r="D14" s="41" t="s">
        <v>421</v>
      </c>
      <c r="E14" s="41" t="s">
        <v>45</v>
      </c>
      <c r="F14" s="4" t="s">
        <v>3671</v>
      </c>
      <c r="G14" s="101"/>
      <c r="H14" s="52">
        <f t="shared" si="0"/>
        <v>0.49435851132536335</v>
      </c>
      <c r="I14" s="52"/>
      <c r="J14" s="52"/>
      <c r="K14" s="52">
        <f t="shared" si="1"/>
        <v>0.26055070556183385</v>
      </c>
      <c r="L14" s="52"/>
      <c r="M14" s="52"/>
      <c r="N14" s="52">
        <f t="shared" si="2"/>
        <v>2.7449627294944184E-2</v>
      </c>
      <c r="O14" s="52"/>
      <c r="P14" s="52"/>
      <c r="Q14" s="52">
        <f t="shared" si="3"/>
        <v>3.7934441321820654E-5</v>
      </c>
      <c r="R14" s="52"/>
      <c r="S14" s="52"/>
      <c r="T14" s="52">
        <f t="shared" si="4"/>
        <v>3.0045993100802881E-5</v>
      </c>
      <c r="U14" s="52"/>
      <c r="V14" s="52"/>
      <c r="W14" s="52">
        <f t="shared" si="5"/>
        <v>2.312662019287619E-5</v>
      </c>
      <c r="X14" s="52"/>
      <c r="Y14" s="52"/>
      <c r="Z14" s="52">
        <f t="shared" si="6"/>
        <v>1.56864874592053E-5</v>
      </c>
    </row>
    <row r="15" spans="1:26" s="41" customFormat="1" x14ac:dyDescent="0.15">
      <c r="A15" s="41" t="s">
        <v>3612</v>
      </c>
      <c r="B15" s="41" t="s">
        <v>884</v>
      </c>
      <c r="C15" s="41" t="s">
        <v>96</v>
      </c>
      <c r="D15" s="41" t="s">
        <v>422</v>
      </c>
      <c r="E15" s="41" t="s">
        <v>45</v>
      </c>
      <c r="F15" s="4" t="s">
        <v>3671</v>
      </c>
      <c r="G15" s="101"/>
      <c r="H15" s="52">
        <f t="shared" si="0"/>
        <v>4.8853523643269791E-3</v>
      </c>
      <c r="I15" s="52"/>
      <c r="J15" s="52"/>
      <c r="K15" s="52">
        <f t="shared" si="1"/>
        <v>3.8160843171956491E-3</v>
      </c>
      <c r="L15" s="52"/>
      <c r="M15" s="52"/>
      <c r="N15" s="52">
        <f t="shared" si="2"/>
        <v>1.1678132410783851E-3</v>
      </c>
      <c r="O15" s="52"/>
      <c r="P15" s="52"/>
      <c r="Q15" s="52">
        <f t="shared" si="3"/>
        <v>1.9317347585921255E-8</v>
      </c>
      <c r="R15" s="52"/>
      <c r="S15" s="52"/>
      <c r="T15" s="52">
        <f t="shared" si="4"/>
        <v>1.7846012681448005E-8</v>
      </c>
      <c r="U15" s="52"/>
      <c r="V15" s="52"/>
      <c r="W15" s="52">
        <f t="shared" si="5"/>
        <v>1.7543425141571168E-8</v>
      </c>
      <c r="X15" s="52"/>
      <c r="Y15" s="52"/>
      <c r="Z15" s="52">
        <f t="shared" si="6"/>
        <v>1.766496335496095E-8</v>
      </c>
    </row>
    <row r="16" spans="1:26" s="41" customFormat="1" x14ac:dyDescent="0.15">
      <c r="A16" s="41" t="s">
        <v>3612</v>
      </c>
      <c r="B16" s="41" t="s">
        <v>884</v>
      </c>
      <c r="C16" s="41" t="s">
        <v>96</v>
      </c>
      <c r="D16" s="41" t="s">
        <v>423</v>
      </c>
      <c r="E16" s="41" t="s">
        <v>45</v>
      </c>
      <c r="F16" s="4" t="s">
        <v>3671</v>
      </c>
      <c r="G16" s="101"/>
      <c r="H16" s="52">
        <f t="shared" si="0"/>
        <v>4.1747372533041865E-2</v>
      </c>
      <c r="I16" s="52"/>
      <c r="J16" s="52"/>
      <c r="K16" s="52">
        <f t="shared" si="1"/>
        <v>5.6047613675258443E-2</v>
      </c>
      <c r="L16" s="52"/>
      <c r="M16" s="52"/>
      <c r="N16" s="52">
        <f t="shared" si="2"/>
        <v>5.3550094770462631E-2</v>
      </c>
      <c r="O16" s="52"/>
      <c r="P16" s="52"/>
      <c r="Q16" s="52">
        <f t="shared" si="3"/>
        <v>2.632048492356957E-2</v>
      </c>
      <c r="R16" s="52"/>
      <c r="S16" s="52"/>
      <c r="T16" s="52">
        <f t="shared" si="4"/>
        <v>1.1098769899330294E-2</v>
      </c>
      <c r="U16" s="52"/>
      <c r="V16" s="52"/>
      <c r="W16" s="52">
        <f t="shared" si="5"/>
        <v>3.8398084061488204E-3</v>
      </c>
      <c r="X16" s="52"/>
      <c r="Y16" s="52"/>
      <c r="Z16" s="52">
        <f t="shared" si="6"/>
        <v>9.54833223623608E-4</v>
      </c>
    </row>
    <row r="17" spans="1:27" s="41" customFormat="1" x14ac:dyDescent="0.15">
      <c r="A17" s="41" t="s">
        <v>3612</v>
      </c>
      <c r="B17" s="41" t="s">
        <v>884</v>
      </c>
      <c r="C17" s="41" t="s">
        <v>96</v>
      </c>
      <c r="D17" s="41" t="s">
        <v>424</v>
      </c>
      <c r="E17" s="41" t="s">
        <v>45</v>
      </c>
      <c r="F17" s="4" t="s">
        <v>3671</v>
      </c>
      <c r="G17" s="101"/>
      <c r="H17" s="52">
        <f t="shared" si="0"/>
        <v>7.3556538729194626E-2</v>
      </c>
      <c r="I17" s="52"/>
      <c r="J17" s="52"/>
      <c r="K17" s="52">
        <f t="shared" si="1"/>
        <v>9.2580420647468298E-2</v>
      </c>
      <c r="L17" s="52"/>
      <c r="M17" s="52"/>
      <c r="N17" s="52">
        <f t="shared" si="2"/>
        <v>0.10620742617779896</v>
      </c>
      <c r="O17" s="52"/>
      <c r="P17" s="52"/>
      <c r="Q17" s="52">
        <f t="shared" si="3"/>
        <v>0.10785092235903793</v>
      </c>
      <c r="R17" s="52"/>
      <c r="S17" s="52"/>
      <c r="T17" s="52">
        <f t="shared" si="4"/>
        <v>0.11347008381879538</v>
      </c>
      <c r="U17" s="52"/>
      <c r="V17" s="52"/>
      <c r="W17" s="52">
        <f t="shared" si="5"/>
        <v>0.11813941827502172</v>
      </c>
      <c r="X17" s="52"/>
      <c r="Y17" s="52"/>
      <c r="Z17" s="52">
        <f t="shared" si="6"/>
        <v>0.12039011472890231</v>
      </c>
    </row>
    <row r="18" spans="1:27" s="41" customFormat="1" x14ac:dyDescent="0.15">
      <c r="A18" s="41" t="s">
        <v>3612</v>
      </c>
      <c r="B18" s="41" t="s">
        <v>884</v>
      </c>
      <c r="C18" s="41" t="s">
        <v>96</v>
      </c>
      <c r="D18" s="41" t="s">
        <v>20</v>
      </c>
      <c r="E18" s="41" t="s">
        <v>45</v>
      </c>
      <c r="F18" s="4" t="s">
        <v>3671</v>
      </c>
      <c r="G18" s="101"/>
      <c r="H18" s="52">
        <f t="shared" si="0"/>
        <v>8.7301433678373688E-2</v>
      </c>
      <c r="I18" s="52"/>
      <c r="J18" s="52"/>
      <c r="K18" s="52">
        <f t="shared" si="1"/>
        <v>0.14890522665937669</v>
      </c>
      <c r="L18" s="52"/>
      <c r="M18" s="52"/>
      <c r="N18" s="52">
        <f t="shared" si="2"/>
        <v>0.22698850026891274</v>
      </c>
      <c r="O18" s="52"/>
      <c r="P18" s="52"/>
      <c r="Q18" s="52">
        <f t="shared" si="3"/>
        <v>0.26744200801258949</v>
      </c>
      <c r="R18" s="52"/>
      <c r="S18" s="52"/>
      <c r="T18" s="52">
        <f t="shared" si="4"/>
        <v>0.28312501251451633</v>
      </c>
      <c r="U18" s="52"/>
      <c r="V18" s="52"/>
      <c r="W18" s="52">
        <f t="shared" si="5"/>
        <v>0.285778597404651</v>
      </c>
      <c r="X18" s="52"/>
      <c r="Y18" s="52"/>
      <c r="Z18" s="52">
        <f t="shared" si="6"/>
        <v>0.28743618874246701</v>
      </c>
    </row>
    <row r="19" spans="1:27" s="41" customFormat="1" x14ac:dyDescent="0.15">
      <c r="A19" s="41" t="s">
        <v>3612</v>
      </c>
      <c r="B19" s="41" t="s">
        <v>884</v>
      </c>
      <c r="C19" s="41" t="s">
        <v>96</v>
      </c>
      <c r="D19" s="41" t="s">
        <v>3610</v>
      </c>
      <c r="E19" s="41" t="s">
        <v>45</v>
      </c>
      <c r="F19" s="4" t="s">
        <v>3671</v>
      </c>
      <c r="G19" s="101"/>
      <c r="H19" s="52">
        <f t="shared" si="0"/>
        <v>9.7685228527241943E-2</v>
      </c>
      <c r="I19" s="52"/>
      <c r="J19" s="52"/>
      <c r="K19" s="52">
        <f t="shared" si="1"/>
        <v>0.1999636148099552</v>
      </c>
      <c r="L19" s="52"/>
      <c r="M19" s="52"/>
      <c r="N19" s="52">
        <f t="shared" si="2"/>
        <v>0.38570807464694973</v>
      </c>
      <c r="O19" s="52"/>
      <c r="P19" s="52"/>
      <c r="Q19" s="52">
        <f t="shared" si="3"/>
        <v>0.43401835038394748</v>
      </c>
      <c r="R19" s="52"/>
      <c r="S19" s="52"/>
      <c r="T19" s="52">
        <f t="shared" si="4"/>
        <v>0.43814366998539456</v>
      </c>
      <c r="U19" s="52"/>
      <c r="V19" s="52"/>
      <c r="W19" s="52">
        <f t="shared" si="5"/>
        <v>0.43805600569182424</v>
      </c>
      <c r="X19" s="52"/>
      <c r="Y19" s="52"/>
      <c r="Z19" s="52">
        <f t="shared" si="6"/>
        <v>0.43385326428605547</v>
      </c>
    </row>
    <row r="20" spans="1:27" s="41" customFormat="1" x14ac:dyDescent="0.15">
      <c r="A20" s="41" t="s">
        <v>3612</v>
      </c>
      <c r="B20" s="41" t="s">
        <v>884</v>
      </c>
      <c r="C20" s="41" t="s">
        <v>96</v>
      </c>
      <c r="D20" s="41" t="s">
        <v>22</v>
      </c>
      <c r="E20" s="41" t="s">
        <v>45</v>
      </c>
      <c r="F20" s="4" t="s">
        <v>3671</v>
      </c>
      <c r="G20" s="101"/>
      <c r="H20" s="52">
        <f t="shared" si="0"/>
        <v>0</v>
      </c>
      <c r="I20" s="52"/>
      <c r="J20" s="52"/>
      <c r="K20" s="52">
        <f t="shared" si="1"/>
        <v>0</v>
      </c>
      <c r="L20" s="52"/>
      <c r="M20" s="52"/>
      <c r="N20" s="52">
        <f t="shared" si="2"/>
        <v>1.5134917238140639E-8</v>
      </c>
      <c r="O20" s="52"/>
      <c r="P20" s="52"/>
      <c r="Q20" s="52">
        <f t="shared" si="3"/>
        <v>1.6357809202321198E-3</v>
      </c>
      <c r="R20" s="52"/>
      <c r="S20" s="52"/>
      <c r="T20" s="52">
        <f t="shared" si="4"/>
        <v>2.5882607572284464E-3</v>
      </c>
      <c r="U20" s="52"/>
      <c r="V20" s="52"/>
      <c r="W20" s="52">
        <f t="shared" si="5"/>
        <v>5.1377938020982488E-3</v>
      </c>
      <c r="X20" s="52"/>
      <c r="Y20" s="52"/>
      <c r="Z20" s="52">
        <f t="shared" si="6"/>
        <v>7.7487295512923661E-3</v>
      </c>
    </row>
    <row r="21" spans="1:27" s="41" customFormat="1" x14ac:dyDescent="0.15">
      <c r="F21" s="42"/>
      <c r="G21" s="42"/>
      <c r="H21" s="52"/>
      <c r="I21" s="52"/>
      <c r="J21" s="52"/>
      <c r="K21" s="52"/>
      <c r="L21" s="52"/>
      <c r="M21" s="52"/>
      <c r="N21" s="52"/>
      <c r="O21" s="52"/>
      <c r="P21" s="52"/>
      <c r="Q21" s="52"/>
      <c r="R21" s="52"/>
      <c r="S21" s="52"/>
      <c r="T21" s="52"/>
      <c r="U21" s="52"/>
      <c r="V21" s="52"/>
      <c r="W21" s="52"/>
      <c r="X21" s="52"/>
      <c r="Y21" s="52"/>
      <c r="Z21" s="52"/>
    </row>
    <row r="22" spans="1:27" s="73" customFormat="1" x14ac:dyDescent="0.15">
      <c r="A22" s="73" t="s">
        <v>3611</v>
      </c>
      <c r="B22" s="73" t="s">
        <v>337</v>
      </c>
      <c r="C22" s="73" t="s">
        <v>336</v>
      </c>
      <c r="D22" s="73" t="s">
        <v>3643</v>
      </c>
      <c r="F22" s="74"/>
      <c r="G22" s="74"/>
      <c r="H22" s="73">
        <v>2022</v>
      </c>
      <c r="I22" s="75"/>
      <c r="J22" s="75"/>
      <c r="K22" s="73">
        <v>2025</v>
      </c>
      <c r="L22" s="75"/>
      <c r="M22" s="75"/>
      <c r="N22" s="73">
        <v>2030</v>
      </c>
      <c r="O22" s="75"/>
      <c r="P22" s="75"/>
      <c r="Q22" s="60">
        <v>2035</v>
      </c>
      <c r="R22" s="75"/>
      <c r="S22" s="75"/>
      <c r="T22" s="60">
        <v>2040</v>
      </c>
      <c r="U22" s="75"/>
      <c r="V22" s="75"/>
      <c r="W22" s="60">
        <v>2045</v>
      </c>
      <c r="X22" s="75"/>
      <c r="Y22" s="75"/>
      <c r="Z22" s="73">
        <v>2050</v>
      </c>
    </row>
    <row r="23" spans="1:27" s="60" customFormat="1" x14ac:dyDescent="0.15">
      <c r="A23" s="60" t="s">
        <v>3612</v>
      </c>
      <c r="B23" s="60" t="s">
        <v>884</v>
      </c>
      <c r="C23" s="60" t="s">
        <v>96</v>
      </c>
      <c r="D23" s="60" t="s">
        <v>420</v>
      </c>
      <c r="E23" s="60" t="s">
        <v>45</v>
      </c>
      <c r="F23" s="60" t="s">
        <v>3673</v>
      </c>
      <c r="G23" s="99" t="s">
        <v>3672</v>
      </c>
      <c r="H23" s="61">
        <f>data_alu_IAI!U308</f>
        <v>0.19199988165505408</v>
      </c>
      <c r="I23" s="62">
        <f>(K13-H13)</f>
        <v>3.7670771486454036E-2</v>
      </c>
      <c r="J23" s="63">
        <f t="shared" ref="J23:J30" si="7">I23/SUM(I$23:I$30)</f>
        <v>0.16038505110473769</v>
      </c>
      <c r="K23" s="49">
        <f>H23+J23*($H$24-$K$24+$K$25-$H$25)</f>
        <v>0.24851141702665686</v>
      </c>
      <c r="L23" s="64"/>
      <c r="M23" s="62"/>
      <c r="N23" s="49">
        <f>K23*N13/K13</f>
        <v>0.20759532876094011</v>
      </c>
      <c r="O23" s="67"/>
      <c r="P23" s="62"/>
      <c r="Q23" s="49">
        <f>N23*Q13/N13</f>
        <v>0.1697827455117428</v>
      </c>
      <c r="R23" s="69"/>
      <c r="S23" s="62"/>
      <c r="T23" s="49">
        <f>Q23*T13/Q13</f>
        <v>0.1581465880762549</v>
      </c>
      <c r="U23" s="62"/>
      <c r="V23" s="62"/>
      <c r="W23" s="49">
        <f>T23*W13/T13</f>
        <v>0.15551793784510043</v>
      </c>
      <c r="X23" s="68">
        <f>Z13-W13</f>
        <v>5.7593305859876542E-4</v>
      </c>
      <c r="Y23" s="63">
        <f t="shared" ref="Y23:Y26" si="8">X23/SUM(X$23:X$30)</f>
        <v>8.1172705707468956E-2</v>
      </c>
      <c r="Z23" s="49">
        <f>W23*Z13/W13</f>
        <v>0.1561189630557564</v>
      </c>
    </row>
    <row r="24" spans="1:27" s="14" customFormat="1" x14ac:dyDescent="0.15">
      <c r="A24" s="14" t="s">
        <v>3612</v>
      </c>
      <c r="B24" s="14" t="s">
        <v>884</v>
      </c>
      <c r="C24" s="60" t="s">
        <v>96</v>
      </c>
      <c r="D24" s="14" t="s">
        <v>421</v>
      </c>
      <c r="E24" s="14" t="s">
        <v>45</v>
      </c>
      <c r="F24" s="60" t="s">
        <v>3673</v>
      </c>
      <c r="G24" s="99"/>
      <c r="H24" s="46">
        <f>data_alu_IAI!U309</f>
        <v>0.74499992603440879</v>
      </c>
      <c r="I24" s="64"/>
      <c r="J24" s="63">
        <f t="shared" si="7"/>
        <v>0</v>
      </c>
      <c r="K24" s="47">
        <f>H24*K14/H14</f>
        <v>0.39265078263014891</v>
      </c>
      <c r="L24" s="64"/>
      <c r="M24" s="63"/>
      <c r="N24" s="47">
        <f>K24*N14/K14</f>
        <v>4.1366679921378567E-2</v>
      </c>
      <c r="O24" s="67"/>
      <c r="P24" s="63"/>
      <c r="Q24" s="47">
        <f>N24*Q14/N14</f>
        <v>5.7167329643309926E-5</v>
      </c>
      <c r="R24" s="69"/>
      <c r="S24" s="63"/>
      <c r="T24" s="49">
        <f>Q24*T14/Q14</f>
        <v>4.5279411853791757E-5</v>
      </c>
      <c r="U24" s="62"/>
      <c r="V24" s="63"/>
      <c r="W24" s="49">
        <f>T24*W14/T14</f>
        <v>3.4851893794499874E-5</v>
      </c>
      <c r="X24" s="62"/>
      <c r="Y24" s="63">
        <f t="shared" si="8"/>
        <v>0</v>
      </c>
      <c r="Z24" s="49">
        <f>W24*Z14/W14</f>
        <v>2.363958894025428E-5</v>
      </c>
    </row>
    <row r="25" spans="1:27" s="14" customFormat="1" x14ac:dyDescent="0.15">
      <c r="A25" s="14" t="s">
        <v>3612</v>
      </c>
      <c r="B25" s="14" t="s">
        <v>884</v>
      </c>
      <c r="C25" s="60" t="s">
        <v>96</v>
      </c>
      <c r="D25" s="14" t="s">
        <v>422</v>
      </c>
      <c r="E25" s="14" t="s">
        <v>45</v>
      </c>
      <c r="F25" s="60" t="s">
        <v>3673</v>
      </c>
      <c r="G25" s="99"/>
      <c r="H25" s="46">
        <f>data_alu_IAI!U310</f>
        <v>0</v>
      </c>
      <c r="I25" s="64"/>
      <c r="J25" s="63">
        <f t="shared" si="7"/>
        <v>0</v>
      </c>
      <c r="K25" s="47">
        <f>H25*K15/H15</f>
        <v>0</v>
      </c>
      <c r="L25" s="64"/>
      <c r="M25" s="63"/>
      <c r="N25" s="47">
        <f>K25*N15/K15</f>
        <v>0</v>
      </c>
      <c r="O25" s="67"/>
      <c r="P25" s="63"/>
      <c r="Q25" s="47">
        <f>N25*Q15/N15</f>
        <v>0</v>
      </c>
      <c r="R25" s="69"/>
      <c r="S25" s="63"/>
      <c r="T25" s="49">
        <f>Q25*T15/Q15</f>
        <v>0</v>
      </c>
      <c r="U25" s="62"/>
      <c r="V25" s="63"/>
      <c r="W25" s="49">
        <f>T25*W15/T15</f>
        <v>0</v>
      </c>
      <c r="X25" s="62"/>
      <c r="Y25" s="63">
        <f t="shared" si="8"/>
        <v>0</v>
      </c>
      <c r="Z25" s="49">
        <f>W25*Z15/W15</f>
        <v>0</v>
      </c>
    </row>
    <row r="26" spans="1:27" s="14" customFormat="1" x14ac:dyDescent="0.15">
      <c r="A26" s="14" t="s">
        <v>3612</v>
      </c>
      <c r="B26" s="14" t="s">
        <v>884</v>
      </c>
      <c r="C26" s="60" t="s">
        <v>96</v>
      </c>
      <c r="D26" s="14" t="s">
        <v>423</v>
      </c>
      <c r="E26" s="14" t="s">
        <v>45</v>
      </c>
      <c r="F26" s="60" t="s">
        <v>3673</v>
      </c>
      <c r="G26" s="99"/>
      <c r="H26" s="46">
        <f>data_alu_IAI!U311</f>
        <v>0</v>
      </c>
      <c r="I26" s="64">
        <f>(K16-H16)</f>
        <v>1.4300241142216577E-2</v>
      </c>
      <c r="J26" s="63">
        <f t="shared" si="7"/>
        <v>6.0883937756071968E-2</v>
      </c>
      <c r="K26" s="49">
        <f t="shared" ref="K26:K30" si="9">H26+J26*($H$24-$K$24+$K$25-$H$25)</f>
        <v>2.1452403315430236E-2</v>
      </c>
      <c r="L26" s="64"/>
      <c r="M26" s="63"/>
      <c r="N26" s="47">
        <f>K26*N16/K16</f>
        <v>2.0496469970185199E-2</v>
      </c>
      <c r="O26" s="67"/>
      <c r="P26" s="63"/>
      <c r="Q26" s="47">
        <f>N26*Q16/N16</f>
        <v>1.0074249749679673E-2</v>
      </c>
      <c r="R26" s="69"/>
      <c r="S26" s="63"/>
      <c r="T26" s="49">
        <f>Q26*T16/Q16</f>
        <v>4.2480896611427881E-3</v>
      </c>
      <c r="U26" s="62"/>
      <c r="V26" s="63"/>
      <c r="W26" s="49">
        <f>T26*W16/T16</f>
        <v>1.4696989431156905E-3</v>
      </c>
      <c r="X26" s="62"/>
      <c r="Y26" s="63">
        <f t="shared" si="8"/>
        <v>0</v>
      </c>
      <c r="Z26" s="49">
        <f>W26*Z16/W16</f>
        <v>3.6546546889271425E-4</v>
      </c>
    </row>
    <row r="27" spans="1:27" s="14" customFormat="1" x14ac:dyDescent="0.15">
      <c r="A27" s="14" t="s">
        <v>3612</v>
      </c>
      <c r="B27" s="14" t="s">
        <v>884</v>
      </c>
      <c r="C27" s="60" t="s">
        <v>96</v>
      </c>
      <c r="D27" s="14" t="s">
        <v>424</v>
      </c>
      <c r="E27" s="14" t="s">
        <v>45</v>
      </c>
      <c r="F27" s="60" t="s">
        <v>3673</v>
      </c>
      <c r="G27" s="99"/>
      <c r="H27" s="46">
        <f>data_alu_IAI!U312</f>
        <v>6.0004585866654829E-3</v>
      </c>
      <c r="I27" s="63">
        <f>(K17-H17)</f>
        <v>1.9023881918273672E-2</v>
      </c>
      <c r="J27" s="63">
        <f t="shared" si="7"/>
        <v>8.0995056731715045E-2</v>
      </c>
      <c r="K27" s="49">
        <f t="shared" si="9"/>
        <v>3.4538997446064708E-2</v>
      </c>
      <c r="L27" s="64">
        <f>N17-K17</f>
        <v>1.3627005530330666E-2</v>
      </c>
      <c r="M27" s="63">
        <f t="shared" ref="M27:M30" si="10">L27/SUM(L$23:L$30)</f>
        <v>4.9114334241469652E-2</v>
      </c>
      <c r="N27" s="47">
        <f>K27+M27*($K$23+$K$24+$K$25+$K$26-$N$23-$N$24-$N$25-$N$26)</f>
        <v>5.3848598744984828E-2</v>
      </c>
      <c r="O27" s="67">
        <f>Q17-N17</f>
        <v>1.6434961812389626E-3</v>
      </c>
      <c r="P27" s="63">
        <f t="shared" ref="P27:P30" si="11">O27/SUM(O$23:O$30)</f>
        <v>1.7855734490893602E-2</v>
      </c>
      <c r="Q27" s="46">
        <f>N27+P27*($N$23+$N$24+$N$25+$N$26-$Q$23-$Q$24-$Q$26-$Q$25)</f>
        <v>5.5447478277746529E-2</v>
      </c>
      <c r="R27" s="69">
        <f>T17-Q17</f>
        <v>5.6191614597574518E-3</v>
      </c>
      <c r="S27" s="63">
        <f t="shared" ref="S27:S30" si="12">R27/SUM(R$23:R$30)</f>
        <v>0.21300867436809653</v>
      </c>
      <c r="T27" s="46">
        <f>Q27+S27*($Q$23+$Q$24+$Q$25+$Q$26-$T$23-$T$24-$T$25-$T$26)</f>
        <v>5.9169635614543178E-2</v>
      </c>
      <c r="U27" s="69">
        <f>W17-T17</f>
        <v>4.6693344562263456E-3</v>
      </c>
      <c r="V27" s="63">
        <f t="shared" ref="V27:V30" si="13">U27/SUM(U$23:U$30)</f>
        <v>0.47296601403455424</v>
      </c>
      <c r="W27" s="46">
        <f>T27+V27*($T$23+$T$24+$T$25+$T$26+$T$28-$W$23-$W$24-$W$25-$W$26-$W$28)</f>
        <v>6.1030579506104077E-2</v>
      </c>
      <c r="X27" s="68">
        <f>Z17-W17</f>
        <v>2.2506964538805824E-3</v>
      </c>
      <c r="Y27" s="63">
        <f t="shared" ref="Y27:Y30" si="14">X27/SUM(X$23:X$30)</f>
        <v>0.31721589542400352</v>
      </c>
      <c r="Z27" s="46">
        <f>W27+Y27*($T$23+$T$24+$T$25+$T$26+$T$28-$W$23-$W$24-$W$25-$W$26-$W$28)</f>
        <v>6.2278705090984245E-2</v>
      </c>
      <c r="AA27" s="65"/>
    </row>
    <row r="28" spans="1:27" s="14" customFormat="1" x14ac:dyDescent="0.15">
      <c r="A28" s="14" t="s">
        <v>3612</v>
      </c>
      <c r="B28" s="14" t="s">
        <v>884</v>
      </c>
      <c r="C28" s="60" t="s">
        <v>96</v>
      </c>
      <c r="D28" s="14" t="s">
        <v>20</v>
      </c>
      <c r="E28" s="14" t="s">
        <v>45</v>
      </c>
      <c r="F28" s="60" t="s">
        <v>3673</v>
      </c>
      <c r="G28" s="99"/>
      <c r="H28" s="46">
        <f>data_alu_IAI!$U$313*H18/($H$18+$H$19+$H$20)</f>
        <v>2.6900093304286238E-2</v>
      </c>
      <c r="I28" s="63">
        <f>(K18-H18)</f>
        <v>6.1603792981003005E-2</v>
      </c>
      <c r="J28" s="63">
        <f t="shared" si="7"/>
        <v>0.26228099652954273</v>
      </c>
      <c r="K28" s="49">
        <f t="shared" si="9"/>
        <v>0.11931457776268628</v>
      </c>
      <c r="L28" s="64">
        <f>N18-K18</f>
        <v>7.8083273609536041E-2</v>
      </c>
      <c r="M28" s="63">
        <f t="shared" si="10"/>
        <v>0.28142705234770837</v>
      </c>
      <c r="N28" s="47">
        <f>K28+M28*($K$23+$K$24+$K$25+$K$26-$N$23-$N$24-$N$25-$N$26)</f>
        <v>0.22995934694243769</v>
      </c>
      <c r="O28" s="67">
        <f>Q18-N18</f>
        <v>4.0453507743676759E-2</v>
      </c>
      <c r="P28" s="63">
        <f t="shared" si="11"/>
        <v>0.43950640210911135</v>
      </c>
      <c r="Q28" s="46">
        <f>N28+P28*($N$23+$N$24+$N$25+$N$26-$Q$23-$Q$24-$Q$26-$Q$25)</f>
        <v>0.26931464712392145</v>
      </c>
      <c r="R28" s="69">
        <f>T18-Q18</f>
        <v>1.5683004501926834E-2</v>
      </c>
      <c r="S28" s="63">
        <f t="shared" si="12"/>
        <v>0.59450436208119228</v>
      </c>
      <c r="T28" s="46">
        <f>Q28+S28*($Q$23+$Q$24+$Q$25+$Q$26-$T$23-$T$24-$T$25-$T$26)</f>
        <v>0.27970313848298295</v>
      </c>
      <c r="U28" s="69">
        <f>W18-T18</f>
        <v>2.6535848901346748E-3</v>
      </c>
      <c r="V28" s="63">
        <f t="shared" si="13"/>
        <v>0.26878680037917568</v>
      </c>
      <c r="W28" s="46">
        <f>T28+V28*($T$23+$T$24+$T$25+$T$26+$T$29-$W$23-$W$24-$W$25-$W$26-$W$29)</f>
        <v>0.28118598197434774</v>
      </c>
      <c r="X28" s="68">
        <f>Z18-W18</f>
        <v>1.6575913378160112E-3</v>
      </c>
      <c r="Y28" s="63">
        <f t="shared" si="14"/>
        <v>0.23362293905328055</v>
      </c>
      <c r="Z28" s="46">
        <f>W28+Y28*($T$23+$T$24+$T$25+$T$26+$T$29-$W$23-$W$24-$W$25-$W$26-$W$29)</f>
        <v>0.28247483341392726</v>
      </c>
    </row>
    <row r="29" spans="1:27" s="14" customFormat="1" x14ac:dyDescent="0.15">
      <c r="A29" s="14" t="s">
        <v>3612</v>
      </c>
      <c r="B29" s="14" t="s">
        <v>884</v>
      </c>
      <c r="C29" s="60" t="s">
        <v>96</v>
      </c>
      <c r="D29" s="14" t="s">
        <v>3610</v>
      </c>
      <c r="E29" s="14" t="s">
        <v>45</v>
      </c>
      <c r="F29" s="60" t="s">
        <v>3673</v>
      </c>
      <c r="G29" s="99"/>
      <c r="H29" s="46">
        <f>data_alu_IAI!$U$313*H19/($H$18+$H$19+$H$20)</f>
        <v>3.0099640419585415E-2</v>
      </c>
      <c r="I29" s="63">
        <f>(K19-H19)</f>
        <v>0.10227838628271325</v>
      </c>
      <c r="J29" s="63">
        <f>I29/SUM(I$23:I$30)</f>
        <v>0.43545495787793265</v>
      </c>
      <c r="K29" s="49">
        <f t="shared" si="9"/>
        <v>0.18353182181901304</v>
      </c>
      <c r="L29" s="64">
        <f>N19-K19</f>
        <v>0.18574445983699453</v>
      </c>
      <c r="M29" s="63">
        <f t="shared" si="10"/>
        <v>0.66945855886168548</v>
      </c>
      <c r="N29" s="47">
        <f>K29+M29*($K$23+$K$24+$K$25+$K$26-$N$23-$N$24-$N$25-$N$26)</f>
        <v>0.44673355421374661</v>
      </c>
      <c r="O29" s="67">
        <f>Q19-N19</f>
        <v>4.8310275736997754E-2</v>
      </c>
      <c r="P29" s="63">
        <f t="shared" si="11"/>
        <v>0.52486611565559071</v>
      </c>
      <c r="Q29" s="46">
        <f>N29+P29*($N$23+$N$24+$N$25+$N$26-$Q$23-$Q$24-$Q$26-$Q$25)</f>
        <v>0.49373233156395013</v>
      </c>
      <c r="R29" s="69">
        <f>T19-Q19</f>
        <v>4.125319601447075E-3</v>
      </c>
      <c r="S29" s="63">
        <f t="shared" si="12"/>
        <v>0.1563807813571699</v>
      </c>
      <c r="T29" s="46">
        <f>Q29+S29*($Q$23+$Q$24+$Q$25+$Q$26-$T$23-$T$24-$T$25-$T$26)</f>
        <v>0.49646496146453678</v>
      </c>
      <c r="U29" s="69"/>
      <c r="V29" s="63"/>
      <c r="W29" s="49">
        <f>T29*W19/T19</f>
        <v>0.49636562817933688</v>
      </c>
      <c r="X29" s="68"/>
      <c r="Y29" s="63">
        <f t="shared" si="14"/>
        <v>0</v>
      </c>
      <c r="Z29" s="49">
        <f>W29*Z19/W19</f>
        <v>0.49160345998430177</v>
      </c>
    </row>
    <row r="30" spans="1:27" s="14" customFormat="1" x14ac:dyDescent="0.15">
      <c r="A30" s="14" t="s">
        <v>3612</v>
      </c>
      <c r="B30" s="14" t="s">
        <v>884</v>
      </c>
      <c r="C30" s="60" t="s">
        <v>96</v>
      </c>
      <c r="D30" s="14" t="s">
        <v>22</v>
      </c>
      <c r="E30" s="14" t="s">
        <v>45</v>
      </c>
      <c r="F30" s="60" t="s">
        <v>3673</v>
      </c>
      <c r="G30" s="99"/>
      <c r="H30" s="46">
        <f>data_alu_IAI!$U$313*H20/($H$18+$H$19+$H$20)</f>
        <v>0</v>
      </c>
      <c r="I30" s="63">
        <f>(K20-H20)</f>
        <v>0</v>
      </c>
      <c r="J30" s="63">
        <f t="shared" si="7"/>
        <v>0</v>
      </c>
      <c r="K30" s="49">
        <f t="shared" si="9"/>
        <v>0</v>
      </c>
      <c r="L30" s="64">
        <f>N20-K20</f>
        <v>1.5134917238140639E-8</v>
      </c>
      <c r="M30" s="63">
        <f t="shared" si="10"/>
        <v>5.4549136440614811E-8</v>
      </c>
      <c r="N30" s="47">
        <f>K30+M30*($K$23+$K$24+$K$25+$K$26-$N$23-$N$24-$N$25-$N$26)</f>
        <v>2.1446327067980387E-8</v>
      </c>
      <c r="O30" s="67">
        <f>Q20-N20</f>
        <v>1.6357657853148817E-3</v>
      </c>
      <c r="P30" s="63">
        <f t="shared" si="11"/>
        <v>1.7771747744404286E-2</v>
      </c>
      <c r="Q30" s="46">
        <f>N30+P30*($N$23+$N$24+$N$25+$N$26-$Q$23-$Q$24-$Q$26-$Q$25)</f>
        <v>1.5913804433161549E-3</v>
      </c>
      <c r="R30" s="69">
        <f>T20-Q20</f>
        <v>9.5247983699632663E-4</v>
      </c>
      <c r="S30" s="63">
        <f t="shared" si="12"/>
        <v>3.6106182193541329E-2</v>
      </c>
      <c r="T30" s="46">
        <f>Q30+S30*($Q$23+$Q$24+$Q$25+$Q$26-$T$23-$T$24-$T$25-$T$26)</f>
        <v>2.2223072886856741E-3</v>
      </c>
      <c r="U30" s="69">
        <f>W20-T20</f>
        <v>2.5495330448698024E-3</v>
      </c>
      <c r="V30" s="63">
        <f t="shared" si="13"/>
        <v>0.25824718558627013</v>
      </c>
      <c r="W30" s="46">
        <f>T30+V30*($T$23+$T$24+$T$25+$T$26+$T$28-$W$23-$W$24-$W$25-$W$26-$W$28)</f>
        <v>3.2384131150431086E-3</v>
      </c>
      <c r="X30" s="68">
        <f>Z20-W20</f>
        <v>2.6109357491941173E-3</v>
      </c>
      <c r="Y30" s="63">
        <f t="shared" si="14"/>
        <v>0.36798845981524697</v>
      </c>
      <c r="Z30" s="46">
        <f>W30+Y30*($T$23+$T$24+$T$25+$T$26+$T$28-$W$23-$W$24-$W$25-$W$26-$W$28)</f>
        <v>4.6863096998663372E-3</v>
      </c>
    </row>
    <row r="31" spans="1:27" x14ac:dyDescent="0.15">
      <c r="B31" s="5"/>
      <c r="C31" s="60"/>
      <c r="D31" s="5"/>
      <c r="E31" s="5"/>
      <c r="F31" s="5"/>
      <c r="G31" s="5"/>
      <c r="H31" s="27"/>
      <c r="I31" s="43"/>
      <c r="J31" s="43"/>
      <c r="K31" s="49"/>
      <c r="L31" s="43"/>
      <c r="M31" s="43"/>
      <c r="N31" s="47"/>
      <c r="O31" s="43"/>
      <c r="P31" s="45"/>
      <c r="Q31" s="46"/>
      <c r="R31" s="44"/>
      <c r="S31" s="45"/>
      <c r="T31" s="46"/>
      <c r="U31" s="44"/>
      <c r="V31" s="45"/>
      <c r="W31" s="46"/>
      <c r="X31" s="44"/>
      <c r="Y31" s="45"/>
      <c r="Z31" s="46"/>
    </row>
    <row r="32" spans="1:27" s="3" customFormat="1" ht="13" customHeight="1" x14ac:dyDescent="0.15">
      <c r="A32" s="3" t="s">
        <v>3612</v>
      </c>
      <c r="B32" s="4" t="s">
        <v>884</v>
      </c>
      <c r="C32" s="4" t="s">
        <v>94</v>
      </c>
      <c r="D32" s="3" t="s">
        <v>420</v>
      </c>
      <c r="E32" s="4" t="s">
        <v>45</v>
      </c>
      <c r="F32" s="4" t="s">
        <v>3671</v>
      </c>
      <c r="G32" s="102" t="s">
        <v>3681</v>
      </c>
      <c r="H32" s="70">
        <f>SUM(data_alu_remind!C261:C286)</f>
        <v>0.18590973162728047</v>
      </c>
      <c r="I32" s="70"/>
      <c r="J32" s="70"/>
      <c r="K32" s="70">
        <f>SUM(data_alu_remind!F261:F286)</f>
        <v>0.20489030040229675</v>
      </c>
      <c r="L32" s="70"/>
      <c r="M32" s="70"/>
      <c r="N32" s="70">
        <f>SUM(data_alu_remind!I261:I286)</f>
        <v>0.1841332586383958</v>
      </c>
      <c r="O32" s="70"/>
      <c r="P32" s="70"/>
      <c r="Q32" s="70">
        <f>SUM(data_alu_remind!L261:L286)</f>
        <v>0.16872571253010632</v>
      </c>
      <c r="R32" s="70"/>
      <c r="S32" s="70"/>
      <c r="T32" s="70">
        <f>SUM(data_alu_remind!O261:O286)</f>
        <v>0.16554206225738044</v>
      </c>
      <c r="U32" s="70"/>
      <c r="V32" s="70"/>
      <c r="W32" s="70">
        <f>SUM(data_alu_remind!R261:R286)</f>
        <v>0.16681666069449527</v>
      </c>
      <c r="X32" s="70"/>
      <c r="Y32" s="70"/>
      <c r="Z32" s="70">
        <f>SUM(data_alu_remind!U261:U286)</f>
        <v>0.17725577078330337</v>
      </c>
    </row>
    <row r="33" spans="1:26" x14ac:dyDescent="0.15">
      <c r="A33" t="s">
        <v>3612</v>
      </c>
      <c r="B33" s="5" t="s">
        <v>884</v>
      </c>
      <c r="C33" s="4" t="s">
        <v>94</v>
      </c>
      <c r="D33" t="s">
        <v>421</v>
      </c>
      <c r="E33" s="5" t="s">
        <v>45</v>
      </c>
      <c r="F33" s="4" t="s">
        <v>3671</v>
      </c>
      <c r="G33" s="102"/>
      <c r="H33" s="59">
        <f>SUM(data_alu_remind!C230:C260)+SUM(data_alu_remind!C218:C225)+data_alu_remind!C287+data_alu_remind!C427</f>
        <v>0.57905332368969697</v>
      </c>
      <c r="I33" s="59"/>
      <c r="J33" s="59"/>
      <c r="K33" s="59">
        <f>SUM(data_alu_remind!F230:F260)+SUM(data_alu_remind!F218:F225)+data_alu_remind!F287+data_alu_remind!F427</f>
        <v>0.48393413755074222</v>
      </c>
      <c r="L33" s="59"/>
      <c r="M33" s="59"/>
      <c r="N33" s="59">
        <f>SUM(data_alu_remind!I230:I260)+SUM(data_alu_remind!I218:I225)+data_alu_remind!I287+data_alu_remind!I427</f>
        <v>0.40224986792748496</v>
      </c>
      <c r="O33" s="59"/>
      <c r="P33" s="59"/>
      <c r="Q33" s="59">
        <f>SUM(data_alu_remind!L230:L260)+SUM(data_alu_remind!L218:L225)+data_alu_remind!L287+data_alu_remind!L427</f>
        <v>0.33542405748421489</v>
      </c>
      <c r="R33" s="59"/>
      <c r="S33" s="59"/>
      <c r="T33" s="59">
        <f>SUM(data_alu_remind!O230:O260)+SUM(data_alu_remind!O218:O225)+data_alu_remind!O287+data_alu_remind!O427</f>
        <v>0.26036410231915341</v>
      </c>
      <c r="U33" s="59"/>
      <c r="V33" s="59"/>
      <c r="W33" s="59">
        <f>SUM(data_alu_remind!R230:R260)+SUM(data_alu_remind!R218:R225)+data_alu_remind!R287+data_alu_remind!R427</f>
        <v>0.19663737321691582</v>
      </c>
      <c r="X33" s="59"/>
      <c r="Y33" s="59"/>
      <c r="Z33" s="59">
        <f>SUM(data_alu_remind!U230:U260)+SUM(data_alu_remind!U218:U225)+data_alu_remind!U287+data_alu_remind!U427</f>
        <v>0.10835322856568153</v>
      </c>
    </row>
    <row r="34" spans="1:26" x14ac:dyDescent="0.15">
      <c r="A34" t="s">
        <v>3612</v>
      </c>
      <c r="B34" s="5" t="s">
        <v>884</v>
      </c>
      <c r="C34" s="4" t="s">
        <v>94</v>
      </c>
      <c r="D34" t="s">
        <v>422</v>
      </c>
      <c r="E34" s="5" t="s">
        <v>45</v>
      </c>
      <c r="F34" s="4" t="s">
        <v>3671</v>
      </c>
      <c r="G34" s="102"/>
      <c r="H34" s="59">
        <f>SUM(data_alu_remind!C325:C355)</f>
        <v>4.6496980527018141E-3</v>
      </c>
      <c r="I34" s="59"/>
      <c r="J34" s="59"/>
      <c r="K34" s="59">
        <f>SUM(data_alu_remind!F325:F355)</f>
        <v>3.3272450336078721E-3</v>
      </c>
      <c r="L34" s="59"/>
      <c r="M34" s="59"/>
      <c r="N34" s="59">
        <f>SUM(data_alu_remind!I325:I355)</f>
        <v>1.1187798207117332E-3</v>
      </c>
      <c r="O34" s="59"/>
      <c r="P34" s="59"/>
      <c r="Q34" s="59">
        <f>SUM(data_alu_remind!L325:L355)</f>
        <v>2.0973210996264369E-8</v>
      </c>
      <c r="R34" s="59"/>
      <c r="S34" s="59"/>
      <c r="T34" s="59">
        <f>SUM(data_alu_remind!O325:O355)</f>
        <v>2.0492288448314854E-8</v>
      </c>
      <c r="U34" s="59"/>
      <c r="V34" s="59"/>
      <c r="W34" s="59">
        <f>SUM(data_alu_remind!R325:R355)</f>
        <v>2.0666739392922572E-8</v>
      </c>
      <c r="X34" s="59"/>
      <c r="Y34" s="59"/>
      <c r="Z34" s="59">
        <f>SUM(data_alu_remind!U325:U355)</f>
        <v>2.2033185811606584E-8</v>
      </c>
    </row>
    <row r="35" spans="1:26" x14ac:dyDescent="0.15">
      <c r="A35" t="s">
        <v>3612</v>
      </c>
      <c r="B35" s="5" t="s">
        <v>884</v>
      </c>
      <c r="C35" s="4" t="s">
        <v>94</v>
      </c>
      <c r="D35" t="s">
        <v>423</v>
      </c>
      <c r="E35" s="5" t="s">
        <v>45</v>
      </c>
      <c r="F35" s="4" t="s">
        <v>3671</v>
      </c>
      <c r="G35" s="102"/>
      <c r="H35" s="59">
        <f>data_alu_remind!C226+SUM(data_alu_remind!C288:C318)+data_alu_remind!C428</f>
        <v>3.2855343769648396E-2</v>
      </c>
      <c r="I35" s="59"/>
      <c r="J35" s="59"/>
      <c r="K35" s="59">
        <f>data_alu_remind!F226+SUM(data_alu_remind!F288:F318)+data_alu_remind!F428</f>
        <v>3.4395246638275451E-2</v>
      </c>
      <c r="L35" s="59"/>
      <c r="M35" s="59"/>
      <c r="N35" s="59">
        <f>data_alu_remind!I226+SUM(data_alu_remind!I288:I318)+data_alu_remind!I428</f>
        <v>2.8444149240966981E-2</v>
      </c>
      <c r="O35" s="59"/>
      <c r="P35" s="59"/>
      <c r="Q35" s="59">
        <f>data_alu_remind!L226+SUM(data_alu_remind!L288:L318)+data_alu_remind!L428</f>
        <v>2.2684850475555678E-2</v>
      </c>
      <c r="R35" s="59"/>
      <c r="S35" s="59"/>
      <c r="T35" s="59">
        <f>data_alu_remind!O226+SUM(data_alu_remind!O288:O318)+data_alu_remind!O428</f>
        <v>2.1085314783720617E-2</v>
      </c>
      <c r="U35" s="59"/>
      <c r="V35" s="59"/>
      <c r="W35" s="59">
        <f>data_alu_remind!R226+SUM(data_alu_remind!R288:R318)+data_alu_remind!R428</f>
        <v>1.777712622437377E-2</v>
      </c>
      <c r="X35" s="59"/>
      <c r="Y35" s="59"/>
      <c r="Z35" s="59">
        <f>data_alu_remind!U226+SUM(data_alu_remind!U288:U318)+data_alu_remind!U428</f>
        <v>1.5569409239391716E-2</v>
      </c>
    </row>
    <row r="36" spans="1:26" x14ac:dyDescent="0.15">
      <c r="A36" t="s">
        <v>3612</v>
      </c>
      <c r="B36" s="5" t="s">
        <v>884</v>
      </c>
      <c r="C36" s="4" t="s">
        <v>94</v>
      </c>
      <c r="D36" t="s">
        <v>424</v>
      </c>
      <c r="E36" s="5" t="s">
        <v>45</v>
      </c>
      <c r="F36" s="4" t="s">
        <v>3671</v>
      </c>
      <c r="G36" s="102"/>
      <c r="H36" s="59">
        <f>SUM(data_alu_remind!C319:C324)</f>
        <v>6.519147668384713E-2</v>
      </c>
      <c r="I36" s="59"/>
      <c r="J36" s="59"/>
      <c r="K36" s="59">
        <f>SUM(data_alu_remind!F319:F324)</f>
        <v>7.275922215014996E-2</v>
      </c>
      <c r="L36" s="59"/>
      <c r="M36" s="59"/>
      <c r="N36" s="59">
        <f>SUM(data_alu_remind!I319:I324)</f>
        <v>7.8859319874572426E-2</v>
      </c>
      <c r="O36" s="59"/>
      <c r="P36" s="59"/>
      <c r="Q36" s="59">
        <f>SUM(data_alu_remind!L319:L324)</f>
        <v>8.2559946614788535E-2</v>
      </c>
      <c r="R36" s="59"/>
      <c r="S36" s="59"/>
      <c r="T36" s="59">
        <f>SUM(data_alu_remind!O319:O324)</f>
        <v>8.8140844482134925E-2</v>
      </c>
      <c r="U36" s="59"/>
      <c r="V36" s="59"/>
      <c r="W36" s="59">
        <f>SUM(data_alu_remind!R319:R324)</f>
        <v>9.288421119287224E-2</v>
      </c>
      <c r="X36" s="59"/>
      <c r="Y36" s="59"/>
      <c r="Z36" s="59">
        <f>SUM(data_alu_remind!U319:U324)</f>
        <v>9.9910579967872282E-2</v>
      </c>
    </row>
    <row r="37" spans="1:26" x14ac:dyDescent="0.15">
      <c r="A37" t="s">
        <v>3612</v>
      </c>
      <c r="B37" s="5" t="s">
        <v>884</v>
      </c>
      <c r="C37" s="4" t="s">
        <v>94</v>
      </c>
      <c r="D37" s="5" t="s">
        <v>20</v>
      </c>
      <c r="E37" s="5" t="s">
        <v>45</v>
      </c>
      <c r="F37" s="4" t="s">
        <v>3671</v>
      </c>
      <c r="G37" s="102"/>
      <c r="H37" s="59">
        <f>SUM(data_alu_remind!C359:C426)</f>
        <v>6.2538652032037512E-2</v>
      </c>
      <c r="I37" s="59"/>
      <c r="J37" s="59"/>
      <c r="K37" s="59">
        <f>SUM(data_alu_remind!F359:F426)</f>
        <v>8.7828510740752791E-2</v>
      </c>
      <c r="L37" s="59"/>
      <c r="M37" s="59"/>
      <c r="N37" s="59">
        <f>SUM(data_alu_remind!I359:I426)</f>
        <v>0.12185042837614492</v>
      </c>
      <c r="O37" s="59"/>
      <c r="P37" s="59"/>
      <c r="Q37" s="59">
        <f>SUM(data_alu_remind!L359:L426)</f>
        <v>0.1401686592222077</v>
      </c>
      <c r="R37" s="59"/>
      <c r="S37" s="59"/>
      <c r="T37" s="59">
        <f>SUM(data_alu_remind!O359:O426)</f>
        <v>0.15253850131497848</v>
      </c>
      <c r="U37" s="59"/>
      <c r="V37" s="59"/>
      <c r="W37" s="59">
        <f>SUM(data_alu_remind!R359:R426)</f>
        <v>0.16852711754692642</v>
      </c>
      <c r="X37" s="59"/>
      <c r="Y37" s="59"/>
      <c r="Z37" s="59">
        <f>SUM(data_alu_remind!U359:U426)</f>
        <v>0.20394293554700416</v>
      </c>
    </row>
    <row r="38" spans="1:26" x14ac:dyDescent="0.15">
      <c r="A38" t="s">
        <v>3612</v>
      </c>
      <c r="B38" s="5" t="s">
        <v>884</v>
      </c>
      <c r="C38" s="4" t="s">
        <v>94</v>
      </c>
      <c r="D38" s="5" t="s">
        <v>3610</v>
      </c>
      <c r="E38" s="5" t="s">
        <v>45</v>
      </c>
      <c r="F38" s="4" t="s">
        <v>3671</v>
      </c>
      <c r="G38" s="102"/>
      <c r="H38" s="59">
        <f>SUM(data_alu_remind!C356:C358)</f>
        <v>5.8427376892030605E-2</v>
      </c>
      <c r="I38" s="59"/>
      <c r="J38" s="59"/>
      <c r="K38" s="59">
        <f>SUM(data_alu_remind!F356:F358)</f>
        <v>0.10235048170530586</v>
      </c>
      <c r="L38" s="59"/>
      <c r="M38" s="59"/>
      <c r="N38" s="59">
        <f>SUM(data_alu_remind!I356:I358)</f>
        <v>0.17430279956612033</v>
      </c>
      <c r="O38" s="59"/>
      <c r="P38" s="59"/>
      <c r="Q38" s="59">
        <f>SUM(data_alu_remind!L356:L358)</f>
        <v>0.24255801917669728</v>
      </c>
      <c r="R38" s="59"/>
      <c r="S38" s="59"/>
      <c r="T38" s="59">
        <f>SUM(data_alu_remind!O356:O358)</f>
        <v>0.30514785215573054</v>
      </c>
      <c r="U38" s="59"/>
      <c r="V38" s="59"/>
      <c r="W38" s="59">
        <f>SUM(data_alu_remind!R356:R358)</f>
        <v>0.35095772202022291</v>
      </c>
      <c r="X38" s="59"/>
      <c r="Y38" s="59"/>
      <c r="Z38" s="59">
        <f>SUM(data_alu_remind!U356:U358)</f>
        <v>0.38944233466897721</v>
      </c>
    </row>
    <row r="39" spans="1:26" x14ac:dyDescent="0.15">
      <c r="A39" t="s">
        <v>3612</v>
      </c>
      <c r="B39" s="5" t="s">
        <v>884</v>
      </c>
      <c r="C39" s="4" t="s">
        <v>94</v>
      </c>
      <c r="D39" s="4" t="s">
        <v>22</v>
      </c>
      <c r="E39" s="4" t="s">
        <v>45</v>
      </c>
      <c r="F39" s="4" t="s">
        <v>3671</v>
      </c>
      <c r="G39" s="102"/>
      <c r="H39" s="59">
        <f>data_alu_remind!C229</f>
        <v>0</v>
      </c>
      <c r="I39" s="59"/>
      <c r="J39" s="59"/>
      <c r="K39" s="59">
        <f>data_alu_remind!F229</f>
        <v>0</v>
      </c>
      <c r="L39" s="59"/>
      <c r="M39" s="59"/>
      <c r="N39" s="59">
        <f>data_alu_remind!I229</f>
        <v>1.4499441690298E-8</v>
      </c>
      <c r="O39" s="59"/>
      <c r="P39" s="59"/>
      <c r="Q39" s="59">
        <f>data_alu_remind!L229</f>
        <v>2.0973210996244001E-8</v>
      </c>
      <c r="R39" s="59"/>
      <c r="S39" s="59"/>
      <c r="T39" s="59">
        <f>data_alu_remind!O229</f>
        <v>1.79307523922755E-8</v>
      </c>
      <c r="U39" s="59"/>
      <c r="V39" s="59"/>
      <c r="W39" s="59">
        <f>data_alu_remind!R229</f>
        <v>1.8083396968807199E-8</v>
      </c>
      <c r="X39" s="59"/>
      <c r="Y39" s="59"/>
      <c r="Z39" s="59">
        <f>data_alu_remind!U229</f>
        <v>1.6524889358704899E-8</v>
      </c>
    </row>
    <row r="40" spans="1:26" x14ac:dyDescent="0.15">
      <c r="A40" t="s">
        <v>3612</v>
      </c>
      <c r="B40" s="5" t="s">
        <v>884</v>
      </c>
      <c r="C40" s="4" t="s">
        <v>94</v>
      </c>
      <c r="D40" s="4" t="s">
        <v>3512</v>
      </c>
      <c r="E40" s="4" t="s">
        <v>45</v>
      </c>
      <c r="F40" s="4" t="s">
        <v>3671</v>
      </c>
      <c r="G40" s="102"/>
      <c r="H40" s="59">
        <f>data_alu_remind!C216+data_alu_remind!C217+data_alu_remind!C429</f>
        <v>1.1336992816730611E-2</v>
      </c>
      <c r="I40" s="59"/>
      <c r="J40" s="59"/>
      <c r="K40" s="59">
        <f>data_alu_remind!F216+data_alu_remind!F217+data_alu_remind!F429</f>
        <v>1.0456937020974829E-2</v>
      </c>
      <c r="L40" s="59"/>
      <c r="M40" s="59"/>
      <c r="N40" s="59">
        <f>data_alu_remind!I216+data_alu_remind!I217+data_alu_remind!I429</f>
        <v>8.9543854060173018E-3</v>
      </c>
      <c r="O40" s="59"/>
      <c r="P40" s="59"/>
      <c r="Q40" s="59">
        <f>data_alu_remind!L216+data_alu_remind!L217+data_alu_remind!L429</f>
        <v>7.8000630087691281E-3</v>
      </c>
      <c r="R40" s="59"/>
      <c r="S40" s="59"/>
      <c r="T40" s="59">
        <f>data_alu_remind!O216+data_alu_remind!O217+data_alu_remind!O429</f>
        <v>7.1047788664730062E-3</v>
      </c>
      <c r="U40" s="59"/>
      <c r="V40" s="59"/>
      <c r="W40" s="59">
        <f>data_alu_remind!R216+data_alu_remind!R217+data_alu_remind!R429</f>
        <v>6.3222500813313633E-3</v>
      </c>
      <c r="X40" s="59"/>
      <c r="Y40" s="59"/>
      <c r="Z40" s="59">
        <f>data_alu_remind!U216+data_alu_remind!U217+data_alu_remind!U429</f>
        <v>5.4476886670303684E-3</v>
      </c>
    </row>
    <row r="41" spans="1:26" x14ac:dyDescent="0.15">
      <c r="A41" t="s">
        <v>3612</v>
      </c>
      <c r="B41" s="5" t="s">
        <v>884</v>
      </c>
      <c r="C41" s="4" t="s">
        <v>94</v>
      </c>
      <c r="D41" s="4" t="s">
        <v>3511</v>
      </c>
      <c r="E41" s="4" t="s">
        <v>45</v>
      </c>
      <c r="F41" s="4" t="s">
        <v>3671</v>
      </c>
      <c r="G41" s="102"/>
      <c r="H41" s="58">
        <f>data_alu_remind!C227+data_alu_remind!C228</f>
        <v>3.7404436024626598E-5</v>
      </c>
      <c r="I41" s="58"/>
      <c r="J41" s="58"/>
      <c r="K41" s="58">
        <f>data_alu_remind!F227+data_alu_remind!F228</f>
        <v>5.7918757891854801E-5</v>
      </c>
      <c r="L41" s="58"/>
      <c r="M41" s="58"/>
      <c r="N41" s="58">
        <f>data_alu_remind!I227+data_alu_remind!I228</f>
        <v>8.6996650141788203E-5</v>
      </c>
      <c r="O41" s="58"/>
      <c r="P41" s="58"/>
      <c r="Q41" s="58">
        <f>data_alu_remind!L227+data_alu_remind!L228</f>
        <v>7.8649541235914998E-5</v>
      </c>
      <c r="R41" s="58"/>
      <c r="S41" s="58"/>
      <c r="T41" s="58">
        <f>data_alu_remind!O227+data_alu_remind!O228</f>
        <v>7.6505397385727406E-5</v>
      </c>
      <c r="U41" s="58"/>
      <c r="V41" s="58"/>
      <c r="W41" s="58">
        <f>data_alu_remind!R227+data_alu_remind!R228</f>
        <v>7.7500272723459606E-5</v>
      </c>
      <c r="X41" s="58"/>
      <c r="Y41" s="58"/>
      <c r="Z41" s="58">
        <f>data_alu_remind!U227+data_alu_remind!U228</f>
        <v>7.8014002662446004E-5</v>
      </c>
    </row>
    <row r="42" spans="1:26" x14ac:dyDescent="0.15">
      <c r="B42" s="5"/>
      <c r="C42" s="4"/>
      <c r="D42" s="4"/>
      <c r="E42" s="4"/>
      <c r="F42" s="4"/>
      <c r="G42" s="4"/>
      <c r="H42" s="27"/>
      <c r="I42" s="27"/>
      <c r="J42" s="27"/>
      <c r="K42" s="27"/>
      <c r="L42" s="27"/>
      <c r="M42" s="27"/>
      <c r="N42" s="27"/>
      <c r="O42" s="27"/>
      <c r="P42" s="27"/>
      <c r="Q42" s="27"/>
      <c r="R42" s="27"/>
      <c r="S42" s="27"/>
      <c r="T42" s="27"/>
      <c r="U42" s="27"/>
      <c r="V42" s="27"/>
      <c r="W42" s="27"/>
      <c r="X42" s="27"/>
      <c r="Y42" s="27"/>
      <c r="Z42" s="27"/>
    </row>
    <row r="43" spans="1:26" s="3" customFormat="1" x14ac:dyDescent="0.15">
      <c r="A43" s="3" t="s">
        <v>3612</v>
      </c>
      <c r="B43" s="4" t="s">
        <v>884</v>
      </c>
      <c r="C43" s="4" t="s">
        <v>94</v>
      </c>
      <c r="D43" s="3" t="s">
        <v>420</v>
      </c>
      <c r="E43" s="4" t="s">
        <v>45</v>
      </c>
      <c r="F43" s="4" t="s">
        <v>3671</v>
      </c>
      <c r="G43" s="101" t="s">
        <v>3655</v>
      </c>
      <c r="H43" s="52">
        <f>H32/(SUM(H$32:H$39))</f>
        <v>0.18804867192460431</v>
      </c>
      <c r="I43" s="52"/>
      <c r="J43" s="52"/>
      <c r="K43" s="52">
        <f t="shared" ref="K43" si="15">K32/(SUM(K$32:K$39))</f>
        <v>0.20706758620774982</v>
      </c>
      <c r="L43" s="52"/>
      <c r="M43" s="52"/>
      <c r="N43" s="52">
        <f t="shared" ref="N43:Z43" si="16">N32/(SUM(N$32:N$39))</f>
        <v>0.18581326737988094</v>
      </c>
      <c r="O43" s="52"/>
      <c r="P43" s="52"/>
      <c r="Q43" s="52">
        <f t="shared" si="16"/>
        <v>0.17006561059059117</v>
      </c>
      <c r="R43" s="52"/>
      <c r="S43" s="52"/>
      <c r="T43" s="52">
        <f t="shared" si="16"/>
        <v>0.16673946575900009</v>
      </c>
      <c r="U43" s="52"/>
      <c r="V43" s="52"/>
      <c r="W43" s="52">
        <f t="shared" si="16"/>
        <v>0.16789112196171282</v>
      </c>
      <c r="X43" s="52"/>
      <c r="Y43" s="52"/>
      <c r="Z43" s="52">
        <f t="shared" si="16"/>
        <v>0.17824067576120523</v>
      </c>
    </row>
    <row r="44" spans="1:26" x14ac:dyDescent="0.15">
      <c r="A44" t="s">
        <v>3612</v>
      </c>
      <c r="B44" s="5" t="s">
        <v>884</v>
      </c>
      <c r="C44" s="4" t="s">
        <v>94</v>
      </c>
      <c r="D44" t="s">
        <v>421</v>
      </c>
      <c r="E44" s="5" t="s">
        <v>45</v>
      </c>
      <c r="F44" s="4" t="s">
        <v>3671</v>
      </c>
      <c r="G44" s="101"/>
      <c r="H44" s="52">
        <f t="shared" ref="H44:K50" si="17">H33/(SUM(H$32:H$39))</f>
        <v>0.58571548428504605</v>
      </c>
      <c r="I44" s="52"/>
      <c r="J44" s="52"/>
      <c r="K44" s="52">
        <f t="shared" si="17"/>
        <v>0.48907670860654406</v>
      </c>
      <c r="L44" s="52"/>
      <c r="M44" s="52"/>
      <c r="N44" s="52">
        <f t="shared" ref="N44:Z44" si="18">N33/(SUM(N$32:N$39))</f>
        <v>0.40591994523658498</v>
      </c>
      <c r="O44" s="52"/>
      <c r="P44" s="52"/>
      <c r="Q44" s="52">
        <f t="shared" si="18"/>
        <v>0.33808775371239269</v>
      </c>
      <c r="R44" s="52"/>
      <c r="S44" s="52"/>
      <c r="T44" s="52">
        <f t="shared" si="18"/>
        <v>0.26224737526840719</v>
      </c>
      <c r="U44" s="52"/>
      <c r="V44" s="52"/>
      <c r="W44" s="52">
        <f t="shared" si="18"/>
        <v>0.19790390882750397</v>
      </c>
      <c r="X44" s="52"/>
      <c r="Y44" s="52"/>
      <c r="Z44" s="52">
        <f t="shared" si="18"/>
        <v>0.10895528306418663</v>
      </c>
    </row>
    <row r="45" spans="1:26" x14ac:dyDescent="0.15">
      <c r="A45" t="s">
        <v>3612</v>
      </c>
      <c r="B45" s="5" t="s">
        <v>884</v>
      </c>
      <c r="C45" s="4" t="s">
        <v>94</v>
      </c>
      <c r="D45" s="5" t="s">
        <v>422</v>
      </c>
      <c r="E45" s="5" t="s">
        <v>45</v>
      </c>
      <c r="F45" s="4" t="s">
        <v>3671</v>
      </c>
      <c r="G45" s="101"/>
      <c r="H45" s="52">
        <f t="shared" si="17"/>
        <v>4.7031940501854261E-3</v>
      </c>
      <c r="I45" s="52"/>
      <c r="J45" s="52"/>
      <c r="K45" s="52">
        <f t="shared" si="17"/>
        <v>3.3626023119598218E-3</v>
      </c>
      <c r="L45" s="52"/>
      <c r="M45" s="52"/>
      <c r="N45" s="52">
        <f t="shared" ref="N45:Z45" si="19">N34/(SUM(N$32:N$39))</f>
        <v>1.1289874273792719E-3</v>
      </c>
      <c r="O45" s="52"/>
      <c r="P45" s="52"/>
      <c r="Q45" s="52">
        <f t="shared" si="19"/>
        <v>2.1139765129091157E-8</v>
      </c>
      <c r="R45" s="52"/>
      <c r="S45" s="52"/>
      <c r="T45" s="52">
        <f t="shared" si="19"/>
        <v>2.0640513845592207E-8</v>
      </c>
      <c r="U45" s="52"/>
      <c r="V45" s="52"/>
      <c r="W45" s="52">
        <f t="shared" si="19"/>
        <v>2.0799853261195246E-8</v>
      </c>
      <c r="X45" s="52"/>
      <c r="Y45" s="52"/>
      <c r="Z45" s="52">
        <f t="shared" si="19"/>
        <v>2.2155611131182876E-8</v>
      </c>
    </row>
    <row r="46" spans="1:26" x14ac:dyDescent="0.15">
      <c r="A46" t="s">
        <v>3612</v>
      </c>
      <c r="B46" s="5" t="s">
        <v>884</v>
      </c>
      <c r="C46" s="4" t="s">
        <v>94</v>
      </c>
      <c r="D46" t="s">
        <v>423</v>
      </c>
      <c r="E46" s="5" t="s">
        <v>45</v>
      </c>
      <c r="F46" s="4" t="s">
        <v>3671</v>
      </c>
      <c r="G46" s="101"/>
      <c r="H46" s="52">
        <f t="shared" si="17"/>
        <v>3.3233353130192357E-2</v>
      </c>
      <c r="I46" s="52"/>
      <c r="J46" s="52"/>
      <c r="K46" s="52">
        <f t="shared" si="17"/>
        <v>3.4760750920974692E-2</v>
      </c>
      <c r="L46" s="52"/>
      <c r="M46" s="52"/>
      <c r="N46" s="52">
        <f t="shared" ref="N46:Z46" si="20">N35/(SUM(N$32:N$39))</f>
        <v>2.8703670088652496E-2</v>
      </c>
      <c r="O46" s="52"/>
      <c r="P46" s="52"/>
      <c r="Q46" s="52">
        <f t="shared" si="20"/>
        <v>2.2864997216077883E-2</v>
      </c>
      <c r="R46" s="52"/>
      <c r="S46" s="52"/>
      <c r="T46" s="52">
        <f t="shared" si="20"/>
        <v>2.1237829675769777E-2</v>
      </c>
      <c r="U46" s="52"/>
      <c r="V46" s="52"/>
      <c r="W46" s="52">
        <f t="shared" si="20"/>
        <v>1.7891628178141491E-2</v>
      </c>
      <c r="X46" s="52"/>
      <c r="Y46" s="52"/>
      <c r="Z46" s="52">
        <f t="shared" si="20"/>
        <v>1.5655919193877849E-2</v>
      </c>
    </row>
    <row r="47" spans="1:26" x14ac:dyDescent="0.15">
      <c r="A47" t="s">
        <v>3612</v>
      </c>
      <c r="B47" s="5" t="s">
        <v>884</v>
      </c>
      <c r="C47" s="4" t="s">
        <v>94</v>
      </c>
      <c r="D47" t="s">
        <v>424</v>
      </c>
      <c r="E47" s="5" t="s">
        <v>45</v>
      </c>
      <c r="F47" s="4" t="s">
        <v>3671</v>
      </c>
      <c r="G47" s="101"/>
      <c r="H47" s="52">
        <f t="shared" si="17"/>
        <v>6.5941521747656287E-2</v>
      </c>
      <c r="I47" s="52"/>
      <c r="J47" s="52"/>
      <c r="K47" s="52">
        <f t="shared" si="17"/>
        <v>7.3532404781500874E-2</v>
      </c>
      <c r="L47" s="52"/>
      <c r="M47" s="52"/>
      <c r="N47" s="52">
        <f t="shared" ref="N47:Z47" si="21">N36/(SUM(N$32:N$39))</f>
        <v>7.9578822411574879E-2</v>
      </c>
      <c r="O47" s="52"/>
      <c r="P47" s="52"/>
      <c r="Q47" s="52">
        <f t="shared" si="21"/>
        <v>8.3215578235387846E-2</v>
      </c>
      <c r="R47" s="52"/>
      <c r="S47" s="52"/>
      <c r="T47" s="52">
        <f t="shared" si="21"/>
        <v>8.8778387317952276E-2</v>
      </c>
      <c r="U47" s="52"/>
      <c r="V47" s="52"/>
      <c r="W47" s="52">
        <f t="shared" si="21"/>
        <v>9.3482475699830384E-2</v>
      </c>
      <c r="X47" s="52"/>
      <c r="Y47" s="52"/>
      <c r="Z47" s="52">
        <f t="shared" si="21"/>
        <v>0.10046572368545378</v>
      </c>
    </row>
    <row r="48" spans="1:26" x14ac:dyDescent="0.15">
      <c r="A48" t="s">
        <v>3612</v>
      </c>
      <c r="B48" s="5" t="s">
        <v>884</v>
      </c>
      <c r="C48" s="4" t="s">
        <v>94</v>
      </c>
      <c r="D48" s="5" t="s">
        <v>20</v>
      </c>
      <c r="E48" s="5" t="s">
        <v>45</v>
      </c>
      <c r="F48" s="4" t="s">
        <v>3671</v>
      </c>
      <c r="G48" s="101"/>
      <c r="H48" s="52">
        <f t="shared" si="17"/>
        <v>6.3258175651381005E-2</v>
      </c>
      <c r="I48" s="52"/>
      <c r="J48" s="52"/>
      <c r="K48" s="52">
        <f t="shared" si="17"/>
        <v>8.8761828566801426E-2</v>
      </c>
      <c r="L48" s="52"/>
      <c r="M48" s="52"/>
      <c r="N48" s="52">
        <f t="shared" ref="N48:Z48" si="22">N37/(SUM(N$32:N$39))</f>
        <v>0.12296217639135626</v>
      </c>
      <c r="O48" s="52"/>
      <c r="P48" s="52"/>
      <c r="Q48" s="52">
        <f t="shared" si="22"/>
        <v>0.14128177773755599</v>
      </c>
      <c r="R48" s="52"/>
      <c r="S48" s="52"/>
      <c r="T48" s="52">
        <f t="shared" si="22"/>
        <v>0.15364184709378356</v>
      </c>
      <c r="U48" s="52"/>
      <c r="V48" s="52"/>
      <c r="W48" s="52">
        <f t="shared" si="22"/>
        <v>0.16961259581705923</v>
      </c>
      <c r="X48" s="52"/>
      <c r="Y48" s="52"/>
      <c r="Z48" s="52">
        <f t="shared" si="22"/>
        <v>0.20507612523973195</v>
      </c>
    </row>
    <row r="49" spans="1:27" x14ac:dyDescent="0.15">
      <c r="A49" t="s">
        <v>3612</v>
      </c>
      <c r="B49" s="5" t="s">
        <v>884</v>
      </c>
      <c r="C49" s="4" t="s">
        <v>94</v>
      </c>
      <c r="D49" s="5" t="s">
        <v>3610</v>
      </c>
      <c r="E49" s="5" t="s">
        <v>45</v>
      </c>
      <c r="F49" s="4" t="s">
        <v>3671</v>
      </c>
      <c r="G49" s="101"/>
      <c r="H49" s="52">
        <f t="shared" si="17"/>
        <v>5.9099599210934502E-2</v>
      </c>
      <c r="I49" s="52"/>
      <c r="J49" s="52"/>
      <c r="K49" s="52">
        <f t="shared" si="17"/>
        <v>0.10343811860446943</v>
      </c>
      <c r="L49" s="52"/>
      <c r="M49" s="52"/>
      <c r="N49" s="52">
        <f t="shared" ref="N49:Z49" si="23">N38/(SUM(N$32:N$39))</f>
        <v>0.17589311643283848</v>
      </c>
      <c r="O49" s="52"/>
      <c r="P49" s="52"/>
      <c r="Q49" s="52">
        <f t="shared" si="23"/>
        <v>0.24448424022846441</v>
      </c>
      <c r="R49" s="52"/>
      <c r="S49" s="52"/>
      <c r="T49" s="52">
        <f t="shared" si="23"/>
        <v>0.30735505618412362</v>
      </c>
      <c r="U49" s="52"/>
      <c r="V49" s="52"/>
      <c r="W49" s="52">
        <f t="shared" si="23"/>
        <v>0.35321823051602735</v>
      </c>
      <c r="X49" s="52"/>
      <c r="Y49" s="52"/>
      <c r="Z49" s="52">
        <f t="shared" si="23"/>
        <v>0.39160623428322505</v>
      </c>
    </row>
    <row r="50" spans="1:27" x14ac:dyDescent="0.15">
      <c r="A50" t="s">
        <v>3612</v>
      </c>
      <c r="B50" s="5" t="s">
        <v>884</v>
      </c>
      <c r="C50" s="4" t="s">
        <v>94</v>
      </c>
      <c r="D50" s="5" t="s">
        <v>22</v>
      </c>
      <c r="E50" s="5" t="s">
        <v>45</v>
      </c>
      <c r="F50" s="4" t="s">
        <v>3671</v>
      </c>
      <c r="G50" s="101"/>
      <c r="H50" s="52">
        <f t="shared" si="17"/>
        <v>0</v>
      </c>
      <c r="I50" s="52"/>
      <c r="J50" s="52"/>
      <c r="K50" s="52">
        <f t="shared" si="17"/>
        <v>0</v>
      </c>
      <c r="L50" s="52"/>
      <c r="M50" s="52"/>
      <c r="N50" s="52">
        <f t="shared" ref="N50:Z50" si="24">N39/(SUM(N$32:N$39))</f>
        <v>1.4631732776473757E-8</v>
      </c>
      <c r="O50" s="52"/>
      <c r="P50" s="52"/>
      <c r="Q50" s="52">
        <f t="shared" si="24"/>
        <v>2.1139765129070626E-8</v>
      </c>
      <c r="R50" s="52"/>
      <c r="S50" s="52"/>
      <c r="T50" s="52">
        <f t="shared" si="24"/>
        <v>1.8060449614893184E-8</v>
      </c>
      <c r="U50" s="52"/>
      <c r="V50" s="52"/>
      <c r="W50" s="52">
        <f t="shared" si="24"/>
        <v>1.8199871603545789E-8</v>
      </c>
      <c r="X50" s="52"/>
      <c r="Y50" s="52"/>
      <c r="Z50" s="52">
        <f t="shared" si="24"/>
        <v>1.6616708348387118E-8</v>
      </c>
    </row>
    <row r="51" spans="1:27" x14ac:dyDescent="0.15">
      <c r="B51" s="5"/>
      <c r="C51" s="4"/>
      <c r="D51" s="5"/>
      <c r="E51" s="5"/>
      <c r="F51" s="4"/>
      <c r="G51" s="42"/>
      <c r="H51" s="52"/>
      <c r="I51" s="52"/>
      <c r="J51" s="52"/>
      <c r="K51" s="52"/>
      <c r="L51" s="52"/>
      <c r="M51" s="52"/>
      <c r="N51" s="52"/>
      <c r="O51" s="52"/>
      <c r="P51" s="52"/>
      <c r="Q51" s="52"/>
      <c r="R51" s="52"/>
      <c r="S51" s="52"/>
      <c r="T51" s="52"/>
      <c r="U51" s="52"/>
      <c r="V51" s="52"/>
      <c r="W51" s="52"/>
      <c r="X51" s="52"/>
      <c r="Y51" s="52"/>
      <c r="Z51" s="52"/>
    </row>
    <row r="52" spans="1:27" s="73" customFormat="1" x14ac:dyDescent="0.15">
      <c r="A52" s="73" t="s">
        <v>3611</v>
      </c>
      <c r="B52" s="73" t="s">
        <v>337</v>
      </c>
      <c r="C52" s="73" t="s">
        <v>336</v>
      </c>
      <c r="D52" s="73" t="s">
        <v>3643</v>
      </c>
      <c r="F52" s="74"/>
      <c r="G52" s="74"/>
      <c r="H52" s="73">
        <v>2022</v>
      </c>
      <c r="I52" s="75"/>
      <c r="J52" s="75"/>
      <c r="K52" s="73">
        <v>2025</v>
      </c>
      <c r="L52" s="75"/>
      <c r="M52" s="75"/>
      <c r="N52" s="73">
        <v>2030</v>
      </c>
      <c r="O52" s="75"/>
      <c r="P52" s="75"/>
      <c r="Q52" s="60">
        <v>2035</v>
      </c>
      <c r="R52" s="75"/>
      <c r="S52" s="75"/>
      <c r="T52" s="60">
        <v>2040</v>
      </c>
      <c r="U52" s="75"/>
      <c r="V52" s="75"/>
      <c r="W52" s="60">
        <v>2045</v>
      </c>
      <c r="X52" s="75"/>
      <c r="Y52" s="75"/>
      <c r="Z52" s="73">
        <v>2050</v>
      </c>
    </row>
    <row r="53" spans="1:27" s="14" customFormat="1" x14ac:dyDescent="0.15">
      <c r="A53" s="60" t="s">
        <v>3612</v>
      </c>
      <c r="B53" s="60" t="s">
        <v>884</v>
      </c>
      <c r="C53" s="60" t="s">
        <v>94</v>
      </c>
      <c r="D53" s="60" t="s">
        <v>420</v>
      </c>
      <c r="E53" s="60" t="s">
        <v>45</v>
      </c>
      <c r="F53" s="60" t="s">
        <v>3673</v>
      </c>
      <c r="G53" s="99" t="s">
        <v>3672</v>
      </c>
      <c r="H53" s="61">
        <f>data_alu_IAI!U308</f>
        <v>0.19199988165505408</v>
      </c>
      <c r="I53" s="63">
        <f>K43-H43</f>
        <v>1.9018914283145505E-2</v>
      </c>
      <c r="J53" s="66">
        <f>I53/SUM(I$53:I$60)</f>
        <v>0.1941114214613561</v>
      </c>
      <c r="K53" s="47">
        <f>H53+J53*($H$54-$K$54+$H$55-$K$55)</f>
        <v>0.21585996922882622</v>
      </c>
      <c r="L53" s="64"/>
      <c r="M53" s="63">
        <f t="shared" ref="M53:M56" si="25">L53/SUM(L$53:L$60)</f>
        <v>0</v>
      </c>
      <c r="N53" s="47">
        <f>K53*N43/K43</f>
        <v>0.1937031619168389</v>
      </c>
      <c r="O53" s="64"/>
      <c r="P53" s="63">
        <f t="shared" ref="P53:P60" si="26">O53/SUM(O$53:O$60)</f>
        <v>0</v>
      </c>
      <c r="Q53" s="47">
        <f>N53*Q43/N43</f>
        <v>0.17728683731376116</v>
      </c>
      <c r="R53" s="67"/>
      <c r="S53" s="63">
        <f t="shared" ref="S53:S60" si="27">R53/SUM(R$53:R$60)</f>
        <v>0</v>
      </c>
      <c r="T53" s="47">
        <f>Q53*T43/Q43</f>
        <v>0.17381945966114526</v>
      </c>
      <c r="U53" s="64">
        <f t="shared" ref="U53" si="28">W43-T43</f>
        <v>1.1516562027127364E-3</v>
      </c>
      <c r="V53" s="63">
        <f t="shared" ref="V53:V60" si="29">U53/SUM(U$53:U$60)</f>
        <v>1.701376654471996E-2</v>
      </c>
      <c r="W53" s="47">
        <f>T53+V53*(T$54+T$55+T$56+T$60-$W$54-W$55-W$56-W$60)</f>
        <v>0.17521503146292583</v>
      </c>
      <c r="X53" s="64">
        <f>Z43-W43</f>
        <v>1.03495537994924E-2</v>
      </c>
      <c r="Y53" s="63">
        <f t="shared" ref="Y53:Y60" si="30">X53/SUM(X$53:X$60)</f>
        <v>0.11350144520252849</v>
      </c>
      <c r="Z53" s="47">
        <f>W53+Y53*(W$54+W$55+W$56+W$60-$W$54-Z$55-Z$56-Z$60)</f>
        <v>0.17522901999803889</v>
      </c>
    </row>
    <row r="54" spans="1:27" s="14" customFormat="1" x14ac:dyDescent="0.15">
      <c r="A54" s="14" t="s">
        <v>3612</v>
      </c>
      <c r="B54" s="14" t="s">
        <v>884</v>
      </c>
      <c r="C54" s="60" t="s">
        <v>94</v>
      </c>
      <c r="D54" s="14" t="s">
        <v>421</v>
      </c>
      <c r="E54" s="14" t="s">
        <v>45</v>
      </c>
      <c r="F54" s="60" t="s">
        <v>3673</v>
      </c>
      <c r="G54" s="99"/>
      <c r="H54" s="61">
        <f>data_alu_IAI!U309</f>
        <v>0.74499992603440879</v>
      </c>
      <c r="I54" s="63"/>
      <c r="J54" s="66">
        <f t="shared" ref="J54:J60" si="31">I54/SUM(I$53:I$60)</f>
        <v>0</v>
      </c>
      <c r="K54" s="47">
        <f>H54*K44/H44</f>
        <v>0.62208038119700093</v>
      </c>
      <c r="L54" s="64"/>
      <c r="M54" s="63">
        <f t="shared" si="25"/>
        <v>0</v>
      </c>
      <c r="N54" s="47">
        <f>K54*N44/K44</f>
        <v>0.5163092615628635</v>
      </c>
      <c r="O54" s="64"/>
      <c r="P54" s="63">
        <f t="shared" si="26"/>
        <v>0</v>
      </c>
      <c r="Q54" s="47">
        <f>N54*Q44/N44</f>
        <v>0.43003020795382213</v>
      </c>
      <c r="R54" s="67"/>
      <c r="S54" s="63">
        <f t="shared" si="27"/>
        <v>0</v>
      </c>
      <c r="T54" s="47">
        <f>Q54*T44/Q44</f>
        <v>0.3335651530813889</v>
      </c>
      <c r="U54" s="64"/>
      <c r="V54" s="63">
        <f t="shared" si="29"/>
        <v>0</v>
      </c>
      <c r="W54" s="47">
        <f>T54*W44/T44</f>
        <v>0.25172357807542278</v>
      </c>
      <c r="X54" s="64"/>
      <c r="Y54" s="63">
        <f t="shared" si="30"/>
        <v>0</v>
      </c>
      <c r="Z54" s="47">
        <f>W54*Z44/W44</f>
        <v>0.1385855078135067</v>
      </c>
    </row>
    <row r="55" spans="1:27" s="14" customFormat="1" x14ac:dyDescent="0.15">
      <c r="A55" s="14" t="s">
        <v>3612</v>
      </c>
      <c r="B55" s="14" t="s">
        <v>884</v>
      </c>
      <c r="C55" s="60" t="s">
        <v>94</v>
      </c>
      <c r="D55" s="14" t="s">
        <v>422</v>
      </c>
      <c r="E55" s="14" t="s">
        <v>45</v>
      </c>
      <c r="F55" s="60" t="s">
        <v>3673</v>
      </c>
      <c r="G55" s="99"/>
      <c r="H55" s="61">
        <f>data_alu_IAI!U310</f>
        <v>0</v>
      </c>
      <c r="I55" s="63"/>
      <c r="J55" s="66">
        <f t="shared" si="31"/>
        <v>0</v>
      </c>
      <c r="K55" s="47">
        <f>H55*K45/H45</f>
        <v>0</v>
      </c>
      <c r="L55" s="64"/>
      <c r="M55" s="63">
        <f t="shared" si="25"/>
        <v>0</v>
      </c>
      <c r="N55" s="47">
        <f>K55*N45/K45</f>
        <v>0</v>
      </c>
      <c r="O55" s="64"/>
      <c r="P55" s="63">
        <f t="shared" si="26"/>
        <v>0</v>
      </c>
      <c r="Q55" s="47">
        <f>N55*Q45/N45</f>
        <v>0</v>
      </c>
      <c r="R55" s="67"/>
      <c r="S55" s="63">
        <f t="shared" si="27"/>
        <v>0</v>
      </c>
      <c r="T55" s="47">
        <f>Q55*T45/Q45</f>
        <v>0</v>
      </c>
      <c r="U55" s="71"/>
      <c r="V55" s="63">
        <f t="shared" si="29"/>
        <v>0</v>
      </c>
      <c r="W55" s="47">
        <f>T55*W45/T45</f>
        <v>0</v>
      </c>
      <c r="X55" s="64"/>
      <c r="Y55" s="63">
        <f t="shared" si="30"/>
        <v>0</v>
      </c>
      <c r="Z55" s="47">
        <f>W55*Z45/W45</f>
        <v>0</v>
      </c>
    </row>
    <row r="56" spans="1:27" s="14" customFormat="1" x14ac:dyDescent="0.15">
      <c r="A56" s="14" t="s">
        <v>3612</v>
      </c>
      <c r="B56" s="14" t="s">
        <v>884</v>
      </c>
      <c r="C56" s="60" t="s">
        <v>94</v>
      </c>
      <c r="D56" s="14" t="s">
        <v>423</v>
      </c>
      <c r="E56" s="14" t="s">
        <v>45</v>
      </c>
      <c r="F56" s="60" t="s">
        <v>3673</v>
      </c>
      <c r="G56" s="99"/>
      <c r="H56" s="61">
        <f>data_alu_IAI!U311</f>
        <v>0</v>
      </c>
      <c r="I56" s="63">
        <f>K46-H46</f>
        <v>1.5273977907823352E-3</v>
      </c>
      <c r="J56" s="66">
        <f t="shared" si="31"/>
        <v>1.5588973791655306E-2</v>
      </c>
      <c r="K56" s="47">
        <f t="shared" ref="K56:K60" si="32">H56+J56*($H$54-$K$54+$H$55-$K$55)</f>
        <v>1.9161895629525505E-3</v>
      </c>
      <c r="L56" s="64"/>
      <c r="M56" s="63">
        <f t="shared" si="25"/>
        <v>0</v>
      </c>
      <c r="N56" s="47">
        <f>K56*N46/K46</f>
        <v>1.5822924299693745E-3</v>
      </c>
      <c r="O56" s="64"/>
      <c r="P56" s="63">
        <f t="shared" si="26"/>
        <v>0</v>
      </c>
      <c r="Q56" s="47">
        <f>N56*Q46/N46</f>
        <v>1.2604350556751154E-3</v>
      </c>
      <c r="R56" s="67"/>
      <c r="S56" s="63">
        <f t="shared" si="27"/>
        <v>0</v>
      </c>
      <c r="T56" s="47">
        <f>Q56*T46/Q46</f>
        <v>1.1707372966997137E-3</v>
      </c>
      <c r="U56" s="64"/>
      <c r="V56" s="63">
        <f t="shared" si="29"/>
        <v>0</v>
      </c>
      <c r="W56" s="47">
        <f>T56*W46/T46</f>
        <v>9.8627763413751835E-4</v>
      </c>
      <c r="X56" s="64"/>
      <c r="Y56" s="63">
        <f t="shared" si="30"/>
        <v>0</v>
      </c>
      <c r="Z56" s="47">
        <f>W56*Z46/W46</f>
        <v>8.6303397259566593E-4</v>
      </c>
    </row>
    <row r="57" spans="1:27" s="14" customFormat="1" x14ac:dyDescent="0.15">
      <c r="A57" s="14" t="s">
        <v>3612</v>
      </c>
      <c r="B57" s="14" t="s">
        <v>884</v>
      </c>
      <c r="C57" s="60" t="s">
        <v>94</v>
      </c>
      <c r="D57" s="14" t="s">
        <v>424</v>
      </c>
      <c r="E57" s="14" t="s">
        <v>45</v>
      </c>
      <c r="F57" s="60" t="s">
        <v>3673</v>
      </c>
      <c r="G57" s="99"/>
      <c r="H57" s="61">
        <f>data_alu_IAI!U312</f>
        <v>6.0004585866654829E-3</v>
      </c>
      <c r="I57" s="63">
        <f>K47-H47</f>
        <v>7.5908830338445865E-3</v>
      </c>
      <c r="J57" s="66">
        <f t="shared" si="31"/>
        <v>7.7474301314468516E-2</v>
      </c>
      <c r="K57" s="47">
        <f t="shared" si="32"/>
        <v>1.5523564440836142E-2</v>
      </c>
      <c r="L57" s="64">
        <f>N47-K47</f>
        <v>6.0464176300740052E-3</v>
      </c>
      <c r="M57" s="63">
        <f>L57/SUM(L$53:L$60)</f>
        <v>5.3649709365265565E-2</v>
      </c>
      <c r="N57" s="47">
        <f>K57+M57*(K$53+K$54+K$55+K$56-N$53-N$54-N$55-N$56)</f>
        <v>2.2404774025339105E-2</v>
      </c>
      <c r="O57" s="64">
        <f>Q47-N47</f>
        <v>3.6367558238129677E-3</v>
      </c>
      <c r="P57" s="63">
        <f t="shared" si="26"/>
        <v>4.0164072193283648E-2</v>
      </c>
      <c r="Q57" s="47">
        <f>N57+P57*(N$53+N$54+N$55+N$56-Q$53-Q$54-Q$55-Q$56)</f>
        <v>2.6542365712584316E-2</v>
      </c>
      <c r="R57" s="63">
        <f>T47-Q47</f>
        <v>5.5628090825644294E-3</v>
      </c>
      <c r="S57" s="63">
        <f t="shared" si="27"/>
        <v>6.8852022874740279E-2</v>
      </c>
      <c r="T57" s="47">
        <f>Q57+S57*(Q$53+Q$54+Q$55+Q$56-T$53-T$54-T$55-T$56)</f>
        <v>3.3429091714880226E-2</v>
      </c>
      <c r="U57" s="64">
        <f>W47-T47</f>
        <v>4.7040883818781076E-3</v>
      </c>
      <c r="V57" s="63">
        <f t="shared" si="29"/>
        <v>6.9494925088305168E-2</v>
      </c>
      <c r="W57" s="47">
        <f>T57+V57*(T$54+T$55+T$56+T$60-$W$54-W$55-W$56-W$60)</f>
        <v>3.9129484838599786E-2</v>
      </c>
      <c r="X57" s="64">
        <f>Z47-W47</f>
        <v>6.9832479856234003E-3</v>
      </c>
      <c r="Y57" s="63">
        <f t="shared" si="30"/>
        <v>7.6583856070662273E-2</v>
      </c>
      <c r="Z57" s="47">
        <f>W57+Y57*(W$54+W$55+W$56+W$60-$W$54-Z$55-Z$56-Z$60)</f>
        <v>3.9138923449340161E-2</v>
      </c>
    </row>
    <row r="58" spans="1:27" s="14" customFormat="1" x14ac:dyDescent="0.15">
      <c r="A58" s="14" t="s">
        <v>3612</v>
      </c>
      <c r="B58" s="14" t="s">
        <v>884</v>
      </c>
      <c r="C58" s="60" t="s">
        <v>94</v>
      </c>
      <c r="D58" s="14" t="s">
        <v>20</v>
      </c>
      <c r="E58" s="14" t="s">
        <v>45</v>
      </c>
      <c r="F58" s="60" t="s">
        <v>3673</v>
      </c>
      <c r="G58" s="99"/>
      <c r="H58" s="61">
        <f>data_alu_IAI!$U$313*H48/($H$48+$H$49+$H$50)</f>
        <v>2.9468492476624173E-2</v>
      </c>
      <c r="I58" s="63">
        <f>K48-H48</f>
        <v>2.5503652915420422E-2</v>
      </c>
      <c r="J58" s="66">
        <f t="shared" si="31"/>
        <v>0.26029615813855772</v>
      </c>
      <c r="K58" s="47">
        <f t="shared" si="32"/>
        <v>6.1463977757941629E-2</v>
      </c>
      <c r="L58" s="63">
        <f>N48-K48</f>
        <v>3.4200347824554833E-2</v>
      </c>
      <c r="M58" s="63">
        <f t="shared" ref="M58:M60" si="33">L58/SUM(L$53:L$60)</f>
        <v>0.3034588136704513</v>
      </c>
      <c r="N58" s="47">
        <f>K58+M58*(K$53+K$54+K$55+K$56-N$53-N$54-N$55-N$56)</f>
        <v>0.10038615873219586</v>
      </c>
      <c r="O58" s="63">
        <f>Q48-N48</f>
        <v>1.8319601346199726E-2</v>
      </c>
      <c r="P58" s="63">
        <f t="shared" si="26"/>
        <v>0.20232037196533614</v>
      </c>
      <c r="Q58" s="47">
        <f>N58+P58*(N$53+N$54+N$55+N$56-Q$53-Q$54-Q$55-Q$56)</f>
        <v>0.12122864415487966</v>
      </c>
      <c r="R58" s="63">
        <f>T48-Q48</f>
        <v>1.2360069356227577E-2</v>
      </c>
      <c r="S58" s="63">
        <f t="shared" si="27"/>
        <v>0.15298309998013507</v>
      </c>
      <c r="T58" s="47">
        <f>Q58+S58*(Q$53+Q$54+Q$55+Q$56-T$53-T$54-T$55-T$56)</f>
        <v>0.13653033971234668</v>
      </c>
      <c r="U58" s="64">
        <f>W48-T48</f>
        <v>1.5970748723275668E-2</v>
      </c>
      <c r="V58" s="63">
        <f t="shared" si="29"/>
        <v>0.23594071710129433</v>
      </c>
      <c r="W58" s="47">
        <f t="shared" ref="W58:W59" si="34">T58+V58*(T$54+T$55+T$56+T$60-$W$54-W$55-W$56-W$60)</f>
        <v>0.15588362111614251</v>
      </c>
      <c r="X58" s="64">
        <f>Z48-W48</f>
        <v>3.5463529422672724E-2</v>
      </c>
      <c r="Y58" s="63">
        <f t="shared" si="30"/>
        <v>0.3889212925926489</v>
      </c>
      <c r="Z58" s="47">
        <f t="shared" ref="Z58:Z59" si="35">W58+Y58*(W$54+W$55+W$56+W$60-$W$54-Z$55-Z$56-Z$60)</f>
        <v>0.15593155389046037</v>
      </c>
    </row>
    <row r="59" spans="1:27" s="14" customFormat="1" x14ac:dyDescent="0.15">
      <c r="A59" s="14" t="s">
        <v>3612</v>
      </c>
      <c r="B59" s="14" t="s">
        <v>884</v>
      </c>
      <c r="C59" s="60" t="s">
        <v>94</v>
      </c>
      <c r="D59" s="14" t="s">
        <v>3610</v>
      </c>
      <c r="E59" s="14" t="s">
        <v>45</v>
      </c>
      <c r="F59" s="60" t="s">
        <v>3673</v>
      </c>
      <c r="G59" s="99"/>
      <c r="H59" s="61">
        <f>data_alu_IAI!$U$313*H49/($H$48+$H$49+$H$50)</f>
        <v>2.7531241247247484E-2</v>
      </c>
      <c r="I59" s="63">
        <f>K49-H49</f>
        <v>4.4338519393534927E-2</v>
      </c>
      <c r="J59" s="66">
        <f t="shared" si="31"/>
        <v>0.45252914529396238</v>
      </c>
      <c r="K59" s="47">
        <f t="shared" si="32"/>
        <v>8.3155917812442554E-2</v>
      </c>
      <c r="L59" s="63">
        <f>N49-K49</f>
        <v>7.2454997828369047E-2</v>
      </c>
      <c r="M59" s="63">
        <f t="shared" si="33"/>
        <v>0.64289134713729157</v>
      </c>
      <c r="N59" s="47">
        <f>K59+M59*(K$53+K$54+K$55+K$56-N$53-N$54-N$55-N$56)</f>
        <v>0.16561433468094658</v>
      </c>
      <c r="O59" s="63">
        <f>Q49-N49</f>
        <v>6.859112379562593E-2</v>
      </c>
      <c r="P59" s="63">
        <f t="shared" si="26"/>
        <v>0.75751548396713464</v>
      </c>
      <c r="Q59" s="47">
        <f>N59+P59*(N$53+N$54+N$55+N$56-Q$53-Q$54-Q$55-Q$56)</f>
        <v>0.24365148575314477</v>
      </c>
      <c r="R59" s="63">
        <f>T49-Q49</f>
        <v>6.2870815955659215E-2</v>
      </c>
      <c r="S59" s="63">
        <f t="shared" si="27"/>
        <v>0.77816491525844089</v>
      </c>
      <c r="T59" s="47">
        <f>Q59+S59*(Q$53+Q$54+Q$55+Q$56-T$53-T$54-T$55-T$56)</f>
        <v>0.32148519828958144</v>
      </c>
      <c r="U59" s="64">
        <f>W49-T49</f>
        <v>4.5863174331903733E-2</v>
      </c>
      <c r="V59" s="63">
        <f t="shared" si="29"/>
        <v>0.67755059126568051</v>
      </c>
      <c r="W59" s="47">
        <f t="shared" si="34"/>
        <v>0.37706198647253564</v>
      </c>
      <c r="X59" s="64">
        <f>Z49-W49</f>
        <v>3.8388003767197698E-2</v>
      </c>
      <c r="Y59" s="63">
        <f t="shared" si="30"/>
        <v>0.42099340613416036</v>
      </c>
      <c r="Z59" s="47">
        <f t="shared" si="35"/>
        <v>0.3771138719884739</v>
      </c>
      <c r="AA59" s="47"/>
    </row>
    <row r="60" spans="1:27" s="14" customFormat="1" x14ac:dyDescent="0.15">
      <c r="A60" s="14" t="s">
        <v>3612</v>
      </c>
      <c r="B60" s="14" t="s">
        <v>884</v>
      </c>
      <c r="C60" s="60" t="s">
        <v>94</v>
      </c>
      <c r="D60" s="14" t="s">
        <v>22</v>
      </c>
      <c r="E60" s="14" t="s">
        <v>45</v>
      </c>
      <c r="F60" s="60" t="s">
        <v>3673</v>
      </c>
      <c r="G60" s="99"/>
      <c r="H60" s="61">
        <f>data_alu_IAI!$U$313*H50/($H$48+$H$49+$H$50)</f>
        <v>0</v>
      </c>
      <c r="I60" s="63">
        <f>K50-H50</f>
        <v>0</v>
      </c>
      <c r="J60" s="66">
        <f t="shared" si="31"/>
        <v>0</v>
      </c>
      <c r="K60" s="47">
        <f t="shared" si="32"/>
        <v>0</v>
      </c>
      <c r="L60" s="63">
        <f>N50-K50</f>
        <v>1.4631732776473757E-8</v>
      </c>
      <c r="M60" s="63">
        <f t="shared" si="33"/>
        <v>1.2982699161626375E-7</v>
      </c>
      <c r="N60" s="47">
        <f>K60+M60*(K$53+K$54+K$55+K$56-N$53-N$54-N$55-N$56)</f>
        <v>1.6651846759405046E-8</v>
      </c>
      <c r="O60" s="63">
        <f>Q50-N50</f>
        <v>6.5080323525968697E-9</v>
      </c>
      <c r="P60" s="63">
        <f t="shared" si="26"/>
        <v>7.1874245593940404E-8</v>
      </c>
      <c r="Q60" s="47">
        <f>N60+P60*(N$53+N$54+N$55+N$56-Q$53-Q$54-Q$55-Q$56)</f>
        <v>2.4056132850351731E-8</v>
      </c>
      <c r="R60" s="63">
        <f>T50-Q50</f>
        <v>-3.0793155141774426E-9</v>
      </c>
      <c r="S60" s="63">
        <f t="shared" si="27"/>
        <v>-3.811331632523851E-8</v>
      </c>
      <c r="T60" s="47">
        <f>Q60+S60*(Q$53+Q$54+Q$55+Q$56-T$53-T$54-T$55-T$56)</f>
        <v>2.0243957759312483E-8</v>
      </c>
      <c r="U60" s="64"/>
      <c r="V60" s="63">
        <f t="shared" si="29"/>
        <v>0</v>
      </c>
      <c r="W60" s="47">
        <f t="shared" ref="W60" si="36">T60*W50/T50</f>
        <v>2.0400235864741001E-8</v>
      </c>
      <c r="X60" s="72"/>
      <c r="Y60" s="63">
        <f t="shared" si="30"/>
        <v>0</v>
      </c>
      <c r="Z60" s="47">
        <f t="shared" ref="Z60" si="37">W60*Z50/W50</f>
        <v>1.8625668190794566E-8</v>
      </c>
    </row>
    <row r="61" spans="1:27" x14ac:dyDescent="0.15">
      <c r="B61" s="5"/>
      <c r="C61" s="4"/>
      <c r="D61" s="5"/>
      <c r="E61" s="5"/>
      <c r="F61" s="5"/>
      <c r="G61" s="5"/>
      <c r="H61" s="27"/>
      <c r="I61" s="43"/>
      <c r="J61" s="43"/>
      <c r="K61" s="47"/>
      <c r="L61" s="43"/>
      <c r="M61" s="43"/>
      <c r="N61" s="47"/>
      <c r="O61" s="43"/>
      <c r="P61" s="45"/>
      <c r="Q61" s="46"/>
      <c r="R61" s="44"/>
      <c r="S61" s="45"/>
      <c r="T61" s="46"/>
      <c r="U61" s="44"/>
      <c r="V61" s="45"/>
      <c r="W61" s="46"/>
      <c r="X61" s="44"/>
      <c r="Y61" s="45"/>
      <c r="Z61" s="46"/>
    </row>
    <row r="62" spans="1:27" s="14" customFormat="1" x14ac:dyDescent="0.15">
      <c r="A62" s="14" t="s">
        <v>3678</v>
      </c>
      <c r="B62" s="60" t="s">
        <v>337</v>
      </c>
      <c r="C62" s="60" t="s">
        <v>336</v>
      </c>
      <c r="D62" s="14" t="s">
        <v>3643</v>
      </c>
      <c r="E62" s="14" t="s">
        <v>162</v>
      </c>
      <c r="F62" s="14" t="s">
        <v>333</v>
      </c>
      <c r="G62" s="14" t="s">
        <v>3670</v>
      </c>
      <c r="H62" s="14">
        <v>2022</v>
      </c>
      <c r="I62" s="14">
        <v>2025</v>
      </c>
      <c r="J62" s="14">
        <v>2030</v>
      </c>
      <c r="K62" s="14">
        <v>2035</v>
      </c>
      <c r="L62" s="14">
        <v>2040</v>
      </c>
      <c r="M62" s="14">
        <v>2045</v>
      </c>
      <c r="N62" s="14">
        <v>2050</v>
      </c>
    </row>
    <row r="63" spans="1:27" x14ac:dyDescent="0.15">
      <c r="A63" s="5" t="s">
        <v>3612</v>
      </c>
      <c r="B63" s="4" t="s">
        <v>151</v>
      </c>
      <c r="C63" s="5" t="s">
        <v>97</v>
      </c>
      <c r="D63" s="5" t="s">
        <v>439</v>
      </c>
      <c r="E63" s="5" t="s">
        <v>45</v>
      </c>
      <c r="F63" s="5" t="s">
        <v>3702</v>
      </c>
      <c r="G63" s="5"/>
      <c r="H63" s="38">
        <f>SUM(Tableau11[Secondary production kt])/(SUM(Tableau11[Secondary production kt])+SUM(Tableau11[Primary production kt]))</f>
        <v>0.35866261398176291</v>
      </c>
      <c r="I63" s="46">
        <v>0.39</v>
      </c>
      <c r="J63" s="46">
        <v>0.42</v>
      </c>
      <c r="K63" s="46">
        <v>0.44</v>
      </c>
      <c r="L63" s="46">
        <v>0.46</v>
      </c>
      <c r="M63" s="46">
        <v>0.49</v>
      </c>
      <c r="N63" s="50">
        <v>0.51</v>
      </c>
      <c r="O63" s="17"/>
      <c r="P63" s="17"/>
      <c r="R63" s="17"/>
      <c r="S63" s="17"/>
    </row>
    <row r="64" spans="1:27" x14ac:dyDescent="0.15">
      <c r="A64" s="5" t="s">
        <v>3612</v>
      </c>
      <c r="B64" s="4" t="s">
        <v>883</v>
      </c>
      <c r="C64" s="5" t="s">
        <v>97</v>
      </c>
      <c r="D64" s="5" t="s">
        <v>3640</v>
      </c>
      <c r="E64" s="5" t="s">
        <v>45</v>
      </c>
      <c r="F64" s="5"/>
      <c r="G64" s="5"/>
      <c r="H64" s="55">
        <f>alu_prod!$F48*(1-calculs_scenarios!H$63)</f>
        <v>1.9886510991005944E-2</v>
      </c>
      <c r="I64" s="55">
        <f>alu_prod!$F48*(1-calculs_scenarios!I$63)</f>
        <v>1.8914805169597076E-2</v>
      </c>
      <c r="J64" s="55">
        <f>alu_prod!$F48*(1-calculs_scenarios!J$63)</f>
        <v>1.7984568849780828E-2</v>
      </c>
      <c r="K64" s="55">
        <f>alu_prod!$F48*(1-calculs_scenarios!K$63)</f>
        <v>1.7364411303236661E-2</v>
      </c>
      <c r="L64" s="55">
        <f>alu_prod!$F48*(1-calculs_scenarios!L$63)</f>
        <v>1.6744253756692494E-2</v>
      </c>
      <c r="M64" s="55">
        <f>alu_prod!$F48*(1-calculs_scenarios!M$63)</f>
        <v>1.5814017436876243E-2</v>
      </c>
      <c r="N64" s="55">
        <f>alu_prod!$F48*(1-calculs_scenarios!N$63)</f>
        <v>1.5193859890332076E-2</v>
      </c>
      <c r="O64" s="55"/>
      <c r="P64" s="55"/>
      <c r="R64" s="55"/>
      <c r="S64" s="55"/>
      <c r="U64" s="55"/>
      <c r="V64" s="55"/>
      <c r="X64" s="55"/>
      <c r="Y64" s="55"/>
    </row>
    <row r="65" spans="1:38" x14ac:dyDescent="0.15">
      <c r="A65" s="5" t="s">
        <v>3612</v>
      </c>
      <c r="B65" s="4" t="s">
        <v>884</v>
      </c>
      <c r="C65" s="5" t="s">
        <v>97</v>
      </c>
      <c r="D65" s="5" t="s">
        <v>3640</v>
      </c>
      <c r="E65" s="5" t="s">
        <v>45</v>
      </c>
      <c r="F65" s="5"/>
      <c r="G65" s="5"/>
      <c r="H65" s="55">
        <f>alu_prod!$F49*(1-calculs_scenarios!H$63)</f>
        <v>0.41141321825368016</v>
      </c>
      <c r="I65" s="55">
        <f>alu_prod!$F49*(1-calculs_scenarios!I$63)</f>
        <v>0.39131051550393869</v>
      </c>
      <c r="J65" s="55">
        <f>alu_prod!$F49*(1-calculs_scenarios!J$63)</f>
        <v>0.37206573605292537</v>
      </c>
      <c r="K65" s="55">
        <f>alu_prod!$F49*(1-calculs_scenarios!K$63)</f>
        <v>0.35923588308558307</v>
      </c>
      <c r="L65" s="55">
        <f>alu_prod!$F49*(1-calculs_scenarios!L$63)</f>
        <v>0.34640603011824084</v>
      </c>
      <c r="M65" s="55">
        <f>alu_prod!$F49*(1-calculs_scenarios!M$63)</f>
        <v>0.32716125066722745</v>
      </c>
      <c r="N65" s="55">
        <f>alu_prod!$F49*(1-calculs_scenarios!N$63)</f>
        <v>0.31433139769988516</v>
      </c>
      <c r="O65" s="55"/>
      <c r="P65" s="55"/>
      <c r="R65" s="55"/>
      <c r="S65" s="55"/>
      <c r="U65" s="55"/>
      <c r="V65" s="55"/>
      <c r="X65" s="55"/>
      <c r="Y65" s="55"/>
    </row>
    <row r="66" spans="1:38" x14ac:dyDescent="0.15">
      <c r="A66" s="5" t="s">
        <v>3612</v>
      </c>
      <c r="B66" s="4" t="s">
        <v>885</v>
      </c>
      <c r="C66" s="5" t="s">
        <v>97</v>
      </c>
      <c r="D66" s="5" t="s">
        <v>3640</v>
      </c>
      <c r="E66" s="5" t="s">
        <v>45</v>
      </c>
      <c r="F66" s="5"/>
      <c r="G66" s="5"/>
      <c r="H66" s="55">
        <f>alu_prod!$F50*(1-calculs_scenarios!H$63)</f>
        <v>3.8569665031069435E-2</v>
      </c>
      <c r="I66" s="55">
        <f>alu_prod!$F50*(1-calculs_scenarios!I$63)</f>
        <v>3.6685052488556039E-2</v>
      </c>
      <c r="J66" s="55">
        <f>alu_prod!$F50*(1-calculs_scenarios!J$63)</f>
        <v>3.4880869579282797E-2</v>
      </c>
      <c r="K66" s="55">
        <f>alu_prod!$F50*(1-calculs_scenarios!K$63)</f>
        <v>3.3678080973100627E-2</v>
      </c>
      <c r="L66" s="55">
        <f>alu_prod!$F50*(1-calculs_scenarios!L$63)</f>
        <v>3.2475292366918464E-2</v>
      </c>
      <c r="M66" s="55">
        <f>alu_prod!$F50*(1-calculs_scenarios!M$63)</f>
        <v>3.0671109457645212E-2</v>
      </c>
      <c r="N66" s="55">
        <f>alu_prod!$F50*(1-calculs_scenarios!N$63)</f>
        <v>2.9468320851463049E-2</v>
      </c>
      <c r="O66" s="55"/>
      <c r="P66" s="55"/>
      <c r="R66" s="55"/>
      <c r="S66" s="55"/>
      <c r="U66" s="55"/>
      <c r="V66" s="55"/>
      <c r="X66" s="55"/>
      <c r="Y66" s="55"/>
    </row>
    <row r="67" spans="1:38" x14ac:dyDescent="0.15">
      <c r="A67" s="5" t="s">
        <v>3612</v>
      </c>
      <c r="B67" s="4" t="s">
        <v>3628</v>
      </c>
      <c r="C67" s="5" t="s">
        <v>97</v>
      </c>
      <c r="D67" s="5" t="s">
        <v>3640</v>
      </c>
      <c r="E67" s="5" t="s">
        <v>45</v>
      </c>
      <c r="F67" s="5"/>
      <c r="G67" s="5"/>
      <c r="H67" s="55">
        <f>alu_prod!$F51*(1-calculs_scenarios!H$63)</f>
        <v>0</v>
      </c>
      <c r="I67" s="55">
        <f>alu_prod!$F51*(1-calculs_scenarios!I$63)</f>
        <v>0</v>
      </c>
      <c r="J67" s="55">
        <f>alu_prod!$F51*(1-calculs_scenarios!J$63)</f>
        <v>0</v>
      </c>
      <c r="K67" s="55">
        <f>alu_prod!$F51*(1-calculs_scenarios!K$63)</f>
        <v>0</v>
      </c>
      <c r="L67" s="55">
        <f>alu_prod!$F51*(1-calculs_scenarios!L$63)</f>
        <v>0</v>
      </c>
      <c r="M67" s="55">
        <f>alu_prod!$F51*(1-calculs_scenarios!M$63)</f>
        <v>0</v>
      </c>
      <c r="N67" s="55">
        <f>alu_prod!$F51*(1-calculs_scenarios!N$63)</f>
        <v>0</v>
      </c>
      <c r="O67" s="55"/>
      <c r="P67" s="55"/>
      <c r="R67" s="55"/>
      <c r="S67" s="55"/>
      <c r="U67" s="55"/>
      <c r="V67" s="55"/>
      <c r="X67" s="55"/>
      <c r="Y67" s="55"/>
      <c r="AC67" s="17"/>
    </row>
    <row r="68" spans="1:38" x14ac:dyDescent="0.15">
      <c r="A68" s="5" t="s">
        <v>3612</v>
      </c>
      <c r="B68" s="4" t="s">
        <v>892</v>
      </c>
      <c r="C68" s="5" t="s">
        <v>97</v>
      </c>
      <c r="D68" s="5" t="s">
        <v>3640</v>
      </c>
      <c r="E68" s="5" t="s">
        <v>45</v>
      </c>
      <c r="F68" s="5"/>
      <c r="G68" s="5"/>
      <c r="H68" s="55">
        <f>alu_prod!$F52*(1-calculs_scenarios!H$63)</f>
        <v>1.2292913679886304E-2</v>
      </c>
      <c r="I68" s="55">
        <f>alu_prod!$F52*(1-calculs_scenarios!I$63)</f>
        <v>1.1692250456949679E-2</v>
      </c>
      <c r="J68" s="55">
        <f>alu_prod!$F52*(1-calculs_scenarios!J$63)</f>
        <v>1.1117221745952156E-2</v>
      </c>
      <c r="K68" s="55">
        <f>alu_prod!$F52*(1-calculs_scenarios!K$63)</f>
        <v>1.0733869271953805E-2</v>
      </c>
      <c r="L68" s="55">
        <f>alu_prod!$F52*(1-calculs_scenarios!L$63)</f>
        <v>1.0350516797955454E-2</v>
      </c>
      <c r="M68" s="55">
        <f>alu_prod!$F52*(1-calculs_scenarios!M$63)</f>
        <v>9.7754880869579293E-3</v>
      </c>
      <c r="N68" s="55">
        <f>alu_prod!$F52*(1-calculs_scenarios!N$63)</f>
        <v>9.3921356129595783E-3</v>
      </c>
      <c r="O68" s="55"/>
      <c r="P68" s="55"/>
      <c r="R68" s="55"/>
      <c r="S68" s="55"/>
      <c r="U68" s="55"/>
      <c r="V68" s="55"/>
      <c r="X68" s="55"/>
      <c r="Y68" s="55"/>
    </row>
    <row r="69" spans="1:38" x14ac:dyDescent="0.15">
      <c r="A69" s="5" t="s">
        <v>3612</v>
      </c>
      <c r="B69" s="4" t="s">
        <v>887</v>
      </c>
      <c r="C69" s="5" t="s">
        <v>97</v>
      </c>
      <c r="D69" s="5" t="s">
        <v>3640</v>
      </c>
      <c r="E69" s="5" t="s">
        <v>45</v>
      </c>
      <c r="F69" s="5"/>
      <c r="G69" s="5"/>
      <c r="H69" s="55">
        <f>alu_prod!$F53*(1-calculs_scenarios!H$63)</f>
        <v>6.6215753602290525E-2</v>
      </c>
      <c r="I69" s="55">
        <f>alu_prod!$F53*(1-calculs_scenarios!I$63)</f>
        <v>6.2980282419164382E-2</v>
      </c>
      <c r="J69" s="55">
        <f>alu_prod!$F53*(1-calculs_scenarios!J$63)</f>
        <v>5.9882891480516967E-2</v>
      </c>
      <c r="K69" s="55">
        <f>alu_prod!$F53*(1-calculs_scenarios!K$63)</f>
        <v>5.7817964188085345E-2</v>
      </c>
      <c r="L69" s="55">
        <f>alu_prod!$F53*(1-calculs_scenarios!L$63)</f>
        <v>5.5753036895653724E-2</v>
      </c>
      <c r="M69" s="55">
        <f>alu_prod!$F53*(1-calculs_scenarios!M$63)</f>
        <v>5.2655645957006288E-2</v>
      </c>
      <c r="N69" s="55">
        <f>alu_prod!$F53*(1-calculs_scenarios!N$63)</f>
        <v>5.0590718664574673E-2</v>
      </c>
      <c r="O69" s="55"/>
      <c r="P69" s="55"/>
      <c r="R69" s="55"/>
      <c r="S69" s="55"/>
      <c r="U69" s="55"/>
      <c r="V69" s="55"/>
      <c r="X69" s="55"/>
      <c r="Y69" s="55"/>
    </row>
    <row r="70" spans="1:38" x14ac:dyDescent="0.15">
      <c r="A70" s="5" t="s">
        <v>3612</v>
      </c>
      <c r="B70" s="4" t="s">
        <v>889</v>
      </c>
      <c r="C70" s="5" t="s">
        <v>97</v>
      </c>
      <c r="D70" s="5" t="s">
        <v>3640</v>
      </c>
      <c r="E70" s="5" t="s">
        <v>45</v>
      </c>
      <c r="F70" s="5"/>
      <c r="G70" s="5"/>
      <c r="H70" s="55">
        <f>alu_prod!$F54*(1-calculs_scenarios!H$63)</f>
        <v>5.194145046007656E-2</v>
      </c>
      <c r="I70" s="55">
        <f>alu_prod!$F54*(1-calculs_scenarios!I$63)</f>
        <v>4.9403458259870921E-2</v>
      </c>
      <c r="J70" s="55">
        <f>alu_prod!$F54*(1-calculs_scenarios!J$63)</f>
        <v>4.6973779984795308E-2</v>
      </c>
      <c r="K70" s="55">
        <f>alu_prod!$F54*(1-calculs_scenarios!K$63)</f>
        <v>4.5353994468078224E-2</v>
      </c>
      <c r="L70" s="55">
        <f>alu_prod!$F54*(1-calculs_scenarios!L$63)</f>
        <v>4.3734208951361146E-2</v>
      </c>
      <c r="M70" s="55">
        <f>alu_prod!$F54*(1-calculs_scenarios!M$63)</f>
        <v>4.1304530676285527E-2</v>
      </c>
      <c r="N70" s="55">
        <f>alu_prod!$F54*(1-calculs_scenarios!N$63)</f>
        <v>3.9684745159568442E-2</v>
      </c>
      <c r="O70" s="55"/>
      <c r="P70" s="55"/>
      <c r="R70" s="55"/>
      <c r="S70" s="55"/>
      <c r="U70" s="55"/>
      <c r="V70" s="55"/>
      <c r="X70" s="55"/>
      <c r="Y70" s="55"/>
    </row>
    <row r="71" spans="1:38" x14ac:dyDescent="0.15">
      <c r="A71" s="5" t="s">
        <v>3612</v>
      </c>
      <c r="B71" s="4" t="s">
        <v>437</v>
      </c>
      <c r="C71" s="5" t="s">
        <v>97</v>
      </c>
      <c r="D71" s="5" t="s">
        <v>3640</v>
      </c>
      <c r="E71" s="5" t="s">
        <v>45</v>
      </c>
      <c r="F71" s="5"/>
      <c r="G71" s="5"/>
      <c r="H71" s="55">
        <f>alu_prod!$F55*(1-calculs_scenarios!H$63)</f>
        <v>4.1017874000228223E-2</v>
      </c>
      <c r="I71" s="55">
        <f>alu_prod!$F55*(1-calculs_scenarios!I$63)</f>
        <v>3.9013635701923226E-2</v>
      </c>
      <c r="J71" s="55">
        <f>alu_prod!$F55*(1-calculs_scenarios!J$63)</f>
        <v>3.7094932306746681E-2</v>
      </c>
      <c r="K71" s="55">
        <f>alu_prod!$F55*(1-calculs_scenarios!K$63)</f>
        <v>3.5815796709962315E-2</v>
      </c>
      <c r="L71" s="55">
        <f>alu_prod!$F55*(1-calculs_scenarios!L$63)</f>
        <v>3.4536661113177942E-2</v>
      </c>
      <c r="M71" s="55">
        <f>alu_prod!$F55*(1-calculs_scenarios!M$63)</f>
        <v>3.261795771800139E-2</v>
      </c>
      <c r="N71" s="55">
        <f>alu_prod!$F55*(1-calculs_scenarios!N$63)</f>
        <v>3.1338822121217018E-2</v>
      </c>
      <c r="O71" s="55"/>
      <c r="P71" s="55"/>
      <c r="R71" s="55"/>
      <c r="S71" s="55"/>
      <c r="U71" s="55"/>
      <c r="V71" s="55"/>
      <c r="X71" s="55"/>
      <c r="Y71" s="55"/>
    </row>
    <row r="72" spans="1:38" x14ac:dyDescent="0.15">
      <c r="A72" s="5" t="s">
        <v>3612</v>
      </c>
      <c r="B72" s="4" t="s">
        <v>883</v>
      </c>
      <c r="C72" s="5" t="s">
        <v>97</v>
      </c>
      <c r="D72" s="5" t="s">
        <v>3641</v>
      </c>
      <c r="E72" s="5" t="s">
        <v>45</v>
      </c>
      <c r="F72" s="5"/>
      <c r="G72" s="5"/>
      <c r="H72" s="17">
        <f>calculs_scenarios!H$63*alu_prod!H48</f>
        <v>2.3154247538823821E-4</v>
      </c>
      <c r="I72" s="17">
        <f>alu_prod!$G48*(I$63-SUM($H$80:$H$87))</f>
        <v>2.0051140756125927E-4</v>
      </c>
      <c r="J72" s="17">
        <f>alu_prod!$G48*(J$63-SUM($H$80:$H$87))</f>
        <v>2.2741023326843806E-4</v>
      </c>
      <c r="K72" s="17">
        <f>alu_prod!$G48*(K$63-SUM($H$80:$H$87))</f>
        <v>2.453427837398906E-4</v>
      </c>
      <c r="L72" s="17">
        <f>alu_prod!$G48*(L$63-SUM($H$80:$H$87))</f>
        <v>2.6327533421134316E-4</v>
      </c>
      <c r="M72" s="17">
        <f>alu_prod!$G48*(M$63-SUM($H$80:$H$87))</f>
        <v>2.9017415991852192E-4</v>
      </c>
      <c r="N72" s="17">
        <f>alu_prod!$G48*(N$63-SUM($H$80:$H$87))</f>
        <v>3.0810671038997449E-4</v>
      </c>
      <c r="O72" s="17"/>
      <c r="P72" s="17"/>
      <c r="R72" s="17"/>
      <c r="S72" s="17"/>
      <c r="U72" s="17"/>
      <c r="V72" s="17"/>
      <c r="X72" s="17"/>
      <c r="Y72" s="17"/>
    </row>
    <row r="73" spans="1:38" x14ac:dyDescent="0.15">
      <c r="A73" s="5" t="s">
        <v>3612</v>
      </c>
      <c r="B73" s="4" t="s">
        <v>884</v>
      </c>
      <c r="C73" s="5" t="s">
        <v>97</v>
      </c>
      <c r="D73" s="5" t="s">
        <v>3641</v>
      </c>
      <c r="E73" s="5" t="s">
        <v>45</v>
      </c>
      <c r="F73" s="5"/>
      <c r="G73" s="5"/>
      <c r="H73" s="17">
        <f>calculs_scenarios!H$63*alu_prod!H49</f>
        <v>5.6113053310787676E-2</v>
      </c>
      <c r="I73" s="17">
        <f>alu_prod!$G49*(I$63-SUM($H$80:$H$87))</f>
        <v>8.5333774192119155E-2</v>
      </c>
      <c r="J73" s="17">
        <f>alu_prod!$G49*(J$63-SUM($H$80:$H$87))</f>
        <v>9.6781393790661391E-2</v>
      </c>
      <c r="K73" s="17">
        <f>alu_prod!$G49*(K$63-SUM($H$80:$H$87))</f>
        <v>0.10441314018968957</v>
      </c>
      <c r="L73" s="17">
        <f>alu_prod!$G49*(L$63-SUM($H$80:$H$87))</f>
        <v>0.11204488658871775</v>
      </c>
      <c r="M73" s="17">
        <f>alu_prod!$G49*(M$63-SUM($H$80:$H$87))</f>
        <v>0.12349250618726</v>
      </c>
      <c r="N73" s="17">
        <f>alu_prod!$G49*(N$63-SUM($H$80:$H$87))</f>
        <v>0.13112425258628818</v>
      </c>
      <c r="O73" s="17"/>
      <c r="P73" s="17"/>
      <c r="R73" s="17"/>
      <c r="S73" s="17"/>
      <c r="U73" s="17"/>
      <c r="V73" s="17"/>
      <c r="X73" s="17"/>
      <c r="Y73" s="17"/>
    </row>
    <row r="74" spans="1:38" x14ac:dyDescent="0.15">
      <c r="A74" s="5" t="s">
        <v>3612</v>
      </c>
      <c r="B74" s="4" t="s">
        <v>885</v>
      </c>
      <c r="C74" s="5" t="s">
        <v>97</v>
      </c>
      <c r="D74" s="5" t="s">
        <v>3641</v>
      </c>
      <c r="E74" s="5" t="s">
        <v>45</v>
      </c>
      <c r="F74" s="5"/>
      <c r="G74" s="5"/>
      <c r="H74" s="17">
        <f>calculs_scenarios!H$63*alu_prod!H50</f>
        <v>4.1043393466601658E-2</v>
      </c>
      <c r="I74" s="17">
        <f>alu_prod!$G50*(I$63-SUM($H$80:$H$87))</f>
        <v>3.7088142288911635E-2</v>
      </c>
      <c r="J74" s="17">
        <f>alu_prod!$G50*(J$63-SUM($H$80:$H$87))</f>
        <v>4.2063557340684642E-2</v>
      </c>
      <c r="K74" s="17">
        <f>alu_prod!$G50*(K$63-SUM($H$80:$H$87))</f>
        <v>4.5380500708533313E-2</v>
      </c>
      <c r="L74" s="17">
        <f>alu_prod!$G50*(L$63-SUM($H$80:$H$87))</f>
        <v>4.869744407638199E-2</v>
      </c>
      <c r="M74" s="17">
        <f>alu_prod!$G50*(M$63-SUM($H$80:$H$87))</f>
        <v>5.3672859128154997E-2</v>
      </c>
      <c r="N74" s="17">
        <f>alu_prod!$G50*(N$63-SUM($H$80:$H$87))</f>
        <v>5.6989802496003668E-2</v>
      </c>
      <c r="O74" s="17"/>
      <c r="P74" s="17"/>
      <c r="R74" s="17"/>
      <c r="S74" s="17"/>
      <c r="U74" s="17"/>
      <c r="V74" s="17"/>
      <c r="X74" s="17"/>
      <c r="Y74" s="17"/>
    </row>
    <row r="75" spans="1:38" x14ac:dyDescent="0.15">
      <c r="A75" s="5" t="s">
        <v>3612</v>
      </c>
      <c r="B75" s="4" t="s">
        <v>3628</v>
      </c>
      <c r="C75" s="5" t="s">
        <v>97</v>
      </c>
      <c r="D75" s="5" t="s">
        <v>3641</v>
      </c>
      <c r="E75" s="5" t="s">
        <v>45</v>
      </c>
      <c r="F75" s="5"/>
      <c r="G75" s="5"/>
      <c r="H75" s="17">
        <f>calculs_scenarios!H$63*alu_prod!H51</f>
        <v>8.7058725893959348E-3</v>
      </c>
      <c r="I75" s="17">
        <f>alu_prod!$G51*(I$63-SUM($H$80:$H$87))</f>
        <v>7.6453059270131752E-3</v>
      </c>
      <c r="J75" s="17">
        <f>alu_prod!$G51*(J$63-SUM($H$80:$H$87))</f>
        <v>8.6709321201062506E-3</v>
      </c>
      <c r="K75" s="17">
        <f>alu_prod!$G51*(K$63-SUM($H$80:$H$87))</f>
        <v>9.3546829155016342E-3</v>
      </c>
      <c r="L75" s="17">
        <f>alu_prod!$G51*(L$63-SUM($H$80:$H$87))</f>
        <v>1.0038433710897019E-2</v>
      </c>
      <c r="M75" s="17">
        <f>alu_prod!$G51*(M$63-SUM($H$80:$H$87))</f>
        <v>1.1064059903990094E-2</v>
      </c>
      <c r="N75" s="17">
        <f>alu_prod!$G51*(N$63-SUM($H$80:$H$87))</f>
        <v>1.1747810699385478E-2</v>
      </c>
      <c r="O75" s="17"/>
      <c r="P75" s="17"/>
      <c r="R75" s="17"/>
      <c r="S75" s="17"/>
      <c r="U75" s="17"/>
      <c r="V75" s="17"/>
      <c r="X75" s="17"/>
      <c r="Y75" s="17"/>
      <c r="AL75" s="27"/>
    </row>
    <row r="76" spans="1:38" x14ac:dyDescent="0.15">
      <c r="A76" s="5" t="s">
        <v>3612</v>
      </c>
      <c r="B76" s="4" t="s">
        <v>892</v>
      </c>
      <c r="C76" s="5" t="s">
        <v>97</v>
      </c>
      <c r="D76" s="5" t="s">
        <v>3641</v>
      </c>
      <c r="E76" s="5" t="s">
        <v>45</v>
      </c>
      <c r="F76" s="5"/>
      <c r="G76" s="5"/>
      <c r="H76" s="17">
        <f>calculs_scenarios!H$63*alu_prod!H52</f>
        <v>1.466186707055199E-2</v>
      </c>
      <c r="I76" s="17">
        <f>alu_prod!$G52*(I$63-SUM($H$80:$H$87))</f>
        <v>1.1720215177451671E-2</v>
      </c>
      <c r="J76" s="17">
        <f>alu_prod!$G52*(J$63-SUM($H$80:$H$87))</f>
        <v>1.3292494925239024E-2</v>
      </c>
      <c r="K76" s="17">
        <f>alu_prod!$G52*(K$63-SUM($H$80:$H$87))</f>
        <v>1.4340681423763928E-2</v>
      </c>
      <c r="L76" s="17">
        <f>alu_prod!$G52*(L$63-SUM($H$80:$H$87))</f>
        <v>1.5388867922288833E-2</v>
      </c>
      <c r="M76" s="17">
        <f>alu_prod!$G52*(M$63-SUM($H$80:$H$87))</f>
        <v>1.6961147670076185E-2</v>
      </c>
      <c r="N76" s="17">
        <f>alu_prod!$G52*(N$63-SUM($H$80:$H$87))</f>
        <v>1.800933416860109E-2</v>
      </c>
      <c r="O76" s="17"/>
      <c r="P76" s="17"/>
      <c r="R76" s="17"/>
      <c r="S76" s="17"/>
      <c r="U76" s="17"/>
      <c r="V76" s="17"/>
      <c r="X76" s="17"/>
      <c r="Y76" s="17"/>
    </row>
    <row r="77" spans="1:38" x14ac:dyDescent="0.15">
      <c r="A77" s="5" t="s">
        <v>3612</v>
      </c>
      <c r="B77" s="4" t="s">
        <v>887</v>
      </c>
      <c r="C77" s="5" t="s">
        <v>97</v>
      </c>
      <c r="D77" s="5" t="s">
        <v>3641</v>
      </c>
      <c r="E77" s="5" t="s">
        <v>45</v>
      </c>
      <c r="F77" s="5"/>
      <c r="G77" s="5"/>
      <c r="H77" s="17">
        <f>calculs_scenarios!H$63*alu_prod!H53</f>
        <v>4.6631119225702044E-3</v>
      </c>
      <c r="I77" s="17">
        <f>alu_prod!$G53*(I$63-SUM($H$80:$H$87))</f>
        <v>3.680354545237307E-3</v>
      </c>
      <c r="J77" s="17">
        <f>alu_prod!$G53*(J$63-SUM($H$80:$H$87))</f>
        <v>4.174078152572298E-3</v>
      </c>
      <c r="K77" s="17">
        <f>alu_prod!$G53*(K$63-SUM($H$80:$H$87))</f>
        <v>4.5032272241289596E-3</v>
      </c>
      <c r="L77" s="17">
        <f>alu_prod!$G53*(L$63-SUM($H$80:$H$87))</f>
        <v>4.8323762956856203E-3</v>
      </c>
      <c r="M77" s="17">
        <f>alu_prod!$G53*(M$63-SUM($H$80:$H$87))</f>
        <v>5.3260999030206113E-3</v>
      </c>
      <c r="N77" s="17">
        <f>alu_prod!$G53*(N$63-SUM($H$80:$H$87))</f>
        <v>5.6552489745772729E-3</v>
      </c>
      <c r="O77" s="17"/>
      <c r="P77" s="17"/>
      <c r="R77" s="17"/>
      <c r="S77" s="17"/>
      <c r="U77" s="17"/>
      <c r="V77" s="17"/>
      <c r="X77" s="17"/>
      <c r="Y77" s="17"/>
    </row>
    <row r="78" spans="1:38" x14ac:dyDescent="0.15">
      <c r="A78" s="5" t="s">
        <v>3612</v>
      </c>
      <c r="B78" s="4" t="s">
        <v>889</v>
      </c>
      <c r="C78" s="5" t="s">
        <v>97</v>
      </c>
      <c r="D78" s="5" t="s">
        <v>3641</v>
      </c>
      <c r="E78" s="5" t="s">
        <v>45</v>
      </c>
      <c r="F78" s="5"/>
      <c r="G78" s="5"/>
      <c r="H78" s="17">
        <f>calculs_scenarios!H$63*alu_prod!H54</f>
        <v>2.5981928898202229E-2</v>
      </c>
      <c r="I78" s="17">
        <f>alu_prod!$G54*(I$63-SUM($H$80:$H$87))</f>
        <v>4.1538201914787326E-2</v>
      </c>
      <c r="J78" s="17">
        <f>alu_prod!$G54*(J$63-SUM($H$80:$H$87))</f>
        <v>4.7110597356448687E-2</v>
      </c>
      <c r="K78" s="17">
        <f>alu_prod!$G54*(K$63-SUM($H$80:$H$87))</f>
        <v>5.0825527650889595E-2</v>
      </c>
      <c r="L78" s="17">
        <f>alu_prod!$G54*(L$63-SUM($H$80:$H$87))</f>
        <v>5.4540457945330509E-2</v>
      </c>
      <c r="M78" s="17">
        <f>alu_prod!$G54*(M$63-SUM($H$80:$H$87))</f>
        <v>6.011285338699187E-2</v>
      </c>
      <c r="N78" s="17">
        <f>alu_prod!$G54*(N$63-SUM($H$80:$H$87))</f>
        <v>6.3827783681432784E-2</v>
      </c>
      <c r="O78" s="17"/>
      <c r="P78" s="17"/>
      <c r="R78" s="17"/>
      <c r="S78" s="17"/>
      <c r="U78" s="17"/>
      <c r="V78" s="17"/>
      <c r="X78" s="17"/>
      <c r="Y78" s="17"/>
    </row>
    <row r="79" spans="1:38" x14ac:dyDescent="0.15">
      <c r="A79" s="5" t="s">
        <v>3612</v>
      </c>
      <c r="B79" s="4" t="s">
        <v>437</v>
      </c>
      <c r="C79" s="5" t="s">
        <v>97</v>
      </c>
      <c r="D79" s="5" t="s">
        <v>3641</v>
      </c>
      <c r="E79" s="5" t="s">
        <v>45</v>
      </c>
      <c r="F79" s="5"/>
      <c r="G79" s="5"/>
      <c r="H79" s="17">
        <f>calculs_scenarios!H$63*alu_prod!H55</f>
        <v>4.0890276668361043E-2</v>
      </c>
      <c r="I79" s="17">
        <f>alu_prod!$G55*(I$63-SUM($H$80:$H$87))</f>
        <v>3.6421926967014545E-2</v>
      </c>
      <c r="J79" s="17">
        <f>alu_prod!$G55*(J$63-SUM($H$80:$H$87))</f>
        <v>4.1307968501115309E-2</v>
      </c>
      <c r="K79" s="17">
        <f>alu_prod!$G55*(K$63-SUM($H$80:$H$87))</f>
        <v>4.4565329523849159E-2</v>
      </c>
      <c r="L79" s="17">
        <f>alu_prod!$G55*(L$63-SUM($H$80:$H$87))</f>
        <v>4.7822690546583009E-2</v>
      </c>
      <c r="M79" s="17">
        <f>alu_prod!$G55*(M$63-SUM($H$80:$H$87))</f>
        <v>5.2708732080683773E-2</v>
      </c>
      <c r="N79" s="17">
        <f>alu_prod!$G55*(N$63-SUM($H$80:$H$87))</f>
        <v>5.5966093103417623E-2</v>
      </c>
      <c r="O79" s="17"/>
      <c r="P79" s="17"/>
      <c r="R79" s="17"/>
      <c r="S79" s="17"/>
      <c r="U79" s="17"/>
      <c r="V79" s="17"/>
      <c r="X79" s="17"/>
      <c r="Y79" s="17"/>
    </row>
    <row r="80" spans="1:38" x14ac:dyDescent="0.15">
      <c r="A80" s="5" t="s">
        <v>3612</v>
      </c>
      <c r="B80" s="4" t="s">
        <v>883</v>
      </c>
      <c r="C80" s="5" t="s">
        <v>97</v>
      </c>
      <c r="D80" s="5" t="s">
        <v>3642</v>
      </c>
      <c r="E80" s="5" t="s">
        <v>45</v>
      </c>
      <c r="F80" s="5"/>
      <c r="G80" s="5"/>
      <c r="H80" s="55">
        <f>calculs_scenarios!$H$63*alu_prod!$I48</f>
        <v>9.0044295984314878E-5</v>
      </c>
      <c r="I80" s="55">
        <f>calculs_scenarios!$H$63*alu_prod!$I48</f>
        <v>9.0044295984314878E-5</v>
      </c>
      <c r="J80" s="55">
        <f>calculs_scenarios!$H$63*alu_prod!$I48</f>
        <v>9.0044295984314878E-5</v>
      </c>
      <c r="K80" s="55">
        <f>calculs_scenarios!$H$63*alu_prod!$I48</f>
        <v>9.0044295984314878E-5</v>
      </c>
      <c r="L80" s="55">
        <f>calculs_scenarios!$H$63*alu_prod!$I48</f>
        <v>9.0044295984314878E-5</v>
      </c>
      <c r="M80" s="55">
        <f>calculs_scenarios!$H$63*alu_prod!$I48</f>
        <v>9.0044295984314878E-5</v>
      </c>
      <c r="N80" s="55">
        <f>calculs_scenarios!$H$63*alu_prod!$I48</f>
        <v>9.0044295984314878E-5</v>
      </c>
      <c r="O80" s="55"/>
      <c r="P80" s="55"/>
      <c r="R80" s="55"/>
      <c r="S80" s="55"/>
      <c r="U80" s="55"/>
      <c r="V80" s="55"/>
      <c r="X80" s="55"/>
      <c r="Y80" s="55"/>
    </row>
    <row r="81" spans="1:35" x14ac:dyDescent="0.15">
      <c r="A81" s="5" t="s">
        <v>3612</v>
      </c>
      <c r="B81" s="4" t="s">
        <v>884</v>
      </c>
      <c r="C81" s="5" t="s">
        <v>97</v>
      </c>
      <c r="D81" s="5" t="s">
        <v>3642</v>
      </c>
      <c r="E81" s="5" t="s">
        <v>45</v>
      </c>
      <c r="F81" s="5"/>
      <c r="G81" s="5"/>
      <c r="H81" s="55">
        <f>calculs_scenarios!$H$63*alu_prod!$I49</f>
        <v>8.0748052325279845E-2</v>
      </c>
      <c r="I81" s="55">
        <f>calculs_scenarios!$H$63*alu_prod!$I49</f>
        <v>8.0748052325279845E-2</v>
      </c>
      <c r="J81" s="55">
        <f>calculs_scenarios!$H$63*alu_prod!$I49</f>
        <v>8.0748052325279845E-2</v>
      </c>
      <c r="K81" s="55">
        <f>calculs_scenarios!$H$63*alu_prod!$I49</f>
        <v>8.0748052325279845E-2</v>
      </c>
      <c r="L81" s="55">
        <f>calculs_scenarios!$H$63*alu_prod!$I49</f>
        <v>8.0748052325279845E-2</v>
      </c>
      <c r="M81" s="55">
        <f>calculs_scenarios!$H$63*alu_prod!$I49</f>
        <v>8.0748052325279845E-2</v>
      </c>
      <c r="N81" s="55">
        <f>calculs_scenarios!$H$63*alu_prod!$I49</f>
        <v>8.0748052325279845E-2</v>
      </c>
      <c r="O81" s="55"/>
      <c r="P81" s="55"/>
      <c r="R81" s="55"/>
      <c r="S81" s="55"/>
      <c r="U81" s="55"/>
      <c r="V81" s="55"/>
      <c r="X81" s="55"/>
      <c r="Y81" s="55"/>
    </row>
    <row r="82" spans="1:35" x14ac:dyDescent="0.15">
      <c r="A82" s="5" t="s">
        <v>3612</v>
      </c>
      <c r="B82" s="4" t="s">
        <v>885</v>
      </c>
      <c r="C82" s="5" t="s">
        <v>97</v>
      </c>
      <c r="D82" s="5" t="s">
        <v>3642</v>
      </c>
      <c r="E82" s="5" t="s">
        <v>45</v>
      </c>
      <c r="F82" s="5"/>
      <c r="G82" s="5"/>
      <c r="H82" s="55">
        <f>calculs_scenarios!$H$63*alu_prod!$I50</f>
        <v>1.8439785470502196E-2</v>
      </c>
      <c r="I82" s="55">
        <f>calculs_scenarios!$H$63*alu_prod!$I50</f>
        <v>1.8439785470502196E-2</v>
      </c>
      <c r="J82" s="55">
        <f>calculs_scenarios!$H$63*alu_prod!$I50</f>
        <v>1.8439785470502196E-2</v>
      </c>
      <c r="K82" s="55">
        <f>calculs_scenarios!$H$63*alu_prod!$I50</f>
        <v>1.8439785470502196E-2</v>
      </c>
      <c r="L82" s="55">
        <f>calculs_scenarios!$H$63*alu_prod!$I50</f>
        <v>1.8439785470502196E-2</v>
      </c>
      <c r="M82" s="55">
        <f>calculs_scenarios!$H$63*alu_prod!$I50</f>
        <v>1.8439785470502196E-2</v>
      </c>
      <c r="N82" s="55">
        <f>calculs_scenarios!$H$63*alu_prod!$I50</f>
        <v>1.8439785470502196E-2</v>
      </c>
      <c r="O82" s="55"/>
      <c r="P82" s="55"/>
      <c r="R82" s="55"/>
      <c r="S82" s="55"/>
      <c r="U82" s="55"/>
      <c r="V82" s="55"/>
      <c r="X82" s="55"/>
      <c r="Y82" s="55"/>
    </row>
    <row r="83" spans="1:35" x14ac:dyDescent="0.15">
      <c r="A83" s="5" t="s">
        <v>3612</v>
      </c>
      <c r="B83" s="4" t="s">
        <v>3628</v>
      </c>
      <c r="C83" s="5" t="s">
        <v>97</v>
      </c>
      <c r="D83" s="5" t="s">
        <v>3642</v>
      </c>
      <c r="E83" s="5" t="s">
        <v>45</v>
      </c>
      <c r="F83" s="5"/>
      <c r="G83" s="5"/>
      <c r="H83" s="55">
        <f>calculs_scenarios!$H$63*alu_prod!$I51</f>
        <v>3.5559197900349596E-3</v>
      </c>
      <c r="I83" s="55">
        <f>calculs_scenarios!$H$63*alu_prod!$I51</f>
        <v>3.5559197900349596E-3</v>
      </c>
      <c r="J83" s="55">
        <f>calculs_scenarios!$H$63*alu_prod!$I51</f>
        <v>3.5559197900349596E-3</v>
      </c>
      <c r="K83" s="55">
        <f>calculs_scenarios!$H$63*alu_prod!$I51</f>
        <v>3.5559197900349596E-3</v>
      </c>
      <c r="L83" s="55">
        <f>calculs_scenarios!$H$63*alu_prod!$I51</f>
        <v>3.5559197900349596E-3</v>
      </c>
      <c r="M83" s="55">
        <f>calculs_scenarios!$H$63*alu_prod!$I51</f>
        <v>3.5559197900349596E-3</v>
      </c>
      <c r="N83" s="55">
        <f>calculs_scenarios!$H$63*alu_prod!$I51</f>
        <v>3.5559197900349596E-3</v>
      </c>
      <c r="O83" s="55"/>
      <c r="P83" s="55"/>
      <c r="R83" s="55"/>
      <c r="S83" s="55"/>
      <c r="U83" s="55"/>
      <c r="V83" s="55"/>
      <c r="X83" s="55"/>
      <c r="Y83" s="55"/>
    </row>
    <row r="84" spans="1:35" x14ac:dyDescent="0.15">
      <c r="A84" s="5" t="s">
        <v>3612</v>
      </c>
      <c r="B84" s="4" t="s">
        <v>892</v>
      </c>
      <c r="C84" s="5" t="s">
        <v>97</v>
      </c>
      <c r="D84" s="5" t="s">
        <v>3642</v>
      </c>
      <c r="E84" s="5" t="s">
        <v>45</v>
      </c>
      <c r="F84" s="5"/>
      <c r="G84" s="5"/>
      <c r="H84" s="55">
        <f>calculs_scenarios!$H$63*alu_prod!$I52</f>
        <v>4.1353984045146633E-3</v>
      </c>
      <c r="I84" s="55">
        <f>calculs_scenarios!$H$63*alu_prod!$I52</f>
        <v>4.1353984045146633E-3</v>
      </c>
      <c r="J84" s="55">
        <f>calculs_scenarios!$H$63*alu_prod!$I52</f>
        <v>4.1353984045146633E-3</v>
      </c>
      <c r="K84" s="55">
        <f>calculs_scenarios!$H$63*alu_prod!$I52</f>
        <v>4.1353984045146633E-3</v>
      </c>
      <c r="L84" s="55">
        <f>calculs_scenarios!$H$63*alu_prod!$I52</f>
        <v>4.1353984045146633E-3</v>
      </c>
      <c r="M84" s="55">
        <f>calculs_scenarios!$H$63*alu_prod!$I52</f>
        <v>4.1353984045146633E-3</v>
      </c>
      <c r="N84" s="55">
        <f>calculs_scenarios!$H$63*alu_prod!$I52</f>
        <v>4.1353984045146633E-3</v>
      </c>
      <c r="O84" s="55"/>
      <c r="P84" s="55"/>
      <c r="R84" s="55"/>
      <c r="S84" s="55"/>
      <c r="U84" s="55"/>
      <c r="V84" s="55"/>
      <c r="X84" s="55"/>
      <c r="Y84" s="55"/>
      <c r="AI84" s="13"/>
    </row>
    <row r="85" spans="1:35" x14ac:dyDescent="0.15">
      <c r="A85" s="5" t="s">
        <v>3612</v>
      </c>
      <c r="B85" s="4" t="s">
        <v>887</v>
      </c>
      <c r="C85" s="5" t="s">
        <v>97</v>
      </c>
      <c r="D85" s="5" t="s">
        <v>3642</v>
      </c>
      <c r="E85" s="5" t="s">
        <v>45</v>
      </c>
      <c r="F85" s="5"/>
      <c r="G85" s="5"/>
      <c r="H85" s="55">
        <f>calculs_scenarios!$H$63*alu_prod!$I53</f>
        <v>1.2395613971389148E-3</v>
      </c>
      <c r="I85" s="55">
        <f>calculs_scenarios!$H$63*alu_prod!$I53</f>
        <v>1.2395613971389148E-3</v>
      </c>
      <c r="J85" s="55">
        <f>calculs_scenarios!$H$63*alu_prod!$I53</f>
        <v>1.2395613971389148E-3</v>
      </c>
      <c r="K85" s="55">
        <f>calculs_scenarios!$H$63*alu_prod!$I53</f>
        <v>1.2395613971389148E-3</v>
      </c>
      <c r="L85" s="55">
        <f>calculs_scenarios!$H$63*alu_prod!$I53</f>
        <v>1.2395613971389148E-3</v>
      </c>
      <c r="M85" s="55">
        <f>calculs_scenarios!$H$63*alu_prod!$I53</f>
        <v>1.2395613971389148E-3</v>
      </c>
      <c r="N85" s="55">
        <f>calculs_scenarios!$H$63*alu_prod!$I53</f>
        <v>1.2395613971389148E-3</v>
      </c>
      <c r="O85" s="55"/>
      <c r="P85" s="55"/>
      <c r="R85" s="55"/>
      <c r="S85" s="55"/>
      <c r="U85" s="55"/>
      <c r="V85" s="55"/>
      <c r="X85" s="55"/>
      <c r="Y85" s="55"/>
      <c r="AI85" s="13"/>
    </row>
    <row r="86" spans="1:35" x14ac:dyDescent="0.15">
      <c r="A86" s="5" t="s">
        <v>3612</v>
      </c>
      <c r="B86" s="4" t="s">
        <v>889</v>
      </c>
      <c r="C86" s="5" t="s">
        <v>97</v>
      </c>
      <c r="D86" s="5" t="s">
        <v>3642</v>
      </c>
      <c r="E86" s="5" t="s">
        <v>45</v>
      </c>
      <c r="F86" s="5"/>
      <c r="G86" s="5"/>
      <c r="H86" s="55">
        <f>calculs_scenarios!$H$63*alu_prod!$I54</f>
        <v>4.0638401610008611E-2</v>
      </c>
      <c r="I86" s="55">
        <f>calculs_scenarios!$H$63*alu_prod!$I54</f>
        <v>4.0638401610008611E-2</v>
      </c>
      <c r="J86" s="55">
        <f>calculs_scenarios!$H$63*alu_prod!$I54</f>
        <v>4.0638401610008611E-2</v>
      </c>
      <c r="K86" s="55">
        <f>calculs_scenarios!$H$63*alu_prod!$I54</f>
        <v>4.0638401610008611E-2</v>
      </c>
      <c r="L86" s="55">
        <f>calculs_scenarios!$H$63*alu_prod!$I54</f>
        <v>4.0638401610008611E-2</v>
      </c>
      <c r="M86" s="55">
        <f>calculs_scenarios!$H$63*alu_prod!$I54</f>
        <v>4.0638401610008611E-2</v>
      </c>
      <c r="N86" s="55">
        <f>calculs_scenarios!$H$63*alu_prod!$I54</f>
        <v>4.0638401610008611E-2</v>
      </c>
      <c r="O86" s="55"/>
      <c r="P86" s="55"/>
      <c r="R86" s="55"/>
      <c r="S86" s="55"/>
      <c r="U86" s="55"/>
      <c r="V86" s="55"/>
      <c r="X86" s="55"/>
      <c r="Y86" s="55"/>
      <c r="AI86" s="13"/>
    </row>
    <row r="87" spans="1:35" x14ac:dyDescent="0.15">
      <c r="A87" s="5" t="s">
        <v>3612</v>
      </c>
      <c r="B87" s="4" t="s">
        <v>437</v>
      </c>
      <c r="C87" s="5" t="s">
        <v>97</v>
      </c>
      <c r="D87" s="5" t="s">
        <v>3642</v>
      </c>
      <c r="E87" s="5" t="s">
        <v>45</v>
      </c>
      <c r="F87" s="5"/>
      <c r="G87" s="5"/>
      <c r="H87" s="55">
        <f>calculs_scenarios!$H$63*alu_prod!$I55</f>
        <v>1.7524404286440452E-2</v>
      </c>
      <c r="I87" s="55">
        <f>calculs_scenarios!$H$63*alu_prod!$I55</f>
        <v>1.7524404286440452E-2</v>
      </c>
      <c r="J87" s="55">
        <f>calculs_scenarios!$H$63*alu_prod!$I55</f>
        <v>1.7524404286440452E-2</v>
      </c>
      <c r="K87" s="55">
        <f>calculs_scenarios!$H$63*alu_prod!$I55</f>
        <v>1.7524404286440452E-2</v>
      </c>
      <c r="L87" s="55">
        <f>calculs_scenarios!$H$63*alu_prod!$I55</f>
        <v>1.7524404286440452E-2</v>
      </c>
      <c r="M87" s="55">
        <f>calculs_scenarios!$H$63*alu_prod!$I55</f>
        <v>1.7524404286440452E-2</v>
      </c>
      <c r="N87" s="55">
        <f>calculs_scenarios!$H$63*alu_prod!$I55</f>
        <v>1.7524404286440452E-2</v>
      </c>
      <c r="O87" s="55"/>
      <c r="P87" s="55"/>
      <c r="R87" s="55"/>
      <c r="S87" s="55"/>
      <c r="U87" s="55"/>
      <c r="V87" s="55"/>
      <c r="X87" s="55"/>
      <c r="Y87" s="55"/>
      <c r="AI87" s="13"/>
    </row>
    <row r="88" spans="1:35" x14ac:dyDescent="0.15">
      <c r="A88" s="5"/>
      <c r="B88" s="4"/>
      <c r="D88" s="5"/>
      <c r="E88" s="5"/>
      <c r="F88" s="5"/>
      <c r="G88" s="5"/>
      <c r="AI88" s="13"/>
    </row>
    <row r="89" spans="1:35" x14ac:dyDescent="0.15">
      <c r="A89" s="5"/>
      <c r="B89" s="4"/>
      <c r="D89" s="5"/>
      <c r="E89" s="5"/>
      <c r="F89" s="5"/>
      <c r="G89" s="5"/>
      <c r="H89" s="17"/>
      <c r="I89" s="17"/>
      <c r="J89" s="17"/>
      <c r="K89" s="17"/>
      <c r="L89" s="17"/>
      <c r="M89" s="17"/>
      <c r="N89" s="17"/>
      <c r="O89" s="17"/>
      <c r="P89" s="17"/>
      <c r="Q89" s="17"/>
      <c r="R89" s="17"/>
      <c r="S89" s="17"/>
      <c r="T89" s="17"/>
      <c r="U89" s="17"/>
      <c r="V89" s="17"/>
      <c r="W89" s="17"/>
      <c r="X89" s="17"/>
      <c r="Y89" s="17"/>
      <c r="Z89" s="17"/>
      <c r="AI89" s="13"/>
    </row>
    <row r="90" spans="1:35" x14ac:dyDescent="0.15">
      <c r="B90" s="4"/>
      <c r="D90" s="5"/>
      <c r="E90" s="5"/>
      <c r="F90" s="5"/>
      <c r="G90" s="5"/>
      <c r="H90" s="28"/>
      <c r="I90" s="28"/>
      <c r="J90" s="28"/>
      <c r="K90" s="28"/>
      <c r="L90" s="28"/>
      <c r="M90" s="28"/>
      <c r="N90" s="28"/>
      <c r="O90" s="28"/>
      <c r="P90" s="28"/>
      <c r="Q90" s="28"/>
      <c r="R90" s="28"/>
      <c r="S90" s="28"/>
      <c r="T90" s="28"/>
      <c r="U90" s="28"/>
      <c r="V90" s="28"/>
      <c r="W90" s="28"/>
      <c r="X90" s="28"/>
      <c r="Y90" s="28"/>
      <c r="Z90" s="28"/>
      <c r="AI90" s="13"/>
    </row>
    <row r="91" spans="1:35" x14ac:dyDescent="0.15">
      <c r="A91" s="14" t="s">
        <v>3678</v>
      </c>
      <c r="B91" s="60" t="s">
        <v>337</v>
      </c>
      <c r="C91" s="60" t="s">
        <v>336</v>
      </c>
      <c r="D91" s="14" t="s">
        <v>3643</v>
      </c>
      <c r="E91" s="14" t="s">
        <v>162</v>
      </c>
      <c r="F91" s="14" t="s">
        <v>333</v>
      </c>
      <c r="G91" s="14" t="s">
        <v>3670</v>
      </c>
      <c r="H91" s="14">
        <v>2022</v>
      </c>
      <c r="I91" s="14">
        <v>2025</v>
      </c>
      <c r="J91" s="14">
        <v>2030</v>
      </c>
      <c r="K91" s="14">
        <v>2035</v>
      </c>
      <c r="L91" s="14">
        <v>2040</v>
      </c>
      <c r="M91" s="14">
        <v>2045</v>
      </c>
      <c r="N91" s="14">
        <v>2050</v>
      </c>
    </row>
    <row r="92" spans="1:35" x14ac:dyDescent="0.15">
      <c r="A92" s="5" t="s">
        <v>440</v>
      </c>
      <c r="B92" s="5" t="s">
        <v>151</v>
      </c>
      <c r="C92" s="5" t="s">
        <v>97</v>
      </c>
      <c r="D92" s="5" t="s">
        <v>439</v>
      </c>
      <c r="E92" s="5" t="s">
        <v>45</v>
      </c>
      <c r="F92" s="5" t="s">
        <v>3702</v>
      </c>
      <c r="G92" s="5"/>
      <c r="H92" s="27">
        <v>0.13</v>
      </c>
      <c r="I92" s="38">
        <v>0.125</v>
      </c>
      <c r="J92" s="27">
        <v>0.12</v>
      </c>
      <c r="K92" s="27">
        <v>0.13</v>
      </c>
      <c r="L92" s="27">
        <v>0.14000000000000001</v>
      </c>
      <c r="M92" s="27">
        <v>0.17</v>
      </c>
      <c r="N92" s="27">
        <v>0.2</v>
      </c>
      <c r="O92" s="27"/>
      <c r="P92" s="27"/>
      <c r="R92" s="27"/>
      <c r="S92" s="27"/>
      <c r="U92" s="27"/>
      <c r="V92" s="27"/>
      <c r="X92" s="27"/>
      <c r="Y92" s="27"/>
    </row>
    <row r="93" spans="1:35" x14ac:dyDescent="0.15">
      <c r="B93" s="5"/>
      <c r="C93" s="5"/>
      <c r="D93" s="5"/>
      <c r="E93" s="5"/>
      <c r="F93" s="5"/>
      <c r="G93" s="5"/>
      <c r="H93" s="17"/>
      <c r="I93" s="17"/>
      <c r="J93" s="17"/>
      <c r="K93" s="48"/>
      <c r="L93" s="17"/>
      <c r="M93" s="17"/>
      <c r="N93" s="48"/>
      <c r="O93" s="17"/>
      <c r="P93" s="17"/>
      <c r="Q93" s="48"/>
      <c r="R93" s="17"/>
      <c r="S93" s="17"/>
      <c r="T93" s="48"/>
      <c r="U93" s="17"/>
      <c r="V93" s="17"/>
      <c r="W93" s="48"/>
      <c r="X93" s="17"/>
      <c r="Y93" s="17"/>
      <c r="Z93" s="48"/>
    </row>
    <row r="94" spans="1:35" s="14" customFormat="1" x14ac:dyDescent="0.15">
      <c r="A94" s="14" t="s">
        <v>3611</v>
      </c>
      <c r="B94" s="14" t="s">
        <v>337</v>
      </c>
      <c r="C94" s="14" t="s">
        <v>336</v>
      </c>
      <c r="D94" s="14" t="s">
        <v>3643</v>
      </c>
      <c r="E94" s="14" t="s">
        <v>162</v>
      </c>
      <c r="F94" s="14" t="s">
        <v>333</v>
      </c>
      <c r="G94" s="14" t="s">
        <v>3670</v>
      </c>
      <c r="H94" s="14" t="s">
        <v>3679</v>
      </c>
      <c r="I94" s="14">
        <v>2022</v>
      </c>
      <c r="J94" s="14">
        <v>2025</v>
      </c>
      <c r="K94" s="14">
        <v>2030</v>
      </c>
      <c r="L94" s="14">
        <v>2035</v>
      </c>
      <c r="M94" s="14">
        <v>2040</v>
      </c>
      <c r="N94" s="14">
        <v>2045</v>
      </c>
      <c r="O94" s="14">
        <v>2050</v>
      </c>
    </row>
    <row r="95" spans="1:35" x14ac:dyDescent="0.15">
      <c r="A95" s="5" t="s">
        <v>441</v>
      </c>
      <c r="B95" s="5" t="s">
        <v>151</v>
      </c>
      <c r="C95" s="5" t="s">
        <v>97</v>
      </c>
      <c r="D95" s="5" t="s">
        <v>3677</v>
      </c>
      <c r="E95" s="5" t="s">
        <v>45</v>
      </c>
      <c r="F95" s="5" t="s">
        <v>3702</v>
      </c>
      <c r="G95" s="100" t="s">
        <v>3680</v>
      </c>
      <c r="H95">
        <v>2E-3</v>
      </c>
      <c r="I95" s="21">
        <v>1.2E-2</v>
      </c>
      <c r="J95" s="21">
        <v>1.4E-2</v>
      </c>
      <c r="K95" s="5">
        <v>1.4999999999999999E-2</v>
      </c>
      <c r="L95" s="5">
        <v>4.4999999999999998E-2</v>
      </c>
      <c r="M95" s="5">
        <v>0.08</v>
      </c>
      <c r="N95" s="5">
        <v>0.16</v>
      </c>
      <c r="O95" s="5">
        <v>0.25</v>
      </c>
    </row>
    <row r="96" spans="1:35" x14ac:dyDescent="0.15">
      <c r="A96" s="5" t="s">
        <v>441</v>
      </c>
      <c r="B96" s="5" t="s">
        <v>151</v>
      </c>
      <c r="C96" s="5" t="s">
        <v>97</v>
      </c>
      <c r="D96" s="5" t="s">
        <v>3674</v>
      </c>
      <c r="E96" s="5" t="s">
        <v>45</v>
      </c>
      <c r="F96" s="5"/>
      <c r="G96" s="100"/>
      <c r="H96">
        <v>0.14000000000000001</v>
      </c>
      <c r="I96" s="17">
        <f>(1-I$95)*H96/SUM(H$96:H$100)</f>
        <v>0.13859719438877754</v>
      </c>
      <c r="J96" s="17">
        <f t="shared" ref="J96:O96" si="38">(1-J$95)*I96/SUM(I$96:I$100)</f>
        <v>0.13831663326653304</v>
      </c>
      <c r="K96" s="17">
        <f t="shared" si="38"/>
        <v>0.13817635270541079</v>
      </c>
      <c r="L96" s="17">
        <f t="shared" si="38"/>
        <v>0.13396793587174344</v>
      </c>
      <c r="M96" s="17">
        <f t="shared" si="38"/>
        <v>0.12905811623246491</v>
      </c>
      <c r="N96" s="17">
        <f t="shared" si="38"/>
        <v>0.11783567134268533</v>
      </c>
      <c r="O96" s="17">
        <f t="shared" si="38"/>
        <v>0.10521042084168332</v>
      </c>
    </row>
    <row r="97" spans="1:37" x14ac:dyDescent="0.15">
      <c r="A97" s="5" t="s">
        <v>441</v>
      </c>
      <c r="B97" s="5" t="s">
        <v>151</v>
      </c>
      <c r="C97" s="5" t="s">
        <v>97</v>
      </c>
      <c r="D97" s="5" t="s">
        <v>13</v>
      </c>
      <c r="E97" s="5" t="s">
        <v>45</v>
      </c>
      <c r="F97" s="5"/>
      <c r="G97" s="100"/>
      <c r="H97">
        <v>0.191</v>
      </c>
      <c r="I97" s="17">
        <f t="shared" ref="I97:O100" si="39">(1-I$95)*H97/SUM(H$96:H$100)</f>
        <v>0.18908617234468938</v>
      </c>
      <c r="J97" s="17">
        <f t="shared" si="39"/>
        <v>0.18870340681362724</v>
      </c>
      <c r="K97" s="17">
        <f t="shared" si="39"/>
        <v>0.18851202404809619</v>
      </c>
      <c r="L97" s="17">
        <f t="shared" si="39"/>
        <v>0.18277054108216431</v>
      </c>
      <c r="M97" s="17">
        <f t="shared" si="39"/>
        <v>0.17607214428857718</v>
      </c>
      <c r="N97" s="17">
        <f t="shared" si="39"/>
        <v>0.16076152304609218</v>
      </c>
      <c r="O97" s="17">
        <f t="shared" si="39"/>
        <v>0.14353707414829661</v>
      </c>
    </row>
    <row r="98" spans="1:37" x14ac:dyDescent="0.15">
      <c r="A98" s="5" t="s">
        <v>441</v>
      </c>
      <c r="B98" s="5" t="s">
        <v>151</v>
      </c>
      <c r="C98" s="5" t="s">
        <v>97</v>
      </c>
      <c r="D98" s="5" t="s">
        <v>3675</v>
      </c>
      <c r="E98" s="5" t="s">
        <v>45</v>
      </c>
      <c r="F98" s="5"/>
      <c r="G98" s="100"/>
      <c r="H98">
        <v>0.16200000000000001</v>
      </c>
      <c r="I98" s="17">
        <f t="shared" si="39"/>
        <v>0.16037675350701402</v>
      </c>
      <c r="J98" s="17">
        <f t="shared" si="39"/>
        <v>0.16005210420841681</v>
      </c>
      <c r="K98" s="17">
        <f t="shared" si="39"/>
        <v>0.15988977955911821</v>
      </c>
      <c r="L98" s="17">
        <f t="shared" si="39"/>
        <v>0.15502004008016027</v>
      </c>
      <c r="M98" s="17">
        <f t="shared" si="39"/>
        <v>0.1493386773547094</v>
      </c>
      <c r="N98" s="17">
        <f t="shared" si="39"/>
        <v>0.13635270541082162</v>
      </c>
      <c r="O98" s="17">
        <f t="shared" si="39"/>
        <v>0.12174348697394788</v>
      </c>
    </row>
    <row r="99" spans="1:37" x14ac:dyDescent="0.15">
      <c r="A99" s="5" t="s">
        <v>441</v>
      </c>
      <c r="B99" s="5" t="s">
        <v>151</v>
      </c>
      <c r="C99" s="5" t="s">
        <v>97</v>
      </c>
      <c r="D99" s="5" t="s">
        <v>3676</v>
      </c>
      <c r="E99" s="5" t="s">
        <v>45</v>
      </c>
      <c r="F99" s="5"/>
      <c r="G99" s="100"/>
      <c r="H99">
        <v>0.16800000000000001</v>
      </c>
      <c r="I99" s="17">
        <f t="shared" si="39"/>
        <v>0.16631663326653309</v>
      </c>
      <c r="J99" s="17">
        <f t="shared" si="39"/>
        <v>0.16597995991983969</v>
      </c>
      <c r="K99" s="17">
        <f t="shared" si="39"/>
        <v>0.16581162324649301</v>
      </c>
      <c r="L99" s="17">
        <f t="shared" si="39"/>
        <v>0.1607615230460922</v>
      </c>
      <c r="M99" s="17">
        <f t="shared" si="39"/>
        <v>0.15486973947895796</v>
      </c>
      <c r="N99" s="17">
        <f t="shared" si="39"/>
        <v>0.14140280561122248</v>
      </c>
      <c r="O99" s="17">
        <f t="shared" si="39"/>
        <v>0.12625250501002008</v>
      </c>
    </row>
    <row r="100" spans="1:37" x14ac:dyDescent="0.15">
      <c r="A100" s="5" t="s">
        <v>441</v>
      </c>
      <c r="B100" s="5" t="s">
        <v>151</v>
      </c>
      <c r="C100" s="5" t="s">
        <v>97</v>
      </c>
      <c r="D100" s="5" t="s">
        <v>3</v>
      </c>
      <c r="E100" s="5" t="s">
        <v>45</v>
      </c>
      <c r="F100" s="5"/>
      <c r="G100" s="100"/>
      <c r="H100">
        <v>0.33700000000000002</v>
      </c>
      <c r="I100" s="17">
        <f t="shared" si="39"/>
        <v>0.33362324649298603</v>
      </c>
      <c r="J100" s="17">
        <f t="shared" si="39"/>
        <v>0.33294789579158318</v>
      </c>
      <c r="K100" s="17">
        <f t="shared" si="39"/>
        <v>0.33261022044088179</v>
      </c>
      <c r="L100" s="17">
        <f t="shared" si="39"/>
        <v>0.32247995991983963</v>
      </c>
      <c r="M100" s="17">
        <f t="shared" si="39"/>
        <v>0.31066132264529062</v>
      </c>
      <c r="N100" s="17">
        <f t="shared" si="39"/>
        <v>0.28364729458917837</v>
      </c>
      <c r="O100" s="17">
        <f t="shared" si="39"/>
        <v>0.25325651302605212</v>
      </c>
    </row>
    <row r="101" spans="1:37" x14ac:dyDescent="0.15">
      <c r="D101" s="5"/>
      <c r="E101" s="5"/>
      <c r="F101" s="5"/>
      <c r="G101" s="5"/>
    </row>
    <row r="102" spans="1:37" x14ac:dyDescent="0.15">
      <c r="D102" s="5"/>
      <c r="E102" s="5"/>
      <c r="F102" s="5"/>
      <c r="G102" s="5"/>
      <c r="I102" s="17"/>
    </row>
    <row r="103" spans="1:37" x14ac:dyDescent="0.15">
      <c r="D103" s="5"/>
      <c r="E103" s="5"/>
      <c r="F103" s="5"/>
      <c r="G103" s="5"/>
    </row>
    <row r="104" spans="1:37" x14ac:dyDescent="0.15">
      <c r="A104" s="14" t="s">
        <v>3678</v>
      </c>
      <c r="B104" s="60" t="s">
        <v>337</v>
      </c>
      <c r="C104" s="60" t="s">
        <v>336</v>
      </c>
      <c r="D104" s="14" t="s">
        <v>3643</v>
      </c>
      <c r="E104" s="14" t="s">
        <v>162</v>
      </c>
      <c r="F104" s="14" t="s">
        <v>333</v>
      </c>
      <c r="G104" s="14" t="s">
        <v>3670</v>
      </c>
      <c r="H104" s="14">
        <v>2022</v>
      </c>
      <c r="I104" s="14">
        <v>2025</v>
      </c>
      <c r="J104" s="14">
        <v>2030</v>
      </c>
      <c r="K104" s="14">
        <v>2035</v>
      </c>
      <c r="L104" s="14">
        <v>2040</v>
      </c>
      <c r="M104" s="14">
        <v>2045</v>
      </c>
      <c r="N104" s="14">
        <v>2050</v>
      </c>
    </row>
    <row r="105" spans="1:37" x14ac:dyDescent="0.15">
      <c r="A105" s="5" t="s">
        <v>171</v>
      </c>
      <c r="B105" s="5" t="s">
        <v>151</v>
      </c>
      <c r="C105" s="5" t="s">
        <v>97</v>
      </c>
      <c r="D105" s="5" t="s">
        <v>439</v>
      </c>
      <c r="E105" s="5" t="s">
        <v>45</v>
      </c>
      <c r="F105" s="5" t="s">
        <v>3702</v>
      </c>
      <c r="G105" s="5"/>
      <c r="H105" s="5">
        <v>0.08</v>
      </c>
      <c r="I105" s="5">
        <v>7.0000000000000007E-2</v>
      </c>
      <c r="J105" s="5">
        <v>6.5000000000000002E-2</v>
      </c>
      <c r="K105" s="5">
        <v>0.1</v>
      </c>
      <c r="L105" s="5">
        <v>0.16</v>
      </c>
      <c r="M105" s="5">
        <v>0.22</v>
      </c>
      <c r="N105" s="5">
        <v>0.27</v>
      </c>
    </row>
    <row r="106" spans="1:37" x14ac:dyDescent="0.15">
      <c r="A106" s="5" t="s">
        <v>3613</v>
      </c>
      <c r="B106" s="5" t="s">
        <v>151</v>
      </c>
      <c r="C106" s="5" t="s">
        <v>97</v>
      </c>
      <c r="D106" s="5" t="s">
        <v>439</v>
      </c>
      <c r="E106" s="5" t="s">
        <v>45</v>
      </c>
      <c r="F106" s="5" t="s">
        <v>3702</v>
      </c>
      <c r="G106" s="5"/>
      <c r="H106" s="21">
        <v>1.2E-2</v>
      </c>
      <c r="I106" s="5">
        <v>1.4E-2</v>
      </c>
      <c r="J106" s="5">
        <v>1.4999999999999999E-2</v>
      </c>
      <c r="K106" s="5">
        <v>4.4999999999999998E-2</v>
      </c>
      <c r="L106" s="5">
        <v>8.4000000000000005E-2</v>
      </c>
      <c r="M106" s="5">
        <v>0.2</v>
      </c>
      <c r="N106" s="5">
        <v>0.34</v>
      </c>
    </row>
    <row r="107" spans="1:37" x14ac:dyDescent="0.15">
      <c r="D107" s="5"/>
      <c r="E107" s="5"/>
      <c r="F107" s="5"/>
      <c r="G107" s="5"/>
      <c r="H107" s="17"/>
    </row>
    <row r="108" spans="1:37" x14ac:dyDescent="0.15">
      <c r="D108" s="5"/>
      <c r="E108" s="5"/>
      <c r="F108" s="5"/>
      <c r="G108" s="5"/>
      <c r="H108" s="17"/>
    </row>
    <row r="109" spans="1:37" x14ac:dyDescent="0.15">
      <c r="A109" s="5" t="s">
        <v>3678</v>
      </c>
      <c r="B109" s="60" t="s">
        <v>337</v>
      </c>
      <c r="C109" s="60" t="s">
        <v>336</v>
      </c>
      <c r="D109" s="5" t="s">
        <v>3643</v>
      </c>
      <c r="E109" s="5" t="s">
        <v>162</v>
      </c>
      <c r="F109" s="5" t="s">
        <v>333</v>
      </c>
      <c r="G109" s="5" t="s">
        <v>3670</v>
      </c>
      <c r="H109" s="21" t="s">
        <v>3679</v>
      </c>
      <c r="I109">
        <v>2022</v>
      </c>
      <c r="J109">
        <v>2023</v>
      </c>
      <c r="K109">
        <v>2024</v>
      </c>
      <c r="L109">
        <v>2025</v>
      </c>
      <c r="M109">
        <v>2026</v>
      </c>
      <c r="N109">
        <v>2027</v>
      </c>
      <c r="O109">
        <v>2028</v>
      </c>
      <c r="P109">
        <v>2029</v>
      </c>
      <c r="Q109">
        <v>2030</v>
      </c>
      <c r="R109">
        <v>2031</v>
      </c>
      <c r="S109">
        <v>2032</v>
      </c>
      <c r="T109">
        <v>2033</v>
      </c>
      <c r="U109">
        <v>2034</v>
      </c>
      <c r="V109">
        <v>2035</v>
      </c>
      <c r="W109">
        <v>2036</v>
      </c>
      <c r="X109">
        <v>2037</v>
      </c>
      <c r="Y109">
        <v>2038</v>
      </c>
      <c r="Z109">
        <v>2039</v>
      </c>
      <c r="AA109">
        <v>2040</v>
      </c>
      <c r="AB109">
        <v>2041</v>
      </c>
      <c r="AC109">
        <v>2042</v>
      </c>
      <c r="AD109">
        <v>2043</v>
      </c>
      <c r="AE109">
        <v>2044</v>
      </c>
      <c r="AF109">
        <v>2045</v>
      </c>
      <c r="AG109">
        <v>2046</v>
      </c>
      <c r="AH109">
        <v>2047</v>
      </c>
      <c r="AI109">
        <v>2048</v>
      </c>
      <c r="AJ109">
        <v>2049</v>
      </c>
      <c r="AK109">
        <v>2050</v>
      </c>
    </row>
    <row r="110" spans="1:37" x14ac:dyDescent="0.15">
      <c r="A110" s="5" t="s">
        <v>3612</v>
      </c>
      <c r="B110" s="5" t="s">
        <v>884</v>
      </c>
      <c r="C110" s="5" t="s">
        <v>96</v>
      </c>
      <c r="D110" s="5" t="s">
        <v>3682</v>
      </c>
      <c r="E110" s="5" t="s">
        <v>196</v>
      </c>
      <c r="F110" s="5" t="s">
        <v>3679</v>
      </c>
      <c r="G110" s="5"/>
      <c r="H110" s="17">
        <v>13.561999999999999</v>
      </c>
      <c r="I110">
        <v>13.561999999999999</v>
      </c>
      <c r="J110" s="6">
        <f>($AK$110-$I$110)/($AK$109-$I$109)*(J109-$I$109)+$I$110</f>
        <v>13.524071428571428</v>
      </c>
      <c r="K110" s="6">
        <f t="shared" ref="K110:AJ110" si="40">($AK$110-$I$110)/($AK$109-$I$109)*(K109-$I$109)+$I$110</f>
        <v>13.486142857142857</v>
      </c>
      <c r="L110" s="6">
        <f t="shared" si="40"/>
        <v>13.448214285714284</v>
      </c>
      <c r="M110" s="6">
        <f t="shared" si="40"/>
        <v>13.410285714285713</v>
      </c>
      <c r="N110" s="6">
        <f t="shared" si="40"/>
        <v>13.372357142857142</v>
      </c>
      <c r="O110" s="6">
        <f t="shared" si="40"/>
        <v>13.334428571428571</v>
      </c>
      <c r="P110" s="6">
        <f t="shared" si="40"/>
        <v>13.2965</v>
      </c>
      <c r="Q110" s="6">
        <f t="shared" si="40"/>
        <v>13.258571428571429</v>
      </c>
      <c r="R110" s="6">
        <f t="shared" si="40"/>
        <v>13.220642857142856</v>
      </c>
      <c r="S110" s="6">
        <f t="shared" si="40"/>
        <v>13.182714285714285</v>
      </c>
      <c r="T110" s="6">
        <f t="shared" si="40"/>
        <v>13.144785714285714</v>
      </c>
      <c r="U110" s="6">
        <f t="shared" si="40"/>
        <v>13.106857142857143</v>
      </c>
      <c r="V110" s="6">
        <f t="shared" si="40"/>
        <v>13.068928571428572</v>
      </c>
      <c r="W110" s="6">
        <f t="shared" si="40"/>
        <v>13.030999999999999</v>
      </c>
      <c r="X110" s="6">
        <f t="shared" si="40"/>
        <v>12.993071428571428</v>
      </c>
      <c r="Y110" s="6">
        <f t="shared" si="40"/>
        <v>12.955142857142857</v>
      </c>
      <c r="Z110" s="6">
        <f t="shared" si="40"/>
        <v>12.917214285714286</v>
      </c>
      <c r="AA110" s="6">
        <f t="shared" si="40"/>
        <v>12.879285714285714</v>
      </c>
      <c r="AB110" s="6">
        <f t="shared" si="40"/>
        <v>12.841357142857143</v>
      </c>
      <c r="AC110" s="6">
        <f t="shared" si="40"/>
        <v>12.80342857142857</v>
      </c>
      <c r="AD110" s="6">
        <f t="shared" si="40"/>
        <v>12.765499999999999</v>
      </c>
      <c r="AE110" s="6">
        <f t="shared" si="40"/>
        <v>12.727571428571428</v>
      </c>
      <c r="AF110" s="6">
        <f t="shared" si="40"/>
        <v>12.689642857142857</v>
      </c>
      <c r="AG110" s="6">
        <f t="shared" si="40"/>
        <v>12.651714285714286</v>
      </c>
      <c r="AH110" s="6">
        <f t="shared" si="40"/>
        <v>12.613785714285715</v>
      </c>
      <c r="AI110" s="6">
        <f t="shared" si="40"/>
        <v>12.575857142857142</v>
      </c>
      <c r="AJ110" s="6">
        <f t="shared" si="40"/>
        <v>12.537928571428571</v>
      </c>
      <c r="AK110">
        <v>12.5</v>
      </c>
    </row>
    <row r="111" spans="1:37" x14ac:dyDescent="0.15">
      <c r="D111" s="5"/>
      <c r="E111" s="5"/>
      <c r="F111" s="5"/>
      <c r="G111" s="5"/>
      <c r="H111" s="17"/>
      <c r="I111" s="17">
        <f>$H$110/I110</f>
        <v>1</v>
      </c>
      <c r="J111" s="17">
        <f t="shared" ref="J111:AK111" si="41">$H$110/J110</f>
        <v>1.0028045231518403</v>
      </c>
      <c r="K111" s="17">
        <f t="shared" si="41"/>
        <v>1.0056248212450876</v>
      </c>
      <c r="L111" s="17">
        <f t="shared" si="41"/>
        <v>1.0084610277519586</v>
      </c>
      <c r="M111" s="17">
        <f t="shared" si="41"/>
        <v>1.0113132776546787</v>
      </c>
      <c r="N111" s="17">
        <f t="shared" si="41"/>
        <v>1.014181707466896</v>
      </c>
      <c r="O111" s="17">
        <f t="shared" si="41"/>
        <v>1.0170664552554611</v>
      </c>
      <c r="P111" s="17">
        <f t="shared" si="41"/>
        <v>1.0199676606625803</v>
      </c>
      <c r="Q111" s="17">
        <f t="shared" si="41"/>
        <v>1.0228854649283481</v>
      </c>
      <c r="R111" s="17">
        <f t="shared" si="41"/>
        <v>1.0258200109136686</v>
      </c>
      <c r="S111" s="17">
        <f t="shared" si="41"/>
        <v>1.0287714431235708</v>
      </c>
      <c r="T111" s="17">
        <f t="shared" si="41"/>
        <v>1.0317399077309308</v>
      </c>
      <c r="U111" s="17">
        <f t="shared" si="41"/>
        <v>1.0347255526006016</v>
      </c>
      <c r="V111" s="17">
        <f t="shared" si="41"/>
        <v>1.0377285273139671</v>
      </c>
      <c r="W111" s="17">
        <f t="shared" si="41"/>
        <v>1.0407489831939223</v>
      </c>
      <c r="X111" s="17">
        <f t="shared" si="41"/>
        <v>1.0437870733302914</v>
      </c>
      <c r="Y111" s="17">
        <f t="shared" si="41"/>
        <v>1.0468429526056944</v>
      </c>
      <c r="Z111" s="17">
        <f t="shared" si="41"/>
        <v>1.0499167777218661</v>
      </c>
      <c r="AA111" s="17">
        <f t="shared" si="41"/>
        <v>1.0530087072264434</v>
      </c>
      <c r="AB111" s="17">
        <f t="shared" si="41"/>
        <v>1.0561189015402244</v>
      </c>
      <c r="AC111" s="17">
        <f t="shared" si="41"/>
        <v>1.0592475229849148</v>
      </c>
      <c r="AD111" s="17">
        <f t="shared" si="41"/>
        <v>1.0623947358113666</v>
      </c>
      <c r="AE111" s="17">
        <f t="shared" si="41"/>
        <v>1.0655607062283232</v>
      </c>
      <c r="AF111" s="17">
        <f t="shared" si="41"/>
        <v>1.0687456024316793</v>
      </c>
      <c r="AG111" s="17">
        <f t="shared" si="41"/>
        <v>1.0719495946342674</v>
      </c>
      <c r="AH111" s="17">
        <f t="shared" si="41"/>
        <v>1.0751728550961814</v>
      </c>
      <c r="AI111" s="17">
        <f t="shared" si="41"/>
        <v>1.0784155581556498</v>
      </c>
      <c r="AJ111" s="17">
        <f t="shared" si="41"/>
        <v>1.0816778802604667</v>
      </c>
      <c r="AK111" s="17">
        <f t="shared" si="41"/>
        <v>1.0849599999999999</v>
      </c>
    </row>
    <row r="112" spans="1:37" x14ac:dyDescent="0.15">
      <c r="D112" s="5"/>
      <c r="E112" s="5"/>
      <c r="F112" s="5"/>
      <c r="G112" s="5"/>
      <c r="H112" s="17"/>
    </row>
    <row r="113" spans="2:26" x14ac:dyDescent="0.15">
      <c r="D113" s="5"/>
      <c r="E113" s="5"/>
      <c r="F113" s="5"/>
      <c r="G113" s="5"/>
      <c r="H113" s="17"/>
    </row>
    <row r="114" spans="2:26" x14ac:dyDescent="0.15">
      <c r="D114" s="5"/>
      <c r="E114" s="5"/>
      <c r="F114" s="5"/>
      <c r="G114" s="5"/>
      <c r="H114" s="17"/>
    </row>
    <row r="115" spans="2:26" x14ac:dyDescent="0.15">
      <c r="D115" s="5"/>
      <c r="E115" s="5"/>
      <c r="F115" s="5"/>
      <c r="G115" s="5"/>
      <c r="H115" s="14"/>
      <c r="I115" s="14"/>
      <c r="J115" s="14"/>
      <c r="L115" s="14"/>
      <c r="M115" s="14"/>
      <c r="O115" s="14"/>
      <c r="P115" s="14"/>
      <c r="R115" s="14"/>
      <c r="S115" s="14"/>
      <c r="U115" s="14"/>
      <c r="V115" s="14"/>
      <c r="X115" s="14"/>
      <c r="Y115" s="14"/>
    </row>
    <row r="116" spans="2:26" s="3" customFormat="1" x14ac:dyDescent="0.15">
      <c r="B116" s="4"/>
      <c r="C116" s="4"/>
      <c r="D116" s="4"/>
      <c r="E116" s="4"/>
      <c r="F116" s="4"/>
      <c r="G116" s="4"/>
      <c r="H116" s="30"/>
      <c r="I116" s="30"/>
      <c r="J116" s="30"/>
      <c r="K116" s="30"/>
      <c r="L116" s="30"/>
      <c r="M116" s="30"/>
      <c r="N116" s="30"/>
      <c r="O116" s="30"/>
      <c r="P116" s="30"/>
      <c r="Q116" s="30"/>
      <c r="R116" s="30"/>
      <c r="S116" s="30"/>
      <c r="T116" s="30"/>
      <c r="U116" s="30"/>
      <c r="V116" s="30"/>
      <c r="W116" s="30"/>
      <c r="X116" s="30"/>
      <c r="Y116" s="30"/>
      <c r="Z116" s="30"/>
    </row>
    <row r="117" spans="2:26" x14ac:dyDescent="0.15">
      <c r="B117" s="5"/>
      <c r="C117" s="4"/>
      <c r="D117" s="5"/>
      <c r="E117" s="5"/>
      <c r="F117" s="5"/>
      <c r="G117" s="5"/>
      <c r="H117" s="17"/>
      <c r="I117" s="17"/>
      <c r="J117" s="17"/>
      <c r="K117" s="17"/>
      <c r="L117" s="17"/>
      <c r="M117" s="17"/>
      <c r="N117" s="17"/>
      <c r="O117" s="17"/>
      <c r="P117" s="17"/>
      <c r="Q117" s="17"/>
      <c r="R117" s="17"/>
      <c r="S117" s="17"/>
      <c r="T117" s="17"/>
      <c r="U117" s="17"/>
      <c r="V117" s="17"/>
      <c r="W117" s="17"/>
      <c r="X117" s="17"/>
      <c r="Y117" s="17"/>
      <c r="Z117" s="17"/>
    </row>
  </sheetData>
  <mergeCells count="7">
    <mergeCell ref="G53:G60"/>
    <mergeCell ref="G95:G100"/>
    <mergeCell ref="G13:G20"/>
    <mergeCell ref="G2:G11"/>
    <mergeCell ref="G23:G30"/>
    <mergeCell ref="G32:G41"/>
    <mergeCell ref="G43:G50"/>
  </mergeCells>
  <phoneticPr fontId="5" type="noConversion"/>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9F1-2C84-9047-9915-BCA33DC3CE67}">
  <dimension ref="A1:I41"/>
  <sheetViews>
    <sheetView zoomScale="88" zoomScaleNormal="81" workbookViewId="0">
      <selection activeCell="A39" sqref="A39"/>
    </sheetView>
  </sheetViews>
  <sheetFormatPr baseColWidth="10" defaultRowHeight="13" x14ac:dyDescent="0.15"/>
  <cols>
    <col min="4" max="4" width="11.6640625" customWidth="1"/>
  </cols>
  <sheetData>
    <row r="1" spans="1:9" x14ac:dyDescent="0.15">
      <c r="A1" s="5" t="s">
        <v>3631</v>
      </c>
      <c r="B1" s="5" t="s">
        <v>96</v>
      </c>
      <c r="C1" s="5" t="s">
        <v>94</v>
      </c>
      <c r="D1" s="5" t="s">
        <v>439</v>
      </c>
      <c r="E1" s="5" t="s">
        <v>3640</v>
      </c>
      <c r="F1" s="5"/>
      <c r="G1" s="5"/>
    </row>
    <row r="2" spans="1:9" x14ac:dyDescent="0.15">
      <c r="A2">
        <v>2015</v>
      </c>
      <c r="B2" s="6">
        <v>23200</v>
      </c>
      <c r="C2" s="9">
        <v>23200</v>
      </c>
    </row>
    <row r="3" spans="1:9" x14ac:dyDescent="0.15">
      <c r="A3">
        <v>2016</v>
      </c>
      <c r="B3" s="6">
        <v>23600</v>
      </c>
      <c r="C3" s="9">
        <v>23600</v>
      </c>
      <c r="F3" s="59"/>
      <c r="G3" s="59"/>
      <c r="I3" s="10"/>
    </row>
    <row r="4" spans="1:9" x14ac:dyDescent="0.15">
      <c r="A4">
        <v>2017</v>
      </c>
      <c r="B4" s="6">
        <v>23900</v>
      </c>
      <c r="C4" s="9">
        <v>23900</v>
      </c>
      <c r="F4" s="59"/>
      <c r="G4" s="59"/>
      <c r="I4" s="10"/>
    </row>
    <row r="5" spans="1:9" x14ac:dyDescent="0.15">
      <c r="A5">
        <v>2018</v>
      </c>
      <c r="B5" s="6">
        <v>24400</v>
      </c>
      <c r="C5" s="9">
        <v>24400</v>
      </c>
      <c r="F5" s="59"/>
      <c r="G5" s="59"/>
      <c r="I5" s="10"/>
    </row>
    <row r="6" spans="1:9" x14ac:dyDescent="0.15">
      <c r="A6">
        <v>2019</v>
      </c>
      <c r="B6" s="6">
        <v>24400</v>
      </c>
      <c r="C6" s="9">
        <v>24400</v>
      </c>
      <c r="D6">
        <v>0.17</v>
      </c>
      <c r="E6">
        <v>0.83</v>
      </c>
      <c r="F6" s="59"/>
      <c r="G6" s="59"/>
      <c r="I6" s="10"/>
    </row>
    <row r="7" spans="1:9" x14ac:dyDescent="0.15">
      <c r="A7">
        <v>2020</v>
      </c>
      <c r="B7" s="6">
        <v>25300</v>
      </c>
      <c r="C7" s="9">
        <v>25300</v>
      </c>
      <c r="F7" s="59"/>
      <c r="G7" s="59"/>
      <c r="I7" s="10"/>
    </row>
    <row r="8" spans="1:9" x14ac:dyDescent="0.15">
      <c r="A8">
        <v>2021</v>
      </c>
      <c r="B8" s="6">
        <v>26000</v>
      </c>
      <c r="C8" s="9">
        <v>26000</v>
      </c>
      <c r="F8" s="59"/>
      <c r="G8" s="59"/>
      <c r="I8" s="10"/>
    </row>
    <row r="9" spans="1:9" x14ac:dyDescent="0.15">
      <c r="A9">
        <v>2022</v>
      </c>
      <c r="B9" s="6">
        <v>25501.86</v>
      </c>
      <c r="C9" s="9">
        <v>25501.86</v>
      </c>
      <c r="D9">
        <v>0.13</v>
      </c>
      <c r="E9">
        <v>0.87</v>
      </c>
      <c r="F9" s="59"/>
      <c r="G9" s="59"/>
      <c r="I9" s="10"/>
    </row>
    <row r="10" spans="1:9" x14ac:dyDescent="0.15">
      <c r="A10">
        <v>2023</v>
      </c>
      <c r="B10" s="6">
        <v>26292.283333333333</v>
      </c>
      <c r="C10" s="9">
        <v>25919.54</v>
      </c>
      <c r="F10" s="59"/>
      <c r="G10" s="59"/>
      <c r="I10" s="10"/>
    </row>
    <row r="11" spans="1:9" x14ac:dyDescent="0.15">
      <c r="A11">
        <v>2024</v>
      </c>
      <c r="B11" s="6">
        <v>27082.706666666665</v>
      </c>
      <c r="C11" s="9">
        <v>26337.22</v>
      </c>
      <c r="F11" s="59"/>
      <c r="G11" s="59"/>
      <c r="I11" s="10"/>
    </row>
    <row r="12" spans="1:9" x14ac:dyDescent="0.15">
      <c r="A12">
        <v>2025</v>
      </c>
      <c r="B12" s="6">
        <v>27873.129999999997</v>
      </c>
      <c r="C12" s="9">
        <v>26754.9</v>
      </c>
      <c r="D12">
        <v>0.125</v>
      </c>
      <c r="E12">
        <v>0.875</v>
      </c>
      <c r="F12" s="59"/>
      <c r="G12" s="59"/>
      <c r="I12" s="10"/>
    </row>
    <row r="13" spans="1:9" x14ac:dyDescent="0.15">
      <c r="A13">
        <v>2026</v>
      </c>
      <c r="B13" s="6">
        <v>29421.023999999998</v>
      </c>
      <c r="C13" s="9">
        <v>27573.57</v>
      </c>
      <c r="F13" s="59"/>
      <c r="G13" s="59"/>
      <c r="I13" s="10"/>
    </row>
    <row r="14" spans="1:9" x14ac:dyDescent="0.15">
      <c r="A14">
        <v>2027</v>
      </c>
      <c r="B14" s="6">
        <v>30968.917999999998</v>
      </c>
      <c r="C14" s="9">
        <v>28392.240000000002</v>
      </c>
      <c r="F14" s="59"/>
      <c r="G14" s="59"/>
      <c r="I14" s="10"/>
    </row>
    <row r="15" spans="1:9" x14ac:dyDescent="0.15">
      <c r="A15">
        <v>2028</v>
      </c>
      <c r="B15" s="6">
        <v>32516.811999999998</v>
      </c>
      <c r="C15" s="9">
        <v>29210.91</v>
      </c>
      <c r="F15" s="59"/>
      <c r="G15" s="59"/>
      <c r="I15" s="10"/>
    </row>
    <row r="16" spans="1:9" x14ac:dyDescent="0.15">
      <c r="A16">
        <v>2029</v>
      </c>
      <c r="B16" s="6">
        <v>34064.705999999998</v>
      </c>
      <c r="C16" s="9">
        <v>30029.58</v>
      </c>
      <c r="F16" s="59"/>
      <c r="G16" s="59"/>
      <c r="I16" s="10"/>
    </row>
    <row r="17" spans="1:9" x14ac:dyDescent="0.15">
      <c r="A17">
        <v>2030</v>
      </c>
      <c r="B17" s="6">
        <v>35612.6</v>
      </c>
      <c r="C17" s="9">
        <v>30848.25</v>
      </c>
      <c r="D17">
        <v>0.12</v>
      </c>
      <c r="E17">
        <v>0.88</v>
      </c>
      <c r="F17" s="59"/>
      <c r="G17" s="59"/>
      <c r="I17" s="10"/>
    </row>
    <row r="18" spans="1:9" x14ac:dyDescent="0.15">
      <c r="A18">
        <v>2031</v>
      </c>
      <c r="B18" s="6">
        <v>36236.78</v>
      </c>
      <c r="C18" s="9">
        <v>30986.311999999998</v>
      </c>
      <c r="F18" s="59"/>
      <c r="G18" s="59"/>
      <c r="I18" s="10"/>
    </row>
    <row r="19" spans="1:9" x14ac:dyDescent="0.15">
      <c r="A19">
        <v>2032</v>
      </c>
      <c r="B19" s="6">
        <v>36860.959999999999</v>
      </c>
      <c r="C19" s="9">
        <v>31124.374</v>
      </c>
      <c r="F19" s="59"/>
      <c r="G19" s="59"/>
      <c r="I19" s="10"/>
    </row>
    <row r="20" spans="1:9" x14ac:dyDescent="0.15">
      <c r="A20">
        <v>2033</v>
      </c>
      <c r="B20" s="6">
        <v>37485.14</v>
      </c>
      <c r="C20" s="9">
        <v>31262.435999999998</v>
      </c>
      <c r="F20" s="59"/>
      <c r="G20" s="59"/>
      <c r="I20" s="10"/>
    </row>
    <row r="21" spans="1:9" x14ac:dyDescent="0.15">
      <c r="A21">
        <v>2034</v>
      </c>
      <c r="B21" s="6">
        <v>38109.32</v>
      </c>
      <c r="C21" s="9">
        <v>31400.498</v>
      </c>
      <c r="F21" s="59"/>
      <c r="G21" s="59"/>
      <c r="I21" s="10"/>
    </row>
    <row r="22" spans="1:9" x14ac:dyDescent="0.15">
      <c r="A22">
        <v>2035</v>
      </c>
      <c r="B22" s="6">
        <v>38733.5</v>
      </c>
      <c r="C22" s="9">
        <v>31538.559999999998</v>
      </c>
      <c r="D22">
        <v>0.13</v>
      </c>
      <c r="E22">
        <v>0.87</v>
      </c>
      <c r="F22" s="59"/>
      <c r="G22" s="59"/>
      <c r="I22" s="10"/>
    </row>
    <row r="23" spans="1:9" x14ac:dyDescent="0.15">
      <c r="A23">
        <v>2036</v>
      </c>
      <c r="B23" s="6">
        <v>39166.019999999997</v>
      </c>
      <c r="C23" s="9">
        <v>31863.563999999998</v>
      </c>
      <c r="F23" s="59"/>
      <c r="G23" s="59"/>
      <c r="I23" s="10"/>
    </row>
    <row r="24" spans="1:9" x14ac:dyDescent="0.15">
      <c r="A24">
        <v>2037</v>
      </c>
      <c r="B24" s="6">
        <v>39598.54</v>
      </c>
      <c r="C24" s="9">
        <v>32188.567999999999</v>
      </c>
      <c r="F24" s="59"/>
      <c r="G24" s="59"/>
      <c r="I24" s="10"/>
    </row>
    <row r="25" spans="1:9" x14ac:dyDescent="0.15">
      <c r="A25">
        <v>2038</v>
      </c>
      <c r="B25" s="6">
        <v>40031.06</v>
      </c>
      <c r="C25" s="9">
        <v>32513.572</v>
      </c>
      <c r="F25" s="59"/>
      <c r="G25" s="59"/>
      <c r="I25" s="10"/>
    </row>
    <row r="26" spans="1:9" x14ac:dyDescent="0.15">
      <c r="A26">
        <v>2039</v>
      </c>
      <c r="B26" s="6">
        <v>40463.58</v>
      </c>
      <c r="C26" s="9">
        <v>32838.576000000001</v>
      </c>
      <c r="F26" s="59"/>
      <c r="G26" s="59"/>
      <c r="I26" s="10"/>
    </row>
    <row r="27" spans="1:9" x14ac:dyDescent="0.15">
      <c r="A27">
        <v>2040</v>
      </c>
      <c r="B27" s="6">
        <v>40896.1</v>
      </c>
      <c r="C27" s="9">
        <v>33163.58</v>
      </c>
      <c r="D27">
        <v>0.14000000000000001</v>
      </c>
      <c r="E27">
        <v>0.86</v>
      </c>
      <c r="F27" s="59"/>
      <c r="G27" s="59"/>
      <c r="I27" s="10"/>
    </row>
    <row r="28" spans="1:9" x14ac:dyDescent="0.15">
      <c r="A28">
        <v>2041</v>
      </c>
      <c r="B28" s="6">
        <v>40789</v>
      </c>
      <c r="C28" s="9">
        <v>33688.644</v>
      </c>
      <c r="F28" s="59"/>
      <c r="G28" s="59"/>
      <c r="I28" s="10"/>
    </row>
    <row r="29" spans="1:9" x14ac:dyDescent="0.15">
      <c r="A29">
        <v>2042</v>
      </c>
      <c r="B29" s="6">
        <v>40681.9</v>
      </c>
      <c r="C29" s="9">
        <v>34213.707999999999</v>
      </c>
      <c r="F29" s="59"/>
      <c r="G29" s="59"/>
      <c r="I29" s="10"/>
    </row>
    <row r="30" spans="1:9" x14ac:dyDescent="0.15">
      <c r="A30">
        <v>2043</v>
      </c>
      <c r="B30" s="6">
        <v>40574.799999999996</v>
      </c>
      <c r="C30" s="9">
        <v>34738.772000000004</v>
      </c>
      <c r="F30" s="59"/>
      <c r="G30" s="59"/>
      <c r="I30" s="10"/>
    </row>
    <row r="31" spans="1:9" x14ac:dyDescent="0.15">
      <c r="A31">
        <v>2044</v>
      </c>
      <c r="B31" s="6">
        <v>40467.699999999997</v>
      </c>
      <c r="C31" s="9">
        <v>35263.836000000003</v>
      </c>
      <c r="F31" s="59"/>
      <c r="G31" s="59"/>
      <c r="I31" s="10"/>
    </row>
    <row r="32" spans="1:9" x14ac:dyDescent="0.15">
      <c r="A32">
        <v>2045</v>
      </c>
      <c r="B32" s="6">
        <v>40360.6</v>
      </c>
      <c r="C32" s="9">
        <v>35788.9</v>
      </c>
      <c r="D32">
        <v>0.17</v>
      </c>
      <c r="E32">
        <v>0.83</v>
      </c>
      <c r="F32" s="59"/>
      <c r="G32" s="59"/>
      <c r="I32" s="10"/>
    </row>
    <row r="33" spans="1:9" x14ac:dyDescent="0.15">
      <c r="A33">
        <v>2046</v>
      </c>
      <c r="B33" s="6">
        <v>40235.159999999996</v>
      </c>
      <c r="C33" s="9">
        <v>35901.82</v>
      </c>
      <c r="F33" s="59"/>
      <c r="G33" s="59"/>
      <c r="I33" s="10"/>
    </row>
    <row r="34" spans="1:9" x14ac:dyDescent="0.15">
      <c r="A34">
        <v>2047</v>
      </c>
      <c r="B34" s="6">
        <v>40109.72</v>
      </c>
      <c r="C34" s="9">
        <v>36014.74</v>
      </c>
      <c r="F34" s="59"/>
      <c r="G34" s="59"/>
      <c r="I34" s="10"/>
    </row>
    <row r="35" spans="1:9" x14ac:dyDescent="0.15">
      <c r="A35">
        <v>2048</v>
      </c>
      <c r="B35" s="6">
        <v>39984.28</v>
      </c>
      <c r="C35" s="9">
        <v>36127.660000000003</v>
      </c>
      <c r="F35" s="59"/>
      <c r="G35" s="59"/>
      <c r="I35" s="10"/>
    </row>
    <row r="36" spans="1:9" x14ac:dyDescent="0.15">
      <c r="A36">
        <v>2049</v>
      </c>
      <c r="B36" s="6">
        <v>39858.840000000004</v>
      </c>
      <c r="C36" s="9">
        <v>36240.58</v>
      </c>
      <c r="F36" s="59"/>
      <c r="G36" s="59"/>
      <c r="I36" s="10"/>
    </row>
    <row r="37" spans="1:9" x14ac:dyDescent="0.15">
      <c r="A37">
        <v>2050</v>
      </c>
      <c r="B37" s="6">
        <v>39733.4</v>
      </c>
      <c r="C37" s="9">
        <v>36353.5</v>
      </c>
      <c r="D37">
        <v>0.2</v>
      </c>
      <c r="E37">
        <v>0.8</v>
      </c>
      <c r="F37" s="59"/>
      <c r="G37" s="59"/>
      <c r="I37" s="10"/>
    </row>
    <row r="38" spans="1:9" x14ac:dyDescent="0.15">
      <c r="I38" s="10"/>
    </row>
    <row r="39" spans="1:9" x14ac:dyDescent="0.15">
      <c r="A39" s="5" t="s">
        <v>3703</v>
      </c>
    </row>
    <row r="40" spans="1:9" x14ac:dyDescent="0.15">
      <c r="A40" s="5" t="s">
        <v>3704</v>
      </c>
    </row>
    <row r="41" spans="1:9" x14ac:dyDescent="0.15">
      <c r="A41" s="5" t="s">
        <v>3644</v>
      </c>
    </row>
  </sheetData>
  <phoneticPr fontId="5" type="noConversion"/>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D A A B Q S w M E F A A A C A g A D F F t V w i a b g q o A A A A 9 w A A A B I A A A B D b 2 5 m a W c v U G F j a 2 F n Z S 5 4 b W y F j 0 s K w j A Y h K 9 S s m 8 e F R + U v + l C c G V B F M R t S N M 2 2 K b S p K Z 3 c + G R v I I F r b p z O T P f w M z j d o d 0 a O r g q j q r W 5 M g h i k K l J F t r k 2 Z o N 4 V 4 Q q l H H Z C n k W p g h E 2 N h 6 s T l D l 3 C U m x H u P / Q y 3 X U k i S h k 5 Z d u D r F Q j Q m 2 s E 0 Y q 9 G n l / 1 u I w / E 1 h k e Y M Y o X y 4 j h O Z D J h U y b L z F m F F M g P y a s + 9 r 1 n e J F F 2 7 2 Q C Y J 5 H 2 C P w F Q S w M E F A A A C A g A D F F t V z U p O b 0 g A Q A A o Q I A A B M A A A B G b 3 J t d W x h c y 9 T Z W N 0 a W 9 u M S 5 t f Z H P S g M x E M b v C 3 2 H I b 2 0 E H Y b + 0 e l e G r 1 K E j r q X i I u 9 N 2 I T s j + V N b S h / I 5 / D F z L K C K M T T 5 P v N J N 9 8 x G H p a y Z Y d V X N e 1 k v c 3 t t s Y K + c G g i j 8 d K e w 1 j A X d g 0 G c A K w 6 2 x C g X 7 p A v u Q w N k h 8 8 1 A b z B Z O P w g 1 E 8 e z Q u q L R d h f Q 1 h 6 3 O l g O x 2 L J 7 2 R Y V 6 7 4 Y 5 C X 7 i C G E j Z L N H U T b 9 h o I a S Q s G A T G n J R q o m E e y q 5 q m k X 5 W w 6 G i k J T 4 E 9 r v z J t E v 9 i P y R C V + G M q 7 c F + v T G 0 K F U L J h o l j 3 m n a f H 2 2 q t X 6 N w 2 u r y W 3 Z N p 1 b O + 8 G X V Q J 5 7 P o s I r r + P Y p j 0 d / i Y 1 v f p X g 4 w S f J P g 0 w W c J f p 3 g N w l + m + B q l G q k E q t U Z J X K r H 6 H v g y z m v 7 9 m / k X U E s D B B Q A A A g I A A x R b V c P y u m r p A A A A O k A A A A T A A A A W 0 N v b n R l b n R f V H l w Z X N d L n h t b G 2 O S w 7 C M A x E r x J 5 n 7 q w Q A g 1 Z Q H c g A t E w f 2 I 5 q P G R e F s L D g S V y B t d 4 i l Z + Z 5 5 v N 6 V 8 d k B / G g M f b e K d g U J Q h y x t 9 6 1 y q Y u J F 7 O N b V 9 R k o i h x 1 U U H H H A 6 I 0 X R k d S x 8 I J e d x o 9 W c z 7 H F o M 2 d 9 0 S b s t y h 8 Y 7 J s e S 5 x 9 Q V 2 d q 9 D S w u K Q s r 7 U Z B 3 F a c 3 O V A q b E u M j 4 l 7 A / e R 3 C 0 B v N 2 c Q k b Z R 2 I X E Z X n 8 B U E s B A h Q D F A A A C A g A D F F t V w i a b g q o A A A A 9 w A A A B I A A A A A A A A A A A A A A A A A A A A A A E N v b m Z p Z y 9 Q Y W N r Y W d l L n h t b F B L A Q I U A x Q A A A g I A A x R b V c 1 K T m 9 I A E A A K E C A A A T A A A A A A A A A A A A A A A A A N g A A A B G b 3 J t d W x h c y 9 T Z W N 0 a W 9 u M S 5 t U E s B A h Q D F A A A C A g A D F F t V w / K 6 a u k A A A A 6 Q A A A B M A A A A A A A A A A A A A A A A A K Q I A A F t D b 2 5 0 Z W 5 0 X 1 R 5 c G V z X S 5 4 b W x Q S w U G A A A A A A M A A w D C A A A A / 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S x A A A A A A A A A p 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z Z W x l Y 3 R l Z C U y M G R h d G E l M j A 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z E i I C 8 + P E V u d H J 5 I F R 5 c G U 9 I k Z p b G x F c n J v c k N v Z G U i I F Z h b H V l P S J z V W 5 r b m 9 3 b i I g L z 4 8 R W 5 0 c n k g V H l w Z T 0 i R m l s b E V y c m 9 y Q 2 9 1 b n Q i I F Z h b H V l P S J s M C I g L z 4 8 R W 5 0 c n k g V H l w Z T 0 i R m l s b E x h c 3 R V c G R h d G V k I i B W Y W x 1 Z T 0 i Z D I w M j M t M T E t M T N U M T U 6 M D g 6 M T U u N j A y O T Y 2 M F o i I C 8 + P E V u d H J 5 I F R 5 c G U 9 I k Z p b G x D b 2 x 1 b W 5 U e X B l c y I g V m F s d W U 9 I n N 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z Z W x l Y 3 R l Z C B k Y X R h I D M v Q X V 0 b 1 J l b W 9 2 Z W R D b 2 x 1 b W 5 z M S 5 7 Q 2 9 s d W 1 u M S w w f S Z x d W 9 0 O y w m c X V v d D t T Z W N 0 a W 9 u M S 9 z Z W x l Y 3 R l Z C B k Y X R h I D M v Q X V 0 b 1 J l b W 9 2 Z W R D b 2 x 1 b W 5 z M S 5 7 Q 2 9 s d W 1 u M i w x f S Z x d W 9 0 O y w m c X V v d D t T Z W N 0 a W 9 u M S 9 z Z W x l Y 3 R l Z C B k Y X R h I D M v Q X V 0 b 1 J l b W 9 2 Z W R D b 2 x 1 b W 5 z M S 5 7 Q 2 9 s d W 1 u M y w y f S Z x d W 9 0 O y w m c X V v d D t T Z W N 0 a W 9 u M S 9 z Z W x l Y 3 R l Z C B k Y X R h I D M v Q X V 0 b 1 J l b W 9 2 Z W R D b 2 x 1 b W 5 z M S 5 7 Q 2 9 s d W 1 u N C w z f S Z x d W 9 0 O y w m c X V v d D t T Z W N 0 a W 9 u M S 9 z Z W x l Y 3 R l Z C B k Y X R h I D M v Q X V 0 b 1 J l b W 9 2 Z W R D b 2 x 1 b W 5 z M S 5 7 Q 2 9 s d W 1 u N S w 0 f S Z x d W 9 0 O y w m c X V v d D t T Z W N 0 a W 9 u M S 9 z Z W x l Y 3 R l Z C B k Y X R h I D M v Q X V 0 b 1 J l b W 9 2 Z W R D b 2 x 1 b W 5 z M S 5 7 Q 2 9 s d W 1 u N i w 1 f S Z x d W 9 0 O y w m c X V v d D t T Z W N 0 a W 9 u M S 9 z Z W x l Y 3 R l Z C B k Y X R h I D M v Q X V 0 b 1 J l b W 9 2 Z W R D b 2 x 1 b W 5 z M S 5 7 Q 2 9 s d W 1 u N y w 2 f S Z x d W 9 0 O y w m c X V v d D t T Z W N 0 a W 9 u M S 9 z Z W x l Y 3 R l Z C B k Y X R h I D M v Q X V 0 b 1 J l b W 9 2 Z W R D b 2 x 1 b W 5 z M S 5 7 Q 2 9 s d W 1 u O C w 3 f S Z x d W 9 0 O y w m c X V v d D t T Z W N 0 a W 9 u M S 9 z Z W x l Y 3 R l Z C B k Y X R h I D M v Q X V 0 b 1 J l b W 9 2 Z W R D b 2 x 1 b W 5 z M S 5 7 Q 2 9 s d W 1 u O S w 4 f S Z x d W 9 0 O y w m c X V v d D t T Z W N 0 a W 9 u M S 9 z Z W x l Y 3 R l Z C B k Y X R h I D M v Q X V 0 b 1 J l b W 9 2 Z W R D b 2 x 1 b W 5 z M S 5 7 Q 2 9 s d W 1 u M T A s O X 0 m c X V v d D s s J n F 1 b 3 Q 7 U 2 V j d G l v b j E v c 2 V s Z W N 0 Z W Q g Z G F 0 Y S A z L 0 F 1 d G 9 S Z W 1 v d m V k Q 2 9 s d W 1 u c z E u e 0 N v b H V t b j E x L D E w f S Z x d W 9 0 O y w m c X V v d D t T Z W N 0 a W 9 u M S 9 z Z W x l Y 3 R l Z C B k Y X R h I D M v Q X V 0 b 1 J l b W 9 2 Z W R D b 2 x 1 b W 5 z M S 5 7 Q 2 9 s d W 1 u M T I s M T F 9 J n F 1 b 3 Q 7 L C Z x d W 9 0 O 1 N l Y 3 R p b 2 4 x L 3 N l b G V j d G V k I G R h d G E g M y 9 B d X R v U m V t b 3 Z l Z E N v b H V t b n M x L n t D b 2 x 1 b W 4 x M y w x M n 0 m c X V v d D s s J n F 1 b 3 Q 7 U 2 V j d G l v b j E v c 2 V s Z W N 0 Z W Q g Z G F 0 Y S A z L 0 F 1 d G 9 S Z W 1 v d m V k Q 2 9 s d W 1 u c z E u e 0 N v b H V t b j E 0 L D E z f S Z x d W 9 0 O 1 0 s J n F 1 b 3 Q 7 Q 2 9 s d W 1 u Q 2 9 1 b n Q m c X V v d D s 6 M T Q s J n F 1 b 3 Q 7 S 2 V 5 Q 2 9 s d W 1 u T m F t Z X M m c X V v d D s 6 W 1 0 s J n F 1 b 3 Q 7 Q 2 9 s d W 1 u S W R l b n R p d G l l c y Z x d W 9 0 O z p b J n F 1 b 3 Q 7 U 2 V j d G l v b j E v c 2 V s Z W N 0 Z W Q g Z G F 0 Y S A z L 0 F 1 d G 9 S Z W 1 v d m V k Q 2 9 s d W 1 u c z E u e 0 N v b H V t b j E s M H 0 m c X V v d D s s J n F 1 b 3 Q 7 U 2 V j d G l v b j E v c 2 V s Z W N 0 Z W Q g Z G F 0 Y S A z L 0 F 1 d G 9 S Z W 1 v d m V k Q 2 9 s d W 1 u c z E u e 0 N v b H V t b j I s M X 0 m c X V v d D s s J n F 1 b 3 Q 7 U 2 V j d G l v b j E v c 2 V s Z W N 0 Z W Q g Z G F 0 Y S A z L 0 F 1 d G 9 S Z W 1 v d m V k Q 2 9 s d W 1 u c z E u e 0 N v b H V t b j M s M n 0 m c X V v d D s s J n F 1 b 3 Q 7 U 2 V j d G l v b j E v c 2 V s Z W N 0 Z W Q g Z G F 0 Y S A z L 0 F 1 d G 9 S Z W 1 v d m V k Q 2 9 s d W 1 u c z E u e 0 N v b H V t b j Q s M 3 0 m c X V v d D s s J n F 1 b 3 Q 7 U 2 V j d G l v b j E v c 2 V s Z W N 0 Z W Q g Z G F 0 Y S A z L 0 F 1 d G 9 S Z W 1 v d m V k Q 2 9 s d W 1 u c z E u e 0 N v b H V t b j U s N H 0 m c X V v d D s s J n F 1 b 3 Q 7 U 2 V j d G l v b j E v c 2 V s Z W N 0 Z W Q g Z G F 0 Y S A z L 0 F 1 d G 9 S Z W 1 v d m V k Q 2 9 s d W 1 u c z E u e 0 N v b H V t b j Y s N X 0 m c X V v d D s s J n F 1 b 3 Q 7 U 2 V j d G l v b j E v c 2 V s Z W N 0 Z W Q g Z G F 0 Y S A z L 0 F 1 d G 9 S Z W 1 v d m V k Q 2 9 s d W 1 u c z E u e 0 N v b H V t b j c s N n 0 m c X V v d D s s J n F 1 b 3 Q 7 U 2 V j d G l v b j E v c 2 V s Z W N 0 Z W Q g Z G F 0 Y S A z L 0 F 1 d G 9 S Z W 1 v d m V k Q 2 9 s d W 1 u c z E u e 0 N v b H V t b j g s N 3 0 m c X V v d D s s J n F 1 b 3 Q 7 U 2 V j d G l v b j E v c 2 V s Z W N 0 Z W Q g Z G F 0 Y S A z L 0 F 1 d G 9 S Z W 1 v d m V k Q 2 9 s d W 1 u c z E u e 0 N v b H V t b j k s O H 0 m c X V v d D s s J n F 1 b 3 Q 7 U 2 V j d G l v b j E v c 2 V s Z W N 0 Z W Q g Z G F 0 Y S A z L 0 F 1 d G 9 S Z W 1 v d m V k Q 2 9 s d W 1 u c z E u e 0 N v b H V t b j E w L D l 9 J n F 1 b 3 Q 7 L C Z x d W 9 0 O 1 N l Y 3 R p b 2 4 x L 3 N l b G V j d G V k I G R h d G E g M y 9 B d X R v U m V t b 3 Z l Z E N v b H V t b n M x L n t D b 2 x 1 b W 4 x M S w x M H 0 m c X V v d D s s J n F 1 b 3 Q 7 U 2 V j d G l v b j E v c 2 V s Z W N 0 Z W Q g Z G F 0 Y S A z L 0 F 1 d G 9 S Z W 1 v d m V k Q 2 9 s d W 1 u c z E u e 0 N v b H V t b j E y L D E x f S Z x d W 9 0 O y w m c X V v d D t T Z W N 0 a W 9 u M S 9 z Z W x l Y 3 R l Z C B k Y X R h I D M v Q X V 0 b 1 J l b W 9 2 Z W R D b 2 x 1 b W 5 z M S 5 7 Q 2 9 s d W 1 u M T M s M T J 9 J n F 1 b 3 Q 7 L C Z x d W 9 0 O 1 N l Y 3 R p b 2 4 x L 3 N l b G V j d G V k I G R h d G E g M y 9 B d X R v U m V t b 3 Z l Z E N v b H V t b n M x L n t D b 2 x 1 b W 4 x N C w x M 3 0 m c X V v d D t d L C Z x d W 9 0 O 1 J l b G F 0 a W 9 u c 2 h p c E l u Z m 8 m c X V v d D s 6 W 1 1 9 I i A v P j w v U 3 R h Y m x l R W 5 0 c m l l c z 4 8 L 0 l 0 Z W 0 + P E l 0 Z W 0 + P E l 0 Z W 1 M b 2 N h d G l v b j 4 8 S X R l b V R 5 c G U + R m 9 y b X V s Y T w v S X R l b V R 5 c G U + P E l 0 Z W 1 Q Y X R o P l N l Y 3 R p b 2 4 x L 3 N l b G V j d G V k J T I w Z G F 0 Y S U y M D M v U 2 9 1 c m N l P C 9 J d G V t U G F 0 a D 4 8 L 0 l 0 Z W 1 M b 2 N h d G l v b j 4 8 U 3 R h Y m x l R W 5 0 c m l l c y A v P j w v S X R l b T 4 8 S X R l b T 4 8 S X R l b U x v Y 2 F 0 a W 9 u P j x J d G V t V H l w Z T 5 G b 3 J t d W x h P C 9 J d G V t V H l w Z T 4 8 S X R l b V B h d G g + U 2 V j d G l v b j E v c 2 V s Z W N 0 Z W Q l M j B k Y X R h J T I w M y 9 U e X B l J T I w Z G U l M j B j b 2 x v b m 5 l J T I w Y 2 h h b m c l Q z M l Q T k 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j O r V w G f h O 0 E w D Q Y J K o Z I h v c N A Q E B B Q A E g g I A Q l W / f 0 a / q j Y O n 6 k f C e u 2 0 S + H 2 U y l M X I d 8 C 9 y w W U D d 2 t h p u 2 b E W Q 3 h C N L q p d b h f l j 9 Q L V h c C E 1 q 0 9 n s r s 6 Y l Z p a O t i I 6 z 7 m E I u c K J y Y 3 V I y J h H 2 P L C P V E 0 g a j u 9 w i c z o I + / o t t g l y Y L o e f S r Z 8 D l 9 H z E q F R d 2 j Y a W v Q r l + Z e J X J A 6 J g u v t 2 t N m m n s U B r Q + T 6 S E w g b 8 T Q R v Q 1 c y p c a H L x E 7 S 8 p y Z n A c e 2 K F c g 4 q D G G 2 X T V 9 g A j 1 q L F v d k E u 9 p Z C L t s x a G q b i a P 1 g 1 t 9 e s 8 K G W X q H X X x U 7 n Q Q o 6 V t z N P r + r Z 4 2 V C 4 X x B g j 2 1 b f 3 4 Z k 2 T C k m z Z 1 g 9 P R O 0 d v y y / 8 y t d C / v t N q + M K F i D F H B e h V + n z k Y m d w O 1 n t 5 K Y 3 1 8 C k R e h M d n c V Y J n D 0 H L C x m M p r 9 U T k e p P f B R W v 2 y o 5 L b / R 2 5 7 7 w t 4 f L y H 2 X S d p 3 w Y T b i p 9 W d E k A 9 N 8 M + S 7 h O W B G M 1 h y Z M u a b f J 3 q B N r N + q y e z d j U 4 u g J p S 4 d i l a 9 h g E Z u n w C n f 4 0 t L 0 P v z a G f 7 M m C M L h 6 f F 2 F Y P I m g U W C n / w x J C C z O Z j F 9 f 0 g i l I i n X M w k 0 S q / e v q y p 7 h U + x u F s M O n J H 1 h 7 o Q S D u 4 e K F V 5 W 0 S r z g G c O K l 8 i D g Z x 8 A Y k T Q F 0 b J x n Y H g y 5 D W s c a i + U 0 j R 9 e 0 w V I U q / N 2 l Q m D F g d B t 8 L 0 o 2 o + g e E / i j l B S l e Y d Q w f A Y J K o Z I h v c N A Q c B M B 0 G C W C G S A F l A w Q B K g Q Q Q F 2 h Y v y u / y X Q j 6 o t U 0 Q v z I B Q J o 0 h A N V P 9 x t s R q s w q 0 i m Q A Q G L + V 9 Q N Q U J 8 0 l l o 4 / w R x G D L L 0 E B m y d 6 w u W j a u D 7 Y H G u h m G m G t w 6 v u 4 q E Q N l W K G N G m 1 O B b G C h c k 1 u i y 7 Y N O 5 Q = < / D a t a M a s h u p > 
</file>

<file path=customXml/itemProps1.xml><?xml version="1.0" encoding="utf-8"?>
<ds:datastoreItem xmlns:ds="http://schemas.openxmlformats.org/officeDocument/2006/customXml" ds:itemID="{DDA92B87-E704-4643-9D1F-3AB443B9403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20</vt:i4>
      </vt:variant>
      <vt:variant>
        <vt:lpstr>Plages nommées</vt:lpstr>
      </vt:variant>
      <vt:variant>
        <vt:i4>1</vt:i4>
      </vt:variant>
    </vt:vector>
  </HeadingPairs>
  <TitlesOfParts>
    <vt:vector size="21" baseType="lpstr">
      <vt:lpstr>lit_rev_dem</vt:lpstr>
      <vt:lpstr>lit_rev_pLCA</vt:lpstr>
      <vt:lpstr>proj_dem</vt:lpstr>
      <vt:lpstr>metals_ei</vt:lpstr>
      <vt:lpstr>matrix_alu</vt:lpstr>
      <vt:lpstr>matrix_cop</vt:lpstr>
      <vt:lpstr>regions</vt:lpstr>
      <vt:lpstr>calculs_scenarios</vt:lpstr>
      <vt:lpstr>cu_dem</vt:lpstr>
      <vt:lpstr>data_cu</vt:lpstr>
      <vt:lpstr>cu_prod</vt:lpstr>
      <vt:lpstr>ni_dem</vt:lpstr>
      <vt:lpstr>data_ni</vt:lpstr>
      <vt:lpstr>ni_prod</vt:lpstr>
      <vt:lpstr>data_alu_IAI</vt:lpstr>
      <vt:lpstr>data_alu_remind</vt:lpstr>
      <vt:lpstr>alu_prod</vt:lpstr>
      <vt:lpstr>lcia_cum_NZE_ei39</vt:lpstr>
      <vt:lpstr>matrix_nickel</vt:lpstr>
      <vt:lpstr>calculs_cop_grade</vt:lpstr>
      <vt:lpstr>data_alu_IAI!all_data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Fauroux Marguerite Marie Agnès</cp:lastModifiedBy>
  <cp:lastPrinted>2024-03-08T02:02:10Z</cp:lastPrinted>
  <dcterms:created xsi:type="dcterms:W3CDTF">2023-11-10T19:23:16Z</dcterms:created>
  <dcterms:modified xsi:type="dcterms:W3CDTF">2024-03-21T20:36:13Z</dcterms:modified>
</cp:coreProperties>
</file>